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erformance\Transparency\2021_22\Checked - Documents to be converted\"/>
    </mc:Choice>
  </mc:AlternateContent>
  <xr:revisionPtr revIDLastSave="0" documentId="13_ncr:1_{C8320FB5-4B1D-4C85-B956-5972231C9773}" xr6:coauthVersionLast="47" xr6:coauthVersionMax="47" xr10:uidLastSave="{00000000-0000-0000-0000-000000000000}"/>
  <bookViews>
    <workbookView xWindow="70" yWindow="60" windowWidth="19130" windowHeight="9700" xr2:uid="{00000000-000D-0000-FFFF-FFFF00000000}"/>
  </bookViews>
  <sheets>
    <sheet name="Voluntary Grants" sheetId="1" r:id="rId1"/>
    <sheet name="Commissioned" sheetId="2" r:id="rId2"/>
  </sheets>
  <definedNames>
    <definedName name="_xlnm._FilterDatabase" localSheetId="0" hidden="1">'Voluntary Grants'!#REF!</definedName>
    <definedName name="_xlnm.Print_Area" localSheetId="0">'Voluntary Grants'!$A$1:$I$120</definedName>
    <definedName name="Z_0DAE2956_B1BF_4A41_BEE2_3874FE1978D4_.wvu.Cols" localSheetId="1" hidden="1">Commissioned!$H:$I</definedName>
    <definedName name="Z_0DAE2956_B1BF_4A41_BEE2_3874FE1978D4_.wvu.Cols" localSheetId="0" hidden="1">'Voluntary Grants'!$K:$O</definedName>
    <definedName name="Z_1EDCC7DB_EA00_425C_A232_2B947213F1FE_.wvu.Cols" localSheetId="1" hidden="1">Commissioned!$H:$I</definedName>
    <definedName name="Z_1EDCC7DB_EA00_425C_A232_2B947213F1FE_.wvu.Cols" localSheetId="0" hidden="1">'Voluntary Grants'!$K:$O</definedName>
    <definedName name="Z_3DBE43D9_93DE_4365_8E44_548F97A28FAE_.wvu.Cols" localSheetId="1" hidden="1">Commissioned!$H:$I</definedName>
    <definedName name="Z_3DBE43D9_93DE_4365_8E44_548F97A28FAE_.wvu.Cols" localSheetId="0" hidden="1">'Voluntary Grants'!#REF!,'Voluntary Grants'!$K:$N</definedName>
    <definedName name="Z_4CE2E00E_B5DE_4253_AFE0_F6D574A7F988_.wvu.Cols" localSheetId="1" hidden="1">Commissioned!#REF!,Commissioned!$H:$I</definedName>
    <definedName name="Z_4CE2E00E_B5DE_4253_AFE0_F6D574A7F988_.wvu.Cols" localSheetId="0" hidden="1">'Voluntary Grants'!$F:$I</definedName>
    <definedName name="Z_5131A815_DE57_4859_8A73_A9032A3FE50D_.wvu.Cols" localSheetId="1" hidden="1">Commissioned!$H:$I</definedName>
    <definedName name="Z_5131A815_DE57_4859_8A73_A9032A3FE50D_.wvu.Cols" localSheetId="0" hidden="1">'Voluntary Grants'!#REF!,'Voluntary Grants'!$K:$N</definedName>
    <definedName name="Z_65E72D89_F408_47E9_A76D_42DDA8AA2BAF_.wvu.Cols" localSheetId="1" hidden="1">Commissioned!$H:$I</definedName>
    <definedName name="Z_65E72D89_F408_47E9_A76D_42DDA8AA2BAF_.wvu.Cols" localSheetId="0" hidden="1">'Voluntary Grants'!$K:$O</definedName>
    <definedName name="Z_6B4526F4_F903_4347_9BAB_BC81BB281495_.wvu.Cols" localSheetId="1" hidden="1">Commissioned!$H:$I</definedName>
    <definedName name="Z_6B4526F4_F903_4347_9BAB_BC81BB281495_.wvu.Cols" localSheetId="0" hidden="1">'Voluntary Grants'!$K:$O</definedName>
    <definedName name="Z_8AF4C8A2_BF20_4591_9AED_42959CC23F32_.wvu.Cols" localSheetId="1" hidden="1">Commissioned!$H:$I</definedName>
    <definedName name="Z_8AF4C8A2_BF20_4591_9AED_42959CC23F32_.wvu.Cols" localSheetId="0" hidden="1">'Voluntary Grants'!#REF!,'Voluntary Grants'!$K:$N</definedName>
    <definedName name="Z_8FBE7404_30EC_4BE0_BE5C_B8883D73C558_.wvu.Cols" localSheetId="1" hidden="1">Commissioned!$H:$I</definedName>
    <definedName name="Z_8FBE7404_30EC_4BE0_BE5C_B8883D73C558_.wvu.Cols" localSheetId="0" hidden="1">'Voluntary Grants'!$K:$O</definedName>
    <definedName name="Z_90362B46_B06A_4E6C_9981_A1293A7810A8_.wvu.Cols" localSheetId="1" hidden="1">Commissioned!$H:$I</definedName>
    <definedName name="Z_90362B46_B06A_4E6C_9981_A1293A7810A8_.wvu.Cols" localSheetId="0" hidden="1">'Voluntary Grants'!$K:$O</definedName>
    <definedName name="Z_9A623C62_63B8_4DD3_8DFE_FA6BD484E512_.wvu.Cols" localSheetId="1" hidden="1">Commissioned!$H:$I</definedName>
    <definedName name="Z_9A623C62_63B8_4DD3_8DFE_FA6BD484E512_.wvu.Cols" localSheetId="0" hidden="1">'Voluntary Grants'!$K:$O</definedName>
    <definedName name="Z_C8817622_5016_4969_BE02_B029E94511B8_.wvu.Cols" localSheetId="1" hidden="1">Commissioned!$H:$I</definedName>
    <definedName name="Z_C8817622_5016_4969_BE02_B029E94511B8_.wvu.Cols" localSheetId="0" hidden="1">'Voluntary Grants'!$K:$O</definedName>
    <definedName name="Z_D5FD720F_285C_4CB2_A72D_E52B7F403E45_.wvu.Cols" localSheetId="1" hidden="1">Commissioned!$H:$I</definedName>
    <definedName name="Z_D5FD720F_285C_4CB2_A72D_E52B7F403E45_.wvu.Cols" localSheetId="0" hidden="1">'Voluntary Grants'!$K:$O</definedName>
    <definedName name="Z_E1BB54EF_CD5F_43AD_834E_DD6D9764954F_.wvu.Cols" localSheetId="1" hidden="1">Commissioned!$H:$I</definedName>
    <definedName name="Z_E1BB54EF_CD5F_43AD_834E_DD6D9764954F_.wvu.Cols" localSheetId="0" hidden="1">'Voluntary Grants'!$F:$I</definedName>
    <definedName name="Z_E54AD01A_EF8A_4CD0_AD3C_70B039EF58CE_.wvu.Cols" localSheetId="1" hidden="1">Commissioned!$H:$I</definedName>
    <definedName name="Z_E54AD01A_EF8A_4CD0_AD3C_70B039EF58CE_.wvu.Cols" localSheetId="0" hidden="1">'Voluntary Grants'!$F:$I</definedName>
    <definedName name="Z_ED5FF4CA_BF50_4538_B3A7_88345F2EFF8F_.wvu.Cols" localSheetId="1" hidden="1">Commissioned!$H:$I</definedName>
    <definedName name="Z_ED5FF4CA_BF50_4538_B3A7_88345F2EFF8F_.wvu.Cols" localSheetId="0" hidden="1">'Voluntary Grants'!$F:$I</definedName>
    <definedName name="Z_EF003EE9_1D33_4016_81B5_09DD330575AB_.wvu.Cols" localSheetId="1" hidden="1">Commissioned!#REF!,Commissioned!$H:$I</definedName>
    <definedName name="Z_EF003EE9_1D33_4016_81B5_09DD330575AB_.wvu.Cols" localSheetId="0" hidden="1">'Voluntary Grants'!$F:$I</definedName>
    <definedName name="Z_F1353556_8513_4163_AB0F_45A4CD4C33F3_.wvu.Cols" localSheetId="1" hidden="1">Commissioned!$H:$I</definedName>
    <definedName name="Z_F1353556_8513_4163_AB0F_45A4CD4C33F3_.wvu.Cols" localSheetId="0" hidden="1">'Voluntary Grants'!$K:$O</definedName>
    <definedName name="Z_F6937C6A_B4E6_40FD_A3EE_A37423C116CF_.wvu.Cols" localSheetId="1" hidden="1">Commissioned!$H:$I</definedName>
    <definedName name="Z_F6937C6A_B4E6_40FD_A3EE_A37423C116CF_.wvu.Cols" localSheetId="0" hidden="1">'Voluntary Grants'!#REF!,'Voluntary Grants'!$K:$N</definedName>
  </definedNames>
  <calcPr calcId="191028"/>
  <customWorkbookViews>
    <customWorkbookView name="Cross, Sara - Personal View" guid="{6B4526F4-F903-4347-9BAB-BC81BB281495}" mergeInterval="0" personalView="1" maximized="1" xWindow="-11" yWindow="-11" windowWidth="1942" windowHeight="1042" activeSheetId="1"/>
    <customWorkbookView name="Walker, Keren - Personal View" guid="{90362B46-B06A-4E6C-9981-A1293A7810A8}" mergeInterval="0" personalView="1" maximized="1" xWindow="-8" yWindow="-8" windowWidth="1936" windowHeight="1056" activeSheetId="1"/>
    <customWorkbookView name="Finance - Personal View" guid="{D5FD720F-285C-4CB2-A72D-E52B7F403E45}" mergeInterval="0" personalView="1" maximized="1" windowWidth="2556" windowHeight="855" activeSheetId="1"/>
    <customWorkbookView name="Ahmed, Shakir - Personal View" guid="{9A623C62-63B8-4DD3-8DFE-FA6BD484E512}" mergeInterval="0" personalView="1" maximized="1" windowWidth="2556" windowHeight="815" activeSheetId="1"/>
    <customWorkbookView name="Adeleye, Adeyoola - Personal View" guid="{5131A815-DE57-4859-8A73-A9032A3FE50D}" mergeInterval="0" personalView="1" maximized="1" windowWidth="1643" windowHeight="810" activeSheetId="1"/>
    <customWorkbookView name="sholnes - Personal View" guid="{E54AD01A-EF8A-4CD0-AD3C-70B039EF58CE}" mergeInterval="0" personalView="1" maximized="1" windowWidth="1276" windowHeight="692" activeSheetId="1"/>
    <customWorkbookView name="Wright, Caroline - Personal View" guid="{E1BB54EF-CD5F-43AD-834E-DD6D9764954F}" mergeInterval="0" personalView="1" maximized="1" windowWidth="1195" windowHeight="615" activeSheetId="2"/>
    <customWorkbookView name="Powers, Penni - Personal View" guid="{ED5FF4CA-BF50-4538-B3A7-88345F2EFF8F}" mergeInterval="0" personalView="1" maximized="1" windowWidth="1276" windowHeight="759" activeSheetId="2"/>
    <customWorkbookView name="Popplestone, Wendy - Personal View" guid="{F6937C6A-B4E6-40FD-A3EE-A37423C116CF}" mergeInterval="0" personalView="1" maximized="1" windowWidth="1676" windowHeight="802" activeSheetId="1"/>
    <customWorkbookView name="wpopple - Personal View" guid="{8AF4C8A2-BF20-4591-9AED-42959CC23F32}" mergeInterval="0" personalView="1" maximized="1" windowWidth="1428" windowHeight="809" activeSheetId="1"/>
    <customWorkbookView name="Russell, Sarah - Personal View" guid="{3DBE43D9-93DE-4365-8E44-548F97A28FAE}" mergeInterval="0" personalView="1" maximized="1" windowWidth="1009" windowHeight="474" activeSheetId="2"/>
    <customWorkbookView name="Bateman, Sarah - Personal View" guid="{1EDCC7DB-EA00-425C-A232-2B947213F1FE}" mergeInterval="0" personalView="1" maximized="1" windowWidth="2556" windowHeight="835" activeSheetId="1"/>
    <customWorkbookView name="Sara Cross - Personal View" guid="{8FBE7404-30EC-4BE0-BE5C-B8883D73C558}" mergeInterval="0" personalView="1" maximized="1" windowWidth="1916" windowHeight="829" activeSheetId="1"/>
    <customWorkbookView name="Haslam, Sara - Personal View" guid="{0DAE2956-B1BF-4A41-BEE2-3874FE1978D4}" mergeInterval="0" personalView="1" maximized="1" windowWidth="1362" windowHeight="543" activeSheetId="1"/>
    <customWorkbookView name="Teesdale, Rosie - Personal View" guid="{C8817622-5016-4969-BE02-B029E94511B8}" mergeInterval="0" personalView="1" maximized="1" xWindow="-8" yWindow="-8" windowWidth="1382" windowHeight="744" activeSheetId="1"/>
    <customWorkbookView name="Chelvanaigum, Melvyn - Personal View" guid="{F1353556-8513-4163-AB0F-45A4CD4C33F3}" mergeInterval="0" personalView="1" maximized="1" xWindow="-8" yWindow="-8" windowWidth="1616" windowHeight="876" activeSheetId="1"/>
    <customWorkbookView name="Datardina, Annar (Finance) - Personal View" guid="{65E72D89-F408-47E9-A76D-42DDA8AA2BAF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118" i="1"/>
  <c r="F52" i="1"/>
  <c r="F78" i="1" l="1"/>
  <c r="F21" i="1" l="1"/>
  <c r="F17" i="1"/>
  <c r="F47" i="1" l="1"/>
  <c r="F120" i="1" s="1"/>
  <c r="H52" i="2" l="1"/>
  <c r="I52" i="2"/>
  <c r="D38" i="2"/>
  <c r="E39" i="2"/>
  <c r="F39" i="2"/>
  <c r="E37" i="2"/>
  <c r="D36" i="2"/>
  <c r="E41" i="2"/>
  <c r="F41" i="2"/>
  <c r="G41" i="2"/>
  <c r="D34" i="2"/>
  <c r="E87" i="2"/>
  <c r="D86" i="2"/>
  <c r="D85" i="2"/>
  <c r="D84" i="2"/>
  <c r="D83" i="2"/>
  <c r="D80" i="2"/>
  <c r="E79" i="2"/>
  <c r="D78" i="2"/>
  <c r="D81" i="2"/>
  <c r="E77" i="2"/>
  <c r="E76" i="2"/>
  <c r="D75" i="2"/>
  <c r="E74" i="2"/>
  <c r="F74" i="2"/>
  <c r="G74" i="2"/>
  <c r="E72" i="2"/>
  <c r="F72" i="2"/>
  <c r="G72" i="2"/>
  <c r="E71" i="2"/>
  <c r="E70" i="2"/>
  <c r="F70" i="2"/>
  <c r="E68" i="2"/>
  <c r="F68" i="2"/>
  <c r="E24" i="2"/>
  <c r="F24" i="2"/>
  <c r="G24" i="2"/>
  <c r="E22" i="2"/>
  <c r="E25" i="2"/>
  <c r="F25" i="2"/>
  <c r="G25" i="2"/>
  <c r="E21" i="2"/>
  <c r="D26" i="2"/>
  <c r="E20" i="2"/>
  <c r="D19" i="2"/>
  <c r="D17" i="2"/>
  <c r="D164" i="2"/>
  <c r="F163" i="2"/>
  <c r="E163" i="2"/>
  <c r="F161" i="2"/>
  <c r="E161" i="2"/>
  <c r="G159" i="2"/>
  <c r="F159" i="2"/>
  <c r="E159" i="2"/>
  <c r="G157" i="2"/>
  <c r="F157" i="2"/>
  <c r="E157" i="2"/>
  <c r="E156" i="2"/>
  <c r="E155" i="2"/>
  <c r="F154" i="2"/>
  <c r="E154" i="2"/>
  <c r="G154" i="2"/>
  <c r="G153" i="2"/>
  <c r="F153" i="2"/>
  <c r="E153" i="2"/>
  <c r="E152" i="2"/>
  <c r="F152" i="2"/>
  <c r="E151" i="2"/>
  <c r="E149" i="2"/>
  <c r="G145" i="2"/>
  <c r="D145" i="2"/>
  <c r="E144" i="2"/>
  <c r="E142" i="2"/>
  <c r="F140" i="2"/>
  <c r="F145" i="2"/>
  <c r="E140" i="2"/>
  <c r="E139" i="2"/>
  <c r="E138" i="2"/>
  <c r="G132" i="2"/>
  <c r="E130" i="2"/>
  <c r="F129" i="2"/>
  <c r="E129" i="2"/>
  <c r="E128" i="2"/>
  <c r="E126" i="2"/>
  <c r="D125" i="2"/>
  <c r="D132" i="2"/>
  <c r="E122" i="2"/>
  <c r="E121" i="2"/>
  <c r="E120" i="2"/>
  <c r="E119" i="2"/>
  <c r="G116" i="2"/>
  <c r="F116" i="2"/>
  <c r="D116" i="2"/>
  <c r="E113" i="2"/>
  <c r="E111" i="2"/>
  <c r="D106" i="2"/>
  <c r="E104" i="2"/>
  <c r="F104" i="2"/>
  <c r="G104" i="2"/>
  <c r="G108" i="2"/>
  <c r="D103" i="2"/>
  <c r="D102" i="2"/>
  <c r="D100" i="2"/>
  <c r="E99" i="2"/>
  <c r="F99" i="2"/>
  <c r="F108" i="2"/>
  <c r="E98" i="2"/>
  <c r="E97" i="2"/>
  <c r="E96" i="2"/>
  <c r="G94" i="2"/>
  <c r="F94" i="2"/>
  <c r="E94" i="2"/>
  <c r="D93" i="2"/>
  <c r="D94" i="2"/>
  <c r="G91" i="2"/>
  <c r="D91" i="2"/>
  <c r="E90" i="2"/>
  <c r="E91" i="2"/>
  <c r="E67" i="2"/>
  <c r="D66" i="2"/>
  <c r="D88" i="2"/>
  <c r="E65" i="2"/>
  <c r="E88" i="2"/>
  <c r="I63" i="2"/>
  <c r="H63" i="2"/>
  <c r="E62" i="2"/>
  <c r="E61" i="2"/>
  <c r="E60" i="2"/>
  <c r="F60" i="2"/>
  <c r="E59" i="2"/>
  <c r="F59" i="2"/>
  <c r="G59" i="2"/>
  <c r="D58" i="2"/>
  <c r="E58" i="2"/>
  <c r="F58" i="2"/>
  <c r="G58" i="2"/>
  <c r="D57" i="2"/>
  <c r="E57" i="2"/>
  <c r="E56" i="2"/>
  <c r="D55" i="2"/>
  <c r="D54" i="2"/>
  <c r="E42" i="2"/>
  <c r="F42" i="2"/>
  <c r="G42" i="2"/>
  <c r="D35" i="2"/>
  <c r="D52" i="2"/>
  <c r="E33" i="2"/>
  <c r="I28" i="2"/>
  <c r="H28" i="2"/>
  <c r="D28" i="2"/>
  <c r="E27" i="2"/>
  <c r="E23" i="2"/>
  <c r="E18" i="2"/>
  <c r="F18" i="2"/>
  <c r="G18" i="2"/>
  <c r="E16" i="2"/>
  <c r="E15" i="2"/>
  <c r="G15" i="2"/>
  <c r="E13" i="2"/>
  <c r="F13" i="2"/>
  <c r="G13" i="2"/>
  <c r="E12" i="2"/>
  <c r="F12" i="2"/>
  <c r="E11" i="2"/>
  <c r="E10" i="2"/>
  <c r="E9" i="2"/>
  <c r="F9" i="2"/>
  <c r="E8" i="2"/>
  <c r="F8" i="2"/>
  <c r="E7" i="2"/>
  <c r="E6" i="2"/>
  <c r="N35" i="1"/>
  <c r="M35" i="1"/>
  <c r="L35" i="1"/>
  <c r="K35" i="1"/>
  <c r="K34" i="1"/>
  <c r="N33" i="1"/>
  <c r="M33" i="1"/>
  <c r="L33" i="1"/>
  <c r="K33" i="1"/>
  <c r="K23" i="1"/>
  <c r="N20" i="1"/>
  <c r="M20" i="1"/>
  <c r="L20" i="1"/>
  <c r="K20" i="1"/>
  <c r="N19" i="1"/>
  <c r="M19" i="1"/>
  <c r="L19" i="1"/>
  <c r="K19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D63" i="2"/>
  <c r="G28" i="2"/>
  <c r="E108" i="2"/>
  <c r="D108" i="2"/>
  <c r="D166" i="2"/>
  <c r="G164" i="2"/>
  <c r="E132" i="2"/>
  <c r="G63" i="2"/>
  <c r="E116" i="2"/>
  <c r="E145" i="2"/>
  <c r="E164" i="2"/>
  <c r="F164" i="2"/>
  <c r="E28" i="2"/>
  <c r="L23" i="1"/>
  <c r="F15" i="2"/>
  <c r="F28" i="2"/>
  <c r="F33" i="2"/>
  <c r="E35" i="2"/>
  <c r="F35" i="2"/>
  <c r="G35" i="2"/>
  <c r="E54" i="2"/>
  <c r="F65" i="2"/>
  <c r="F88" i="2"/>
  <c r="F90" i="2"/>
  <c r="F91" i="2"/>
  <c r="F119" i="2"/>
  <c r="F132" i="2"/>
  <c r="F52" i="2"/>
  <c r="E52" i="2"/>
  <c r="G65" i="2"/>
  <c r="G88" i="2"/>
  <c r="E63" i="2"/>
  <c r="F54" i="2"/>
  <c r="F63" i="2"/>
  <c r="G33" i="2"/>
  <c r="G52" i="2"/>
  <c r="M23" i="1"/>
  <c r="F166" i="2"/>
  <c r="N23" i="1"/>
  <c r="E166" i="2"/>
  <c r="G1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Datardina, Annar (Finance)</author>
  </authors>
  <commentList>
    <comment ref="D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Datardina, Annar (Finance):</t>
        </r>
        <r>
          <rPr>
            <sz val="9"/>
            <color indexed="81"/>
            <rFont val="Tahoma"/>
            <family val="2"/>
          </rPr>
          <t xml:space="preserve">
No. of uk charity they do have an office and support grps in MK.</t>
        </r>
      </text>
    </comment>
  </commentList>
</comments>
</file>

<file path=xl/sharedStrings.xml><?xml version="1.0" encoding="utf-8"?>
<sst xmlns="http://schemas.openxmlformats.org/spreadsheetml/2006/main" count="1200" uniqueCount="573">
  <si>
    <t>Year on Year Movement</t>
  </si>
  <si>
    <t>Type of Grant</t>
  </si>
  <si>
    <t>Service Area</t>
  </si>
  <si>
    <t>Organisation</t>
  </si>
  <si>
    <t>Registration Number - (Charity No./Company House no.)</t>
  </si>
  <si>
    <t>Purpose of Grant to Support the work of Organisation</t>
  </si>
  <si>
    <t>2021/22</t>
  </si>
  <si>
    <t>Notes</t>
  </si>
  <si>
    <t>Date Grant was awarded</t>
  </si>
  <si>
    <t>Time Period of Grant</t>
  </si>
  <si>
    <t>2014/15</t>
  </si>
  <si>
    <t>2015/16</t>
  </si>
  <si>
    <t>2016/17</t>
  </si>
  <si>
    <t>2017/18</t>
  </si>
  <si>
    <t>Arts</t>
  </si>
  <si>
    <t>Arts for Health</t>
  </si>
  <si>
    <t>CC no. 1107625</t>
  </si>
  <si>
    <t>Arts for Health uses arts and creativity to improve health and wellbeing.</t>
  </si>
  <si>
    <t>12 months</t>
  </si>
  <si>
    <t>Milton Keynes Arts Centre</t>
  </si>
  <si>
    <t>CC no. 1007409</t>
  </si>
  <si>
    <t>MK Arts Centre activities focus on the exhibition, promotion and sales of contemporary craft, a comprehensive programme of both adult and young peoples workshops.</t>
  </si>
  <si>
    <t>Arts &amp; Heritage Alliance</t>
  </si>
  <si>
    <t>CC no. 1158874</t>
  </si>
  <si>
    <t>The Arts &amp; Heritage Alliance is a forum of organisations that works to promote, represent and develop arts and heritage, collaboratively delivering or supporting exciting activities.</t>
  </si>
  <si>
    <t>Interaction</t>
  </si>
  <si>
    <t>CC no. 1106170</t>
  </si>
  <si>
    <t>Interaction use the arts to improve the life chances of people with support needs or disabilities or in challenging or vulnerable circumstances.</t>
  </si>
  <si>
    <t>Arts Gateway MK</t>
  </si>
  <si>
    <t>CC no. 1126872</t>
  </si>
  <si>
    <t>Art Gateway supports the creative development and promotion of the arts in Milton Keynes.</t>
  </si>
  <si>
    <t xml:space="preserve">Junior Filmmakers/Local Media Initiatives </t>
  </si>
  <si>
    <t xml:space="preserve">CIC number - 11915354          </t>
  </si>
  <si>
    <t xml:space="preserve">junior filmmakers delivers training  and skills development in film making for young people                                                   </t>
  </si>
  <si>
    <t> 12 months</t>
  </si>
  <si>
    <t>Motus Dance – Registered</t>
  </si>
  <si>
    <t xml:space="preserve">Registered Charity No.   1173277                                                </t>
  </si>
  <si>
    <t>Motus Dance deliver contemporary dance programmes and workshops</t>
  </si>
  <si>
    <t xml:space="preserve">Westbury Arts Centre    </t>
  </si>
  <si>
    <t xml:space="preserve">Registered charity no. 1151531                                                         </t>
  </si>
  <si>
    <t xml:space="preserve">Westbury Arts Centre delivers studio provision, workshops, classes and exhibitions promoting visual arts and crafts         </t>
  </si>
  <si>
    <t xml:space="preserve">Arts </t>
  </si>
  <si>
    <t xml:space="preserve">Pooleyville </t>
  </si>
  <si>
    <t>Limited 12686350</t>
  </si>
  <si>
    <t>Pooleyville is a multidisciplinary creative agency working across Milton Keynes</t>
  </si>
  <si>
    <t> 16/03/21</t>
  </si>
  <si>
    <t xml:space="preserve">Big Shop Friday </t>
  </si>
  <si>
    <t>Limited 11843214</t>
  </si>
  <si>
    <t xml:space="preserve">Big Shop Friday delivers a grass-roots, emerging artists programme of activities </t>
  </si>
  <si>
    <t xml:space="preserve">Global Outreach Foundation </t>
  </si>
  <si>
    <t>Charity 295 107</t>
  </si>
  <si>
    <t>Global Outreach Foundation are developing the new African and Caribbean Carnival</t>
  </si>
  <si>
    <t>Total Arts Grants</t>
  </si>
  <si>
    <t>Sports</t>
  </si>
  <si>
    <t>Bucks &amp; MK Sports Partnership (LEAP)</t>
  </si>
  <si>
    <t>https://www.leapwithus.org.uk/</t>
  </si>
  <si>
    <t>To enable 50,000 people to get more active for life across Buckinghamshire and Milton Keynes by 2017. Whether that’s through taking part, coaching, leading or volunteering in sport and activity.</t>
  </si>
  <si>
    <t>paid anually</t>
  </si>
  <si>
    <t>Sport MK</t>
  </si>
  <si>
    <t>http://sportmk.wordpress.com/home/</t>
  </si>
  <si>
    <t>To focus on strengthening partnerships, creating opportunities and removing barriers to help 50,000 more people benefit from sport and physical activity in Buckinghamshire and Milton Keynes.</t>
  </si>
  <si>
    <t>Total Sports Grant</t>
  </si>
  <si>
    <t>Heritage</t>
  </si>
  <si>
    <t>Chief Executive</t>
  </si>
  <si>
    <t>Heritage Association</t>
  </si>
  <si>
    <t>http://www.mkheritage.co.uk/index.html</t>
  </si>
  <si>
    <t>To encourage and develop co-operation and co-ordination between organisations having an interest in heritage in Buckinghamshire. It also has a central role in promoting heritage.</t>
  </si>
  <si>
    <t>£2.5k paid in 21/22</t>
  </si>
  <si>
    <t>Heritage MK</t>
  </si>
  <si>
    <t>https://heritagemk.co.uk/</t>
  </si>
  <si>
    <t>Consortium of 5 largest heritage organisations working together to advocate MK's heritage to widest audience.  Responsible for delivery of Festival of Heritage biennial.</t>
  </si>
  <si>
    <t>Living Archive</t>
  </si>
  <si>
    <t>https://www.livingarchive.org.uk/</t>
  </si>
  <si>
    <t xml:space="preserve">Charitable Trust which since 2012 leads on the delivery of Heritage Open Days, the annual national flagship event for the sector. MK Top 10 for audiences in UK. </t>
  </si>
  <si>
    <t>Total Heritage Grant</t>
  </si>
  <si>
    <t>Adult Social Care</t>
  </si>
  <si>
    <t>Talkback</t>
  </si>
  <si>
    <t xml:space="preserve"> CC no. 1093732</t>
  </si>
  <si>
    <t>Talkback focuses upon supporting and developing self advocacy, participation and involvement groups across Milton Keynes. </t>
  </si>
  <si>
    <t>MK Mind</t>
  </si>
  <si>
    <t>http://www.bedsandlutonmind.org.uk/wellbeing-centres/milton-keynes-wellbeing.html</t>
  </si>
  <si>
    <t>MK Mind offers a range of services aimed at meeting individual needs and promoting mental health recovery, wellbeing and independence.</t>
  </si>
  <si>
    <t>Now under Mind BLMK - 1150003233. No start and end dates</t>
  </si>
  <si>
    <t>Alzheimers MK</t>
  </si>
  <si>
    <t>CC No. 296645 Co. No. 2115499</t>
  </si>
  <si>
    <t>A dementia support service provides one to one support to people with dementia, carers and family members. The service is unique to personal circumstances and the information and support needed</t>
  </si>
  <si>
    <t xml:space="preserve">Community Dementia Service </t>
  </si>
  <si>
    <t>April - 2020</t>
  </si>
  <si>
    <t xml:space="preserve">Contracts &amp; Commissioning </t>
  </si>
  <si>
    <t>MK Centre for Integrated Living</t>
  </si>
  <si>
    <t>CC no. 1096402</t>
  </si>
  <si>
    <t>Support to OP forum</t>
  </si>
  <si>
    <t xml:space="preserve">annual grant </t>
  </si>
  <si>
    <t>Support to PDSICG</t>
  </si>
  <si>
    <t>MK Reader Service</t>
  </si>
  <si>
    <t>CC no. 1013965</t>
  </si>
  <si>
    <t>Equal access to information is a basic right, which is denied to many people with disabilities. It's aim is to offer a reading and writing service to visually impaired people living in their own home.</t>
  </si>
  <si>
    <t xml:space="preserve">Healthwatch MK </t>
  </si>
  <si>
    <t>Charity Number: 1166148</t>
  </si>
  <si>
    <t>Core services</t>
  </si>
  <si>
    <t>Partnership Board management</t>
  </si>
  <si>
    <t>Enter and View</t>
  </si>
  <si>
    <t>3 quarters</t>
  </si>
  <si>
    <t>MK Citizens Advise Bureau</t>
  </si>
  <si>
    <t>CC no. 800012</t>
  </si>
  <si>
    <t>Mental health advice and information</t>
  </si>
  <si>
    <t>12 Months</t>
  </si>
  <si>
    <t>Homelessness</t>
  </si>
  <si>
    <t>Winter Night Shelter</t>
  </si>
  <si>
    <t>to support with the running costs of Unity Park Station</t>
  </si>
  <si>
    <t>annually</t>
  </si>
  <si>
    <t>SMART</t>
  </si>
  <si>
    <t>Floating care Support (funded by NSAP)</t>
  </si>
  <si>
    <t>annual grant  - funded from NSAP</t>
  </si>
  <si>
    <t>Connections</t>
  </si>
  <si>
    <t>4313826/1089173</t>
  </si>
  <si>
    <t>On-site Care &amp; Support service to 28 self-contained Units at Orchard House</t>
  </si>
  <si>
    <t>annual grant - funded from NSAP/BCF</t>
  </si>
  <si>
    <t>BARKA</t>
  </si>
  <si>
    <t>BARKA (NRPF)</t>
  </si>
  <si>
    <t>Total Adult Social Care Grants</t>
  </si>
  <si>
    <t>Community</t>
  </si>
  <si>
    <t>Policy,Ins &amp; Comms</t>
  </si>
  <si>
    <t>Bucks &amp; MK Assoc of Local Councils</t>
  </si>
  <si>
    <t>Grant instalment 21/22</t>
  </si>
  <si>
    <t>paid annually</t>
  </si>
  <si>
    <t>Charitable</t>
  </si>
  <si>
    <t>Milton Keynes Citizens Advice Bureau</t>
  </si>
  <si>
    <t>Provide free advice, advocacy, support and mediation to meet the needs of people who are living in severe hardship, struggling to overcome difficult family and financial circumstances.</t>
  </si>
  <si>
    <t>Total Policy,Ins &amp; Comms Grants</t>
  </si>
  <si>
    <t>Housing</t>
  </si>
  <si>
    <t>Housing &amp; Community</t>
  </si>
  <si>
    <t>All Bardville Residents Association</t>
  </si>
  <si>
    <t>N/A</t>
  </si>
  <si>
    <t>Health Check Grant</t>
  </si>
  <si>
    <t>Health Check Grant Upgrade</t>
  </si>
  <si>
    <t>Beanhill Residents Association</t>
  </si>
  <si>
    <t>Community Funding</t>
  </si>
  <si>
    <t>Coffee Hall  Residents Association</t>
  </si>
  <si>
    <t xml:space="preserve">Eaglestone Residents Association </t>
  </si>
  <si>
    <t>Fenny Stratford Residents Association</t>
  </si>
  <si>
    <t>Suppport Payment</t>
  </si>
  <si>
    <t xml:space="preserve">Fullers Slade Residents Association </t>
  </si>
  <si>
    <t>Galley Hill Residents Association</t>
  </si>
  <si>
    <t>Lakes Residents Association</t>
  </si>
  <si>
    <t>14/20/2021</t>
  </si>
  <si>
    <t>Leon Residents Association</t>
  </si>
  <si>
    <t>Loughton Residents Association</t>
  </si>
  <si>
    <t>Netherfield Residents Association</t>
  </si>
  <si>
    <t>Tinkers Bridge Residents Association</t>
  </si>
  <si>
    <t>Total Housing &amp; Community Grants</t>
  </si>
  <si>
    <t>Children's Services</t>
  </si>
  <si>
    <t>Corporate Parenting</t>
  </si>
  <si>
    <t>Youth Information Service</t>
  </si>
  <si>
    <t>06180098</t>
  </si>
  <si>
    <t>Counselling services for children and young people</t>
  </si>
  <si>
    <t>annual grant</t>
  </si>
  <si>
    <t>Aylesbury Vale and Milton Keynes Sexual Assault and Abuse Support Support Service</t>
  </si>
  <si>
    <t>Specialist Sexual Assault and Abuse Support to Children and Young People in Milton Keynes</t>
  </si>
  <si>
    <t>Education and Inclusion</t>
  </si>
  <si>
    <t>Newport Pagnell and District Youth Club</t>
  </si>
  <si>
    <t>300311</t>
  </si>
  <si>
    <t xml:space="preserve">To provide activities and food in line with the Summer of Play </t>
  </si>
  <si>
    <t>One off</t>
  </si>
  <si>
    <t>2-27/8/22</t>
  </si>
  <si>
    <t>MK Christian Foundation</t>
  </si>
  <si>
    <t>Future Wolverton Ltd</t>
  </si>
  <si>
    <t>IPS32016R</t>
  </si>
  <si>
    <t>MK Cheerleading Academy</t>
  </si>
  <si>
    <t>Bletchley Youth Centre</t>
  </si>
  <si>
    <t>Inspire All</t>
  </si>
  <si>
    <t xml:space="preserve">MK melting Pot </t>
  </si>
  <si>
    <t>8940714</t>
  </si>
  <si>
    <t xml:space="preserve">Junior Film makers </t>
  </si>
  <si>
    <t>08194969</t>
  </si>
  <si>
    <t xml:space="preserve">Somali Outreach Project </t>
  </si>
  <si>
    <t>1159399</t>
  </si>
  <si>
    <t>Northamptonshire Saints foundation</t>
  </si>
  <si>
    <t>1176345</t>
  </si>
  <si>
    <t xml:space="preserve">All People Active </t>
  </si>
  <si>
    <t>11168141</t>
  </si>
  <si>
    <t>Ride High</t>
  </si>
  <si>
    <t>1138260</t>
  </si>
  <si>
    <t>MK springers</t>
  </si>
  <si>
    <t>1110865</t>
  </si>
  <si>
    <t>MK Springers Additional Costs</t>
  </si>
  <si>
    <t>MKPA</t>
  </si>
  <si>
    <t>1047318</t>
  </si>
  <si>
    <t>The Parks Trust</t>
  </si>
  <si>
    <t>1007183</t>
  </si>
  <si>
    <t xml:space="preserve">5 On It Foundation </t>
  </si>
  <si>
    <t>1190922</t>
  </si>
  <si>
    <t xml:space="preserve">To provide activities and food in line with the HAF fund </t>
  </si>
  <si>
    <t>20-24/12/21</t>
  </si>
  <si>
    <t>Caldecotte Xperience</t>
  </si>
  <si>
    <t>HEEGO</t>
  </si>
  <si>
    <t>EY486024</t>
  </si>
  <si>
    <t>1093653</t>
  </si>
  <si>
    <t>MK Melting Pot</t>
  </si>
  <si>
    <t>MK Springers</t>
  </si>
  <si>
    <t xml:space="preserve">Northampton Saints </t>
  </si>
  <si>
    <t>Somali Outreach Project</t>
  </si>
  <si>
    <t>Locals of the Lakes - Xmas market</t>
  </si>
  <si>
    <t xml:space="preserve">To provide activities to residents on the Lakes Estate as part of the Lakes Clubs project </t>
  </si>
  <si>
    <t>24 Nov - 24 Nov</t>
  </si>
  <si>
    <t xml:space="preserve">YNMK - Xmas Market </t>
  </si>
  <si>
    <t>300234</t>
  </si>
  <si>
    <t>St Frideswides Church</t>
  </si>
  <si>
    <t>12 Jan - 30 June</t>
  </si>
  <si>
    <t xml:space="preserve">YNMK - Basketball Club </t>
  </si>
  <si>
    <t>04 March - 31 July</t>
  </si>
  <si>
    <t>LOL - Winter warmer trail / pancake madness</t>
  </si>
  <si>
    <t>547040</t>
  </si>
  <si>
    <t>06 - 27 Feb</t>
  </si>
  <si>
    <t>Locals of the Lakes - Coffee Morning</t>
  </si>
  <si>
    <t>27 Feb - 31 March</t>
  </si>
  <si>
    <t>Locals of the Lakes - Easter</t>
  </si>
  <si>
    <t>04 Feb - 01 April</t>
  </si>
  <si>
    <t xml:space="preserve">Locals of the Lakes - bingo </t>
  </si>
  <si>
    <t>Music Service</t>
  </si>
  <si>
    <t>MK Youth Choir</t>
  </si>
  <si>
    <t>To provide musical experiences for children</t>
  </si>
  <si>
    <t>MK Music Co-operative</t>
  </si>
  <si>
    <t>IP032337</t>
  </si>
  <si>
    <t>Total Children's Services</t>
  </si>
  <si>
    <t>Total Voluntary Grants</t>
  </si>
  <si>
    <t>Milton Keynes Council Third Sector Commissioned Services</t>
  </si>
  <si>
    <t>is this a third sector?</t>
  </si>
  <si>
    <t>Is this known by other names</t>
  </si>
  <si>
    <t>Commissioned Organisation by Service Group</t>
  </si>
  <si>
    <t>Purpose of Contract</t>
  </si>
  <si>
    <t>2014/15         £</t>
  </si>
  <si>
    <t>2015/16         £</t>
  </si>
  <si>
    <t>2016/17      £</t>
  </si>
  <si>
    <t>2017/18        £</t>
  </si>
  <si>
    <t>MTFP Saving</t>
  </si>
  <si>
    <t>Start Date</t>
  </si>
  <si>
    <t>Expiry Date</t>
  </si>
  <si>
    <t>Adult Social Care &amp; Health</t>
  </si>
  <si>
    <t>Connection -Generic Floating Support</t>
  </si>
  <si>
    <t>Generic Floating Support</t>
  </si>
  <si>
    <t>S13 on MTFP Savings as at 24 Oct 2015</t>
  </si>
  <si>
    <t>Milton Keynes Citizens Advice Bureau -ASC: Information and Advice Service *</t>
  </si>
  <si>
    <t>ASC: Information and Advice Service</t>
  </si>
  <si>
    <t>S11 on MTFP Savings as at 24 Oct 2014</t>
  </si>
  <si>
    <t>* One-off funding in budget to cease on-going subsidy in 2015/16</t>
  </si>
  <si>
    <t>Community Action: MK -ASC001:Infrastructure and Support Service for Civil Society Organisations *</t>
  </si>
  <si>
    <t>ASC001:Infrastructure and Support Service for Civil Society Organisations</t>
  </si>
  <si>
    <t>S12 on MTFP Savings as at 24 Oct 2015</t>
  </si>
  <si>
    <t>Carers Milton Keynes -ASC0011 Provision of a Carers Support Service</t>
  </si>
  <si>
    <t>ASC0011 Provision of a Carers Support Service</t>
  </si>
  <si>
    <t>POhWER -ASC0012 - Advocacy Services</t>
  </si>
  <si>
    <t>ASC0012 - Advocacy Services</t>
  </si>
  <si>
    <t>Papworth Trust -ASC003 HIA/Handyperson Service</t>
  </si>
  <si>
    <t>ASC003 HIA/Handyperson Service</t>
  </si>
  <si>
    <t>S147 on MTFP Savings as at 24 Oct 2015</t>
  </si>
  <si>
    <t>Age UK Milton Keynes -ASC005 - Host organisation for Healthwatch MK</t>
  </si>
  <si>
    <t>ASC005 - Host organisation for Healthwatch MK</t>
  </si>
  <si>
    <t>Shika Tamaa Support Services (STaSS) -ASC009: HIV Support and Prevention Service</t>
  </si>
  <si>
    <t>ASC009: HIV Support and Prevention Service</t>
  </si>
  <si>
    <t>S30 allocated to Public Health resources</t>
  </si>
  <si>
    <t>Mind BLMK -ASC0010 - Provision of a Comprehensive Counselling Service</t>
  </si>
  <si>
    <t>ASC0010 - Provision of a Comprehensive Counselling Service</t>
  </si>
  <si>
    <t>Largely funded from Vulnerable Gambler reserve. This is a recurring contract. 14/15 = £246k, of which £73k is funded by CCG ; 15/16 = £199k, of which £58k is funded by CCG</t>
  </si>
  <si>
    <t>Age UK Milton Keynes -Basic Foot Care Services</t>
  </si>
  <si>
    <t>Basic Foot Care Services</t>
  </si>
  <si>
    <t>14/15 £13k</t>
  </si>
  <si>
    <t>Milton Keynes Womens Aid -Domestic Violence Support</t>
  </si>
  <si>
    <t>Domestic Violence Support</t>
  </si>
  <si>
    <t>Not on contracts register. £150k allocated to Public Health resources</t>
  </si>
  <si>
    <t>MK CIL Ltd -Employment Advice Service</t>
  </si>
  <si>
    <t>Employment Advice Service</t>
  </si>
  <si>
    <t>A Pilot Provision of Day Services and Day Opportunities for Adults (Fletchers Mews)</t>
  </si>
  <si>
    <t>MacIntyre</t>
  </si>
  <si>
    <t xml:space="preserve">St Mungo Community Housing Association -Supported Accommodation Service for Young People </t>
  </si>
  <si>
    <t xml:space="preserve">Supported Accommodation Service for Young People </t>
  </si>
  <si>
    <t>S31 (Part) on MTFP Savings as at 24 Oct 2015. C&amp;F contribution £150k excluded from savings.</t>
  </si>
  <si>
    <t>Pasante Healthcare Ltd</t>
  </si>
  <si>
    <t>HIV Testing Kits</t>
  </si>
  <si>
    <t>Westminster Drug Project</t>
  </si>
  <si>
    <t>HMP Woodhill &amp; MK Council Substance Misuse Service</t>
  </si>
  <si>
    <t>Tunstall Healthcare (UK) Ltd</t>
  </si>
  <si>
    <t>MKC Community Alarm &amp; Telecare Service</t>
  </si>
  <si>
    <t>Tunstall Healthcare (UK) Limited</t>
  </si>
  <si>
    <t>Provision of Social Alarms, Telecare Sensors</t>
  </si>
  <si>
    <t>BID Services -Milton Keynes Sensory Service</t>
  </si>
  <si>
    <t>Milton Keynes Sensory Service</t>
  </si>
  <si>
    <t>Excelcare Home Care Division Ltd</t>
  </si>
  <si>
    <t>Residential &amp; Nursing Homes</t>
  </si>
  <si>
    <t>Extracare Charitable Trust</t>
  </si>
  <si>
    <t>Provision of Personal Care Services at Lovat Fields Retirement Village</t>
  </si>
  <si>
    <t>Apetito Limited</t>
  </si>
  <si>
    <t>Provision of Community Meals</t>
  </si>
  <si>
    <t>Supported Living Service (Bracken House)</t>
  </si>
  <si>
    <t xml:space="preserve">Total Adult Social Care </t>
  </si>
  <si>
    <t>Children &amp; Families, Integrated Support &amp; Social Care</t>
  </si>
  <si>
    <t>MK Dons Sport and Education Trust (Parenting mentoring and brief interventions)</t>
  </si>
  <si>
    <t>Parenting Mentoring and Brief Interventions</t>
  </si>
  <si>
    <t>S40+S47 cease contract at 31 March 2015</t>
  </si>
  <si>
    <t>Yes</t>
  </si>
  <si>
    <t>Prospects Services (Connexions - Information, Advice and Guidance Services for young people)</t>
  </si>
  <si>
    <t>Information,Advice and Guidance Services for young people</t>
  </si>
  <si>
    <t>S38a cease contract at 31 March 2015 (original contract was higher, but a reduction was negotiated from 1st April 2014)</t>
  </si>
  <si>
    <t>No</t>
  </si>
  <si>
    <t>Milton Keynes Community Health Services</t>
  </si>
  <si>
    <t>Early Help Emotional &amp; Psychological Well-Being</t>
  </si>
  <si>
    <t>St Francis' Children's Society</t>
  </si>
  <si>
    <t>Independent Adoption Counselling Services</t>
  </si>
  <si>
    <t>MK Dons Sport and Education Trust</t>
  </si>
  <si>
    <t>Play Provision</t>
  </si>
  <si>
    <t>Barnardo's, Walnuts Care Ltd</t>
  </si>
  <si>
    <t>Provision of Short Breaks.</t>
  </si>
  <si>
    <t>G4S Care &amp; Justice Services (UK) Ltd</t>
  </si>
  <si>
    <t>Reparation for Young Offenders</t>
  </si>
  <si>
    <t>T4studentsuccess</t>
  </si>
  <si>
    <t>Safeguarding Training for Schools</t>
  </si>
  <si>
    <t>P3</t>
  </si>
  <si>
    <t>Strengthening Families</t>
  </si>
  <si>
    <t>Keys Childcare Lugan</t>
  </si>
  <si>
    <t>South Central Contract for children with complex and challenging behaviours</t>
  </si>
  <si>
    <t>No?</t>
  </si>
  <si>
    <t>Carers Milton Keynes</t>
  </si>
  <si>
    <t>Volunteer Driver Service</t>
  </si>
  <si>
    <t>Peninsula Training Ltd</t>
  </si>
  <si>
    <t>Level 4 award Work with parents</t>
  </si>
  <si>
    <t>Liquidlogic</t>
  </si>
  <si>
    <t>Supply of Integrated Children’s Systems</t>
  </si>
  <si>
    <t>EVASSA Ltd</t>
  </si>
  <si>
    <t>Outdoor Education Advisor</t>
  </si>
  <si>
    <t>Community Action MK</t>
  </si>
  <si>
    <t>CCSR Volunteer Programme</t>
  </si>
  <si>
    <t>Community Engagement and Empowerment Services</t>
  </si>
  <si>
    <t>An extension of 6 months is being sought to 30/09/15.  S46 to not extend the contract beyond 30/09/15.</t>
  </si>
  <si>
    <t>Co-operative Partnership Provision between Milton Keynes Council, VCS and Communities</t>
  </si>
  <si>
    <t xml:space="preserve">Coram Voice </t>
  </si>
  <si>
    <t xml:space="preserve">Advocacy services </t>
  </si>
  <si>
    <t>Framework contract - demand led service</t>
  </si>
  <si>
    <t xml:space="preserve">Barnardo's Services Ltd </t>
  </si>
  <si>
    <t>Independent Visitor</t>
  </si>
  <si>
    <t>Return Interview</t>
  </si>
  <si>
    <t>NYAS</t>
  </si>
  <si>
    <t>Regulation 44 Visitor Service</t>
  </si>
  <si>
    <t>IAC (Intercountry Adoption Centre)</t>
  </si>
  <si>
    <t xml:space="preserve">Intercountry Adoption Assessments </t>
  </si>
  <si>
    <t>Demand led service</t>
  </si>
  <si>
    <t>Total Children &amp; Families, Integrated Support &amp; Social Care</t>
  </si>
  <si>
    <t>Children &amp; Families, Education, Effectiveness &amp; Participation</t>
  </si>
  <si>
    <t>Multiple Suppliers</t>
  </si>
  <si>
    <t xml:space="preserve">Education Home to School Transport </t>
  </si>
  <si>
    <t>Education Transport 2009</t>
  </si>
  <si>
    <t>Education Transport 2010</t>
  </si>
  <si>
    <t>Education Transport 2010 MKS Contracts</t>
  </si>
  <si>
    <t>Education Transport 2012 MKS Contracts</t>
  </si>
  <si>
    <t>Raffles Private Hire Ltd</t>
  </si>
  <si>
    <t>Education Transport 2013</t>
  </si>
  <si>
    <t>MK Station Taxi</t>
  </si>
  <si>
    <t>Education Transport 2014</t>
  </si>
  <si>
    <t>Mirus IT Solutions</t>
  </si>
  <si>
    <t>IT Support Contract – Adult Continuing Education Service</t>
  </si>
  <si>
    <t>Paritor Ltd</t>
  </si>
  <si>
    <t>Music Service Database</t>
  </si>
  <si>
    <t>?</t>
  </si>
  <si>
    <t>Total Children &amp; Families, Education, Effectiveness &amp; Participation</t>
  </si>
  <si>
    <t>Community Facilities Unit</t>
  </si>
  <si>
    <t>Hertsmere Leisure</t>
  </si>
  <si>
    <t>Leisure Management - Bletchley Leisure Centre</t>
  </si>
  <si>
    <t>Carter Synergy Ltd</t>
  </si>
  <si>
    <t>Maintenance of Milton Keynes Theatre, Art Gallery</t>
  </si>
  <si>
    <t>Provision of Leisure Management Services - Various Centres</t>
  </si>
  <si>
    <t>MK Museum</t>
  </si>
  <si>
    <t>MK Museum - Design &amp; Build CU2121 Lot 1 MC9</t>
  </si>
  <si>
    <t>Mary Magdalene Tower</t>
  </si>
  <si>
    <t>Restoration works to Mary Magdalene Tower - QU0399</t>
  </si>
  <si>
    <t xml:space="preserve">MK Museum </t>
  </si>
  <si>
    <t>MK Museum - Exhibition Design CU2360</t>
  </si>
  <si>
    <t>Windmill Hill Golf Course</t>
  </si>
  <si>
    <t xml:space="preserve">Grounds Maintenance Services for Windmill Hill Golf Course - CU2435 </t>
  </si>
  <si>
    <t>Leisure Management  Services</t>
  </si>
  <si>
    <t>Provision of Leisure Management  Services (was CU1241) New ref CU2401</t>
  </si>
  <si>
    <t>Wolverton Gym</t>
  </si>
  <si>
    <t>Wolverton Gym Equipment Maintenance - CU2284</t>
  </si>
  <si>
    <t>???</t>
  </si>
  <si>
    <t>Bletchley Leisure Centre</t>
  </si>
  <si>
    <t>Provision of Leisure Management Bletchley - CU1886</t>
  </si>
  <si>
    <t>Faithful + Gould</t>
  </si>
  <si>
    <t>Crownhill Crematorium Survey</t>
  </si>
  <si>
    <t>Burning Bridges</t>
  </si>
  <si>
    <t>Digitalis - Digital Art Commisions in Libraries</t>
  </si>
  <si>
    <t>Jade Sarson</t>
  </si>
  <si>
    <t>Digitalis - Digital Art Commisions in Libraries B</t>
  </si>
  <si>
    <t>Borras Construction Limited</t>
  </si>
  <si>
    <t>Fit Out Of New Kingston Library</t>
  </si>
  <si>
    <t>Torkildsen Barclay</t>
  </si>
  <si>
    <t>Procurement and Project Advisor for Leisure Management Contract</t>
  </si>
  <si>
    <t>Paul Warner Golf</t>
  </si>
  <si>
    <t>Provision of General Manager for Windmill Hill Golf Club</t>
  </si>
  <si>
    <t>Altodigital UK Limited</t>
  </si>
  <si>
    <t>Provision of Photocopiers at Central MK Library</t>
  </si>
  <si>
    <t>MaD (Make a Difference) CIC Ltd</t>
  </si>
  <si>
    <t>Provision of Sports Development Co-ordinator</t>
  </si>
  <si>
    <t>Lallie Davis</t>
  </si>
  <si>
    <t>Arts Development Officer</t>
  </si>
  <si>
    <t>Kirsten Gibbs</t>
  </si>
  <si>
    <t>Demco Interiors</t>
  </si>
  <si>
    <t>Supply and install furniture and internal signage at Kingston Library</t>
  </si>
  <si>
    <t>Wolverton Chapel Survey</t>
  </si>
  <si>
    <t>Johnson Health Tech UK Ltd</t>
  </si>
  <si>
    <t>Wolverton Gym Equipment</t>
  </si>
  <si>
    <t>Total Community Facilities Unit</t>
  </si>
  <si>
    <t>Corporate Core</t>
  </si>
  <si>
    <t>Astun Technology Limited</t>
  </si>
  <si>
    <t>Corporate Geographic Information System</t>
  </si>
  <si>
    <t>Total Corporate Core</t>
  </si>
  <si>
    <t>Highways &amp; Transportation</t>
  </si>
  <si>
    <t>Pindar Travel Information Systems Ltd</t>
  </si>
  <si>
    <t>April 2014 Travel Publicity ( Creation)</t>
  </si>
  <si>
    <t>Total Highways &amp; Transportation</t>
  </si>
  <si>
    <t>Quadrant Security Group Ltd</t>
  </si>
  <si>
    <t>CCTV Maintenance</t>
  </si>
  <si>
    <t>Sentinel Water Limited</t>
  </si>
  <si>
    <t>Water Management Services</t>
  </si>
  <si>
    <t>MITIE Property Services UK Ltd</t>
  </si>
  <si>
    <t>Housing Responsive Repairs &amp; Empty Homes</t>
  </si>
  <si>
    <t>Wheldon Contracts &amp; Services Ltd</t>
  </si>
  <si>
    <t>Domestic Heating Installation &amp; Maintenance</t>
  </si>
  <si>
    <t>The Chiltern Lift Company Limited</t>
  </si>
  <si>
    <t>Passenger Lifts &amp; Stair Lifts Maintenance &amp; Service</t>
  </si>
  <si>
    <t>4i Solutions Limited</t>
  </si>
  <si>
    <t>Provision of Housing Regeneration, Programme Director</t>
  </si>
  <si>
    <t>RPS Planning &amp; Development Ltd</t>
  </si>
  <si>
    <t>Structural, Civil and M&amp;E Engineering Services</t>
  </si>
  <si>
    <t>Opinion Research Services</t>
  </si>
  <si>
    <t>Consultancy Services Private Sector Housing Additional and Selective Licencing</t>
  </si>
  <si>
    <t>Campbell&amp;Kennedy Ltd</t>
  </si>
  <si>
    <t>QU0239 IRS TV Maintenance</t>
  </si>
  <si>
    <t>Electronic Payment Services</t>
  </si>
  <si>
    <t>allpay.net Limited</t>
  </si>
  <si>
    <t>Neighbourhood Employment Programme Services 2014/2015</t>
  </si>
  <si>
    <t>Various Suppliers</t>
  </si>
  <si>
    <t>An extension of 6 months is being sought to 30/09/15.</t>
  </si>
  <si>
    <t>Total Housing &amp; Community</t>
  </si>
  <si>
    <t>Public Health</t>
  </si>
  <si>
    <t>CRI (Crime Reduction Initiatives)</t>
  </si>
  <si>
    <t>Adult Community Substance Misuse</t>
  </si>
  <si>
    <t>Childrens Weight Management Service</t>
  </si>
  <si>
    <t>Virgin Care Services Ltd</t>
  </si>
  <si>
    <t>Integrated Sexual Health Service</t>
  </si>
  <si>
    <t>Alere Limited</t>
  </si>
  <si>
    <t>Provision of LDX diagnostic equipment with associated consumables</t>
  </si>
  <si>
    <t>Brook, Milton Keynes</t>
  </si>
  <si>
    <t>Under 25 Contraceptive &amp; Sexual Health Issues</t>
  </si>
  <si>
    <t>Compass</t>
  </si>
  <si>
    <t>Young People Community Substance Abuse</t>
  </si>
  <si>
    <t>Total Public Health</t>
  </si>
  <si>
    <t>Public Realm Services</t>
  </si>
  <si>
    <t>Local Bus Service June 2009</t>
  </si>
  <si>
    <t>MK Metro</t>
  </si>
  <si>
    <t>East West Bus Expansion</t>
  </si>
  <si>
    <t>Framework Agreement</t>
  </si>
  <si>
    <t>Local Bus Services</t>
  </si>
  <si>
    <t>HW Martin Waste Ltd</t>
  </si>
  <si>
    <t>Management &amp; Operation of Community Recycling Centres</t>
  </si>
  <si>
    <t>Provision of Local Bus Service Oct 2010</t>
  </si>
  <si>
    <t>April 2014 Travel Publicity ( Cartography)</t>
  </si>
  <si>
    <t>Fabrik Design and Communications Limited</t>
  </si>
  <si>
    <t>April 2014 Travel Publicity ( Printing)</t>
  </si>
  <si>
    <t>F. R. SHARROCK LTD.</t>
  </si>
  <si>
    <t>Hire of Horticultural Vehicles and Associated Equipment</t>
  </si>
  <si>
    <t>axiomb2</t>
  </si>
  <si>
    <t>Bus Stop Small Works</t>
  </si>
  <si>
    <t>Station Square Bus Shelter Cleansing and Maintenance</t>
  </si>
  <si>
    <t>Lafarge Aggregates Ltd</t>
  </si>
  <si>
    <t>Supply of Asphaltic and Bituminous Materials- Espo Framework Contract</t>
  </si>
  <si>
    <t>VIP-System Limited</t>
  </si>
  <si>
    <t>Taxi Licensing Plates and Badges</t>
  </si>
  <si>
    <t>Blue Chip</t>
  </si>
  <si>
    <t>Unix Hardware and Software Support</t>
  </si>
  <si>
    <t>Decision taken last year to reduce funding by half.  £25k one-off funding was provided in 2015/16.  Contribution to contract to cease from 31/3/15)</t>
  </si>
  <si>
    <t>Total Public Realm Services</t>
  </si>
  <si>
    <t>Resources, Finance HR and Governance</t>
  </si>
  <si>
    <t>Chrystal Consulting Limited</t>
  </si>
  <si>
    <t>Leasing Advisor Service</t>
  </si>
  <si>
    <t>Barclaycard Global Payment Acceptance</t>
  </si>
  <si>
    <t>Merchant Services</t>
  </si>
  <si>
    <t>Manpower UK Ltd</t>
  </si>
  <si>
    <t>Provision of Temporary Workers</t>
  </si>
  <si>
    <t>Zurich Insurance Plc</t>
  </si>
  <si>
    <t>Provision of Council Insurance Arrangements</t>
  </si>
  <si>
    <t>Chauffeur Service for Mayor of Milton Keynes</t>
  </si>
  <si>
    <t>Lyreco</t>
  </si>
  <si>
    <t>Corporate Stationery Contract</t>
  </si>
  <si>
    <t>EGS Group Ltd</t>
  </si>
  <si>
    <t>IDeA Marketplace On-line System</t>
  </si>
  <si>
    <t>Pilat HR Solutions</t>
  </si>
  <si>
    <t>NCJ/Gauge Licencing &amp; Technical Support</t>
  </si>
  <si>
    <t>OH Assist</t>
  </si>
  <si>
    <t>Provision of Employee Assistance Programme to MKC</t>
  </si>
  <si>
    <t>Aspen Insurance UK Limited</t>
  </si>
  <si>
    <t>Provision of Leaseholder &amp; Shared Ownership Insurance</t>
  </si>
  <si>
    <t>Civica UK Ltd</t>
  </si>
  <si>
    <t>Income Management System</t>
  </si>
  <si>
    <t>Total Resources, Finance HR and Governance</t>
  </si>
  <si>
    <t>Resources, Public Access</t>
  </si>
  <si>
    <t>Profile Security Services Limited</t>
  </si>
  <si>
    <t>Adminstration Buildings Security Services</t>
  </si>
  <si>
    <t>Ocean Contract Cleaning Ltd</t>
  </si>
  <si>
    <t>Corporate Cleaning Contract</t>
  </si>
  <si>
    <t>Konica Minolta Business Solutions (UK) Ltd</t>
  </si>
  <si>
    <t>Installation and Service of Multi Function Devices and a Production Operating System</t>
  </si>
  <si>
    <t>Foursys Ltd</t>
  </si>
  <si>
    <t>Websense Renewal</t>
  </si>
  <si>
    <t>Confio Software</t>
  </si>
  <si>
    <t>Database Monitoring Software</t>
  </si>
  <si>
    <t>Satisnet Ltd</t>
  </si>
  <si>
    <t>Mobile Device Management Software</t>
  </si>
  <si>
    <t>Mountain UK Limited</t>
  </si>
  <si>
    <t>Archiving and Storage Contract Services</t>
  </si>
  <si>
    <t>Pitney Bowes</t>
  </si>
  <si>
    <t>Mailroom Equipment Leasing of Franking Machines ESPO Contract</t>
  </si>
  <si>
    <t>In-Tend Ltd</t>
  </si>
  <si>
    <t>Maintenance of E-Tendering Portal</t>
  </si>
  <si>
    <t>Phoenix Software</t>
  </si>
  <si>
    <t>Microsoft Enterprise Agreement 2011</t>
  </si>
  <si>
    <t>Web-Labs ltd</t>
  </si>
  <si>
    <t>Milton Keynes Council Website</t>
  </si>
  <si>
    <t>Mobile Phones &amp; Data</t>
  </si>
  <si>
    <t>Telefónica UK Limited</t>
  </si>
  <si>
    <t>FES FM Ltd</t>
  </si>
  <si>
    <t>PPM and Reactive Works for the HVAC &amp; M&amp;E Services</t>
  </si>
  <si>
    <t>Provision of Microsoft MSDN Licences</t>
  </si>
  <si>
    <t>Sophos End Point Security Solution</t>
  </si>
  <si>
    <t>Softcat Ltd</t>
  </si>
  <si>
    <t>Symantec Enterprise Vault Maintenance</t>
  </si>
  <si>
    <t>Updata Infrastructure UK Ltd</t>
  </si>
  <si>
    <t>Wider Network Services</t>
  </si>
  <si>
    <t>Total Resources, Public Access</t>
  </si>
  <si>
    <t>Total Third Sector Commisssioned Services</t>
  </si>
  <si>
    <t>£17k paid in 21/22</t>
  </si>
  <si>
    <t xml:space="preserve">Charitable Trust which delivered the Homeworld Heritage Programme for MKC  Collecting material for 40th anniversary and making it publicly available. </t>
  </si>
  <si>
    <t xml:space="preserve">Charitable Trust and one of three important  Archives , a grant of £3K to transfer and upgrade their servers to protect digital archives from loss. </t>
  </si>
  <si>
    <t>One-off</t>
  </si>
  <si>
    <t>Event specific £7k paid in 21/22</t>
  </si>
  <si>
    <t>Collection specific £3k paid in 21/22</t>
  </si>
  <si>
    <t>MK City Discovery Centre</t>
  </si>
  <si>
    <t xml:space="preserve">www.mkcdc.org.uk </t>
  </si>
  <si>
    <t>Charitable Trust and one of three important  Archives, a grant of £5K to engage SEND schools in the new opportunities the capital project has realised.</t>
  </si>
  <si>
    <t>£5k paid in 21/22</t>
  </si>
  <si>
    <t>Cowper &amp; Newton Museum</t>
  </si>
  <si>
    <t>https://cowperandnewtonmuseum.org.uk/</t>
  </si>
  <si>
    <t>To support their AG250 Amazing Grace 250th anniversary programme and expand their reach and audiences from Olney to across Milton Keynes via Heritage Fund bid</t>
  </si>
  <si>
    <t xml:space="preserve">12 months </t>
  </si>
  <si>
    <t>£10k Payment was deferred until Mar 22</t>
  </si>
  <si>
    <t>International New Town Institute (INTI)</t>
  </si>
  <si>
    <t>http://www.newtowninstitute.org/</t>
  </si>
  <si>
    <t>Working with/for MK to build European Networks of other new towns, Secure funding for projects and activity for Milton Keynes residents</t>
  </si>
  <si>
    <t xml:space="preserve">No grant awarded due to organisational changes and the need to resubmit with a new Director in post. </t>
  </si>
  <si>
    <t>Project still in development hence no payment in 21/22</t>
  </si>
  <si>
    <t>No application was made for grant-aid</t>
  </si>
  <si>
    <t>Customer &amp; Community Services</t>
  </si>
  <si>
    <t>April - 2021</t>
  </si>
  <si>
    <t>april - 2021</t>
  </si>
  <si>
    <t>June - 2021</t>
  </si>
  <si>
    <t>Total of £47k paid, date of last payment 23/03/22</t>
  </si>
  <si>
    <t>Total of £15k paid, date of last payment 23/11/22</t>
  </si>
  <si>
    <t>Total of £6k paid, date of last payment 08/03/22</t>
  </si>
  <si>
    <t>Total of £13k paid, date of last payment 15/03/22.</t>
  </si>
  <si>
    <t>Total of £6k paid , date of last payment 21/09/22</t>
  </si>
  <si>
    <t>Total of £10k paid, date of last payment 23/11/22</t>
  </si>
  <si>
    <t>Total of £3k to be paid by 31/03/22</t>
  </si>
  <si>
    <t>An award was made to the African and Carribbean Carnival instead of Global Outreach. Date of last payment 23/11/22</t>
  </si>
  <si>
    <t>£7.5k to be paid by 31/03/22</t>
  </si>
  <si>
    <t xml:space="preserve"> </t>
  </si>
  <si>
    <t>Voluntary Grants Expenditure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</si>
</sst>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;\(#,##0\);\-"/>
    <numFmt numFmtId="165" formatCode="dd/mm/yy;@"/>
    <numFmt numFmtId="166" formatCode="[$-809]dd\ mmmm\ yyyy;@"/>
  </numFmts>
  <fonts count="16"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Inherit"/>
    </font>
    <font>
      <u/>
      <sz val="10"/>
      <color theme="10"/>
      <name val="Arial"/>
      <family val="2"/>
    </font>
    <font>
      <sz val="11"/>
      <color rgb="FF333333"/>
      <name val="Roboto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6" fillId="0" borderId="0"/>
    <xf numFmtId="0" fontId="13" fillId="0" borderId="0" applyNumberFormat="0" applyFill="0" applyBorder="0" applyAlignment="0" applyProtection="0"/>
  </cellStyleXfs>
  <cellXfs count="227">
    <xf numFmtId="0" fontId="0" fillId="0" borderId="0" xfId="0"/>
    <xf numFmtId="3" fontId="4" fillId="0" borderId="9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3" fontId="4" fillId="0" borderId="13" xfId="1" applyNumberFormat="1" applyFont="1" applyBorder="1" applyAlignment="1">
      <alignment horizontal="center" vertical="center" wrapText="1"/>
    </xf>
    <xf numFmtId="3" fontId="4" fillId="0" borderId="11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6" xfId="1" applyNumberFormat="1" applyFont="1" applyBorder="1" applyAlignment="1">
      <alignment horizontal="center" vertical="center" wrapText="1"/>
    </xf>
    <xf numFmtId="3" fontId="4" fillId="0" borderId="7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4" xfId="0" applyFont="1" applyBorder="1"/>
    <xf numFmtId="3" fontId="5" fillId="0" borderId="2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/>
    <xf numFmtId="0" fontId="4" fillId="0" borderId="8" xfId="0" applyFont="1" applyBorder="1" applyAlignment="1">
      <alignment horizontal="left" vertical="center"/>
    </xf>
    <xf numFmtId="0" fontId="4" fillId="0" borderId="10" xfId="0" applyFont="1" applyBorder="1"/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/>
    <xf numFmtId="0" fontId="4" fillId="0" borderId="9" xfId="0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0" fillId="0" borderId="9" xfId="1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6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9" fontId="4" fillId="0" borderId="8" xfId="1" applyNumberFormat="1" applyFont="1" applyBorder="1" applyAlignment="1">
      <alignment horizontal="center" vertical="center"/>
    </xf>
    <xf numFmtId="9" fontId="4" fillId="0" borderId="0" xfId="1" applyNumberFormat="1" applyFont="1" applyAlignment="1">
      <alignment horizontal="center" vertical="center"/>
    </xf>
    <xf numFmtId="9" fontId="4" fillId="0" borderId="9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vertical="center" wrapText="1"/>
    </xf>
    <xf numFmtId="0" fontId="0" fillId="0" borderId="0" xfId="1" applyFont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4" fillId="0" borderId="13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5" fillId="0" borderId="0" xfId="1" applyFont="1" applyAlignment="1">
      <alignment vertical="center"/>
    </xf>
    <xf numFmtId="1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5" fillId="0" borderId="4" xfId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left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0" xfId="1" quotePrefix="1" applyFont="1" applyAlignment="1">
      <alignment vertical="center" wrapText="1"/>
    </xf>
    <xf numFmtId="0" fontId="12" fillId="0" borderId="0" xfId="0" applyFont="1"/>
    <xf numFmtId="0" fontId="12" fillId="0" borderId="3" xfId="0" applyFont="1" applyBorder="1"/>
    <xf numFmtId="0" fontId="12" fillId="0" borderId="0" xfId="0" applyFont="1" applyAlignment="1">
      <alignment wrapText="1"/>
    </xf>
    <xf numFmtId="0" fontId="13" fillId="0" borderId="0" xfId="6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0" fillId="0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1" applyFont="1" applyFill="1"/>
    <xf numFmtId="0" fontId="0" fillId="0" borderId="0" xfId="1" applyFont="1" applyFill="1" applyAlignment="1">
      <alignment vertical="center"/>
    </xf>
    <xf numFmtId="0" fontId="4" fillId="0" borderId="2" xfId="1" applyFont="1" applyFill="1" applyBorder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 wrapText="1"/>
    </xf>
    <xf numFmtId="3" fontId="4" fillId="0" borderId="15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/>
    </xf>
    <xf numFmtId="3" fontId="4" fillId="0" borderId="9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3" fontId="4" fillId="0" borderId="10" xfId="1" applyNumberFormat="1" applyFont="1" applyFill="1" applyBorder="1" applyAlignment="1">
      <alignment horizontal="center" vertical="center"/>
    </xf>
    <xf numFmtId="3" fontId="0" fillId="0" borderId="9" xfId="1" applyNumberFormat="1" applyFont="1" applyFill="1" applyBorder="1" applyAlignment="1">
      <alignment horizontal="center" vertical="center" wrapText="1"/>
    </xf>
    <xf numFmtId="3" fontId="1" fillId="0" borderId="9" xfId="1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3" fontId="15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166" fontId="0" fillId="0" borderId="9" xfId="1" applyNumberFormat="1" applyFont="1" applyFill="1" applyBorder="1" applyAlignment="1">
      <alignment horizontal="center" vertical="center" wrapText="1"/>
    </xf>
    <xf numFmtId="164" fontId="0" fillId="0" borderId="9" xfId="1" applyNumberFormat="1" applyFont="1" applyFill="1" applyBorder="1" applyAlignment="1">
      <alignment horizontal="center" vertical="center" wrapText="1"/>
    </xf>
    <xf numFmtId="49" fontId="0" fillId="0" borderId="9" xfId="1" applyNumberFormat="1" applyFont="1" applyFill="1" applyBorder="1" applyAlignment="1">
      <alignment horizontal="center" vertical="center" wrapText="1"/>
    </xf>
    <xf numFmtId="14" fontId="4" fillId="0" borderId="10" xfId="1" applyNumberFormat="1" applyFont="1" applyFill="1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/>
    </xf>
    <xf numFmtId="14" fontId="4" fillId="0" borderId="9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/>
    </xf>
    <xf numFmtId="4" fontId="0" fillId="0" borderId="10" xfId="1" applyNumberFormat="1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/>
    </xf>
    <xf numFmtId="14" fontId="4" fillId="0" borderId="7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7">
    <cellStyle name="Comma 2" xfId="2" xr:uid="{00000000-0005-0000-0000-000000000000}"/>
    <cellStyle name="Currency 2" xfId="3" xr:uid="{00000000-0005-0000-0000-000001000000}"/>
    <cellStyle name="Hyperlink" xfId="6" builtinId="8"/>
    <cellStyle name="Normal" xfId="0" builtinId="0"/>
    <cellStyle name="Normal 2" xfId="4" xr:uid="{00000000-0005-0000-0000-000003000000}"/>
    <cellStyle name="Normal 3" xfId="5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hyperlink" Target="https://www.leapwithus.org.uk/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vmlDrawing" Target="../drawings/vmlDrawing1.vm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hyperlink" Target="http://www.mkcdc.org.uk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13" Type="http://schemas.openxmlformats.org/officeDocument/2006/relationships/printerSettings" Target="../printerSettings/printerSettings31.bin"/><Relationship Id="rId1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12" Type="http://schemas.openxmlformats.org/officeDocument/2006/relationships/printerSettings" Target="../printerSettings/printerSettings30.bin"/><Relationship Id="rId1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20.bin"/><Relationship Id="rId16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11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3.bin"/><Relationship Id="rId1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Relationship Id="rId1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T194"/>
  <sheetViews>
    <sheetView tabSelected="1" zoomScale="85" zoomScaleNormal="85" workbookViewId="0">
      <pane ySplit="4" topLeftCell="A5" activePane="bottomLeft" state="frozen"/>
      <selection pane="bottomLeft" activeCell="E8" sqref="E8"/>
    </sheetView>
  </sheetViews>
  <sheetFormatPr defaultColWidth="9.1796875" defaultRowHeight="12.5"/>
  <cols>
    <col min="1" max="1" width="11.54296875" style="92" customWidth="1"/>
    <col min="2" max="2" width="16.453125" style="92" customWidth="1"/>
    <col min="3" max="3" width="33.54296875" style="152" customWidth="1"/>
    <col min="4" max="4" width="22.1796875" style="93" customWidth="1"/>
    <col min="5" max="5" width="67.1796875" style="92" customWidth="1"/>
    <col min="6" max="6" width="10.81640625" style="162" customWidth="1"/>
    <col min="7" max="7" width="29.26953125" style="154" customWidth="1"/>
    <col min="8" max="8" width="15.54296875" style="152" customWidth="1"/>
    <col min="9" max="9" width="15.26953125" style="152" customWidth="1"/>
    <col min="10" max="10" width="38.1796875" style="92" customWidth="1"/>
    <col min="11" max="14" width="9.1796875" style="94" hidden="1" customWidth="1"/>
    <col min="15" max="15" width="9.1796875" style="92" hidden="1" customWidth="1"/>
    <col min="16" max="16" width="11.26953125" style="92" bestFit="1" customWidth="1"/>
    <col min="17" max="17" width="22.7265625" style="92" bestFit="1" customWidth="1"/>
    <col min="18" max="18" width="10.26953125" style="92" bestFit="1" customWidth="1"/>
    <col min="19" max="19" width="9.1796875" style="92"/>
    <col min="20" max="20" width="19.453125" style="92" customWidth="1"/>
    <col min="21" max="21" width="11.26953125" style="92" bestFit="1" customWidth="1"/>
    <col min="22" max="16384" width="9.1796875" style="92"/>
  </cols>
  <sheetData>
    <row r="1" spans="1:17" ht="13">
      <c r="A1" s="91" t="s">
        <v>572</v>
      </c>
      <c r="B1" s="91"/>
    </row>
    <row r="2" spans="1:17" ht="13">
      <c r="A2" s="91"/>
      <c r="B2" s="91"/>
      <c r="F2" s="216"/>
      <c r="G2" s="217"/>
      <c r="H2" s="217"/>
      <c r="I2" s="217"/>
    </row>
    <row r="3" spans="1:17">
      <c r="F3" s="218"/>
      <c r="G3" s="218"/>
      <c r="H3" s="218"/>
      <c r="I3" s="218"/>
      <c r="K3" s="213" t="s">
        <v>0</v>
      </c>
      <c r="L3" s="214"/>
      <c r="M3" s="214"/>
      <c r="N3" s="215"/>
    </row>
    <row r="4" spans="1:17" s="96" customFormat="1" ht="39">
      <c r="A4" s="95" t="s">
        <v>1</v>
      </c>
      <c r="B4" s="95" t="s">
        <v>2</v>
      </c>
      <c r="C4" s="153" t="s">
        <v>3</v>
      </c>
      <c r="D4" s="95" t="s">
        <v>4</v>
      </c>
      <c r="E4" s="120" t="s">
        <v>5</v>
      </c>
      <c r="F4" s="163" t="s">
        <v>6</v>
      </c>
      <c r="G4" s="164" t="s">
        <v>7</v>
      </c>
      <c r="H4" s="165" t="s">
        <v>8</v>
      </c>
      <c r="I4" s="165" t="s">
        <v>9</v>
      </c>
      <c r="K4" s="97" t="s">
        <v>10</v>
      </c>
      <c r="L4" s="98" t="s">
        <v>11</v>
      </c>
      <c r="M4" s="99" t="s">
        <v>12</v>
      </c>
      <c r="N4" s="100" t="s">
        <v>13</v>
      </c>
    </row>
    <row r="5" spans="1:17" ht="15" customHeight="1">
      <c r="A5" s="101"/>
      <c r="B5" s="102"/>
      <c r="C5" s="154"/>
      <c r="E5" s="93"/>
      <c r="F5" s="166"/>
      <c r="G5" s="167"/>
      <c r="H5" s="167"/>
      <c r="I5" s="167"/>
      <c r="K5" s="103"/>
      <c r="L5" s="104"/>
      <c r="M5" s="104"/>
      <c r="N5" s="105"/>
    </row>
    <row r="6" spans="1:17" ht="50">
      <c r="A6" s="106" t="s">
        <v>14</v>
      </c>
      <c r="B6" s="107" t="s">
        <v>63</v>
      </c>
      <c r="C6" s="154" t="s">
        <v>15</v>
      </c>
      <c r="D6" s="107" t="s">
        <v>16</v>
      </c>
      <c r="E6" s="93" t="s">
        <v>17</v>
      </c>
      <c r="F6" s="168">
        <v>0</v>
      </c>
      <c r="G6" s="169" t="s">
        <v>555</v>
      </c>
      <c r="H6" s="170"/>
      <c r="I6" s="169"/>
      <c r="K6" s="103" t="e">
        <f>(#REF!/#REF!)-1</f>
        <v>#REF!</v>
      </c>
      <c r="L6" s="104" t="e">
        <f>(#REF!/#REF!)-1</f>
        <v>#REF!</v>
      </c>
      <c r="M6" s="104" t="e">
        <f>(#REF!/#REF!)-1</f>
        <v>#REF!</v>
      </c>
      <c r="N6" s="105" t="e">
        <f>(#REF!/#REF!)-1</f>
        <v>#REF!</v>
      </c>
      <c r="P6" s="116"/>
      <c r="Q6" s="117"/>
    </row>
    <row r="7" spans="1:17" ht="37.5">
      <c r="A7" s="106" t="s">
        <v>14</v>
      </c>
      <c r="B7" s="107" t="s">
        <v>63</v>
      </c>
      <c r="C7" s="155" t="s">
        <v>19</v>
      </c>
      <c r="D7" s="107" t="s">
        <v>20</v>
      </c>
      <c r="E7" s="107" t="s">
        <v>21</v>
      </c>
      <c r="F7" s="168">
        <v>47000</v>
      </c>
      <c r="G7" s="169" t="s">
        <v>562</v>
      </c>
      <c r="H7" s="170">
        <v>44643</v>
      </c>
      <c r="I7" s="169" t="s">
        <v>18</v>
      </c>
      <c r="K7" s="103" t="e">
        <f>(#REF!/#REF!)-1</f>
        <v>#REF!</v>
      </c>
      <c r="L7" s="104" t="e">
        <f>(#REF!/#REF!)-1</f>
        <v>#REF!</v>
      </c>
      <c r="M7" s="104" t="e">
        <f>(#REF!/#REF!)-1</f>
        <v>#REF!</v>
      </c>
      <c r="N7" s="105" t="e">
        <f>(#REF!/#REF!)-1</f>
        <v>#REF!</v>
      </c>
      <c r="P7" s="116"/>
      <c r="Q7" s="117"/>
    </row>
    <row r="8" spans="1:17" ht="37.5">
      <c r="A8" s="106" t="s">
        <v>14</v>
      </c>
      <c r="B8" s="107" t="s">
        <v>63</v>
      </c>
      <c r="C8" s="154" t="s">
        <v>22</v>
      </c>
      <c r="D8" s="107" t="s">
        <v>23</v>
      </c>
      <c r="E8" s="93" t="s">
        <v>24</v>
      </c>
      <c r="F8" s="168">
        <v>15000</v>
      </c>
      <c r="G8" s="169" t="s">
        <v>563</v>
      </c>
      <c r="H8" s="170">
        <v>44888</v>
      </c>
      <c r="I8" s="169" t="s">
        <v>18</v>
      </c>
      <c r="K8" s="103" t="e">
        <f>(#REF!/#REF!)-1</f>
        <v>#REF!</v>
      </c>
      <c r="L8" s="104" t="e">
        <f>(#REF!/#REF!)-1</f>
        <v>#REF!</v>
      </c>
      <c r="M8" s="104" t="e">
        <f>(#REF!/#REF!)-1</f>
        <v>#REF!</v>
      </c>
      <c r="N8" s="105" t="e">
        <f>(#REF!/#REF!)-1</f>
        <v>#REF!</v>
      </c>
      <c r="P8" s="116"/>
      <c r="Q8" s="117"/>
    </row>
    <row r="9" spans="1:17" ht="25">
      <c r="A9" s="106" t="s">
        <v>14</v>
      </c>
      <c r="B9" s="107" t="s">
        <v>63</v>
      </c>
      <c r="C9" s="154" t="s">
        <v>25</v>
      </c>
      <c r="D9" s="107" t="s">
        <v>26</v>
      </c>
      <c r="E9" s="93" t="s">
        <v>27</v>
      </c>
      <c r="F9" s="168">
        <v>6000</v>
      </c>
      <c r="G9" s="169" t="s">
        <v>564</v>
      </c>
      <c r="H9" s="170">
        <v>44628</v>
      </c>
      <c r="I9" s="169" t="s">
        <v>18</v>
      </c>
      <c r="K9" s="103" t="e">
        <f>(#REF!/#REF!)-1</f>
        <v>#REF!</v>
      </c>
      <c r="L9" s="104" t="e">
        <f>(#REF!/#REF!)-1</f>
        <v>#REF!</v>
      </c>
      <c r="M9" s="104" t="e">
        <f>(#REF!/#REF!)-1</f>
        <v>#REF!</v>
      </c>
      <c r="N9" s="105" t="e">
        <f>(#REF!/#REF!)-1</f>
        <v>#REF!</v>
      </c>
      <c r="P9" s="118"/>
      <c r="Q9" s="117"/>
    </row>
    <row r="10" spans="1:17" ht="23.25" customHeight="1">
      <c r="A10" s="106" t="s">
        <v>14</v>
      </c>
      <c r="B10" s="107" t="s">
        <v>63</v>
      </c>
      <c r="C10" s="154" t="s">
        <v>28</v>
      </c>
      <c r="D10" s="107" t="s">
        <v>29</v>
      </c>
      <c r="E10" s="93" t="s">
        <v>30</v>
      </c>
      <c r="F10" s="168">
        <v>13000</v>
      </c>
      <c r="G10" s="169" t="s">
        <v>565</v>
      </c>
      <c r="H10" s="170">
        <v>43963</v>
      </c>
      <c r="I10" s="169" t="s">
        <v>18</v>
      </c>
      <c r="K10" s="103" t="e">
        <f>(#REF!/#REF!)-1</f>
        <v>#REF!</v>
      </c>
      <c r="L10" s="104" t="e">
        <f>(#REF!/#REF!)-1</f>
        <v>#REF!</v>
      </c>
      <c r="M10" s="104" t="e">
        <f>(#REF!/#REF!)-1</f>
        <v>#REF!</v>
      </c>
      <c r="N10" s="105" t="e">
        <f>(#REF!/#REF!)-1</f>
        <v>#REF!</v>
      </c>
      <c r="P10" s="116"/>
      <c r="Q10" s="117"/>
    </row>
    <row r="11" spans="1:17" ht="25.5" customHeight="1">
      <c r="A11" s="106" t="s">
        <v>14</v>
      </c>
      <c r="B11" s="107" t="s">
        <v>63</v>
      </c>
      <c r="C11" s="154" t="s">
        <v>31</v>
      </c>
      <c r="D11" s="107" t="s">
        <v>32</v>
      </c>
      <c r="E11" s="93" t="s">
        <v>33</v>
      </c>
      <c r="F11" s="168">
        <v>6000</v>
      </c>
      <c r="G11" s="169" t="s">
        <v>566</v>
      </c>
      <c r="H11" s="170">
        <v>44825</v>
      </c>
      <c r="I11" s="169" t="s">
        <v>34</v>
      </c>
      <c r="K11" s="103"/>
      <c r="L11" s="104"/>
      <c r="M11" s="104"/>
      <c r="N11" s="105"/>
      <c r="P11" s="117"/>
      <c r="Q11" s="117"/>
    </row>
    <row r="12" spans="1:17" ht="35.25" customHeight="1">
      <c r="A12" s="106" t="s">
        <v>14</v>
      </c>
      <c r="B12" s="107" t="s">
        <v>63</v>
      </c>
      <c r="C12" s="154" t="s">
        <v>35</v>
      </c>
      <c r="D12" s="107" t="s">
        <v>36</v>
      </c>
      <c r="E12" s="107" t="s">
        <v>37</v>
      </c>
      <c r="F12" s="168">
        <v>10000</v>
      </c>
      <c r="G12" s="169" t="s">
        <v>567</v>
      </c>
      <c r="H12" s="170">
        <v>44888</v>
      </c>
      <c r="I12" s="169" t="s">
        <v>34</v>
      </c>
      <c r="K12" s="103"/>
      <c r="L12" s="104"/>
      <c r="M12" s="104"/>
      <c r="N12" s="105"/>
      <c r="P12" s="117"/>
      <c r="Q12" s="117"/>
    </row>
    <row r="13" spans="1:17" ht="36.75" customHeight="1">
      <c r="A13" s="106" t="s">
        <v>14</v>
      </c>
      <c r="B13" s="107" t="s">
        <v>63</v>
      </c>
      <c r="C13" s="154" t="s">
        <v>38</v>
      </c>
      <c r="D13" s="107" t="s">
        <v>39</v>
      </c>
      <c r="E13" s="93" t="s">
        <v>40</v>
      </c>
      <c r="F13" s="168">
        <v>3000</v>
      </c>
      <c r="G13" s="169" t="s">
        <v>568</v>
      </c>
      <c r="H13" s="170">
        <v>44651</v>
      </c>
      <c r="I13" s="169" t="s">
        <v>34</v>
      </c>
      <c r="K13" s="103"/>
      <c r="L13" s="104"/>
      <c r="M13" s="104"/>
      <c r="N13" s="105"/>
      <c r="P13" s="117"/>
      <c r="Q13" s="117"/>
    </row>
    <row r="14" spans="1:17" ht="36.75" customHeight="1">
      <c r="A14" s="106" t="s">
        <v>41</v>
      </c>
      <c r="B14" s="107" t="s">
        <v>63</v>
      </c>
      <c r="C14" s="154" t="s">
        <v>42</v>
      </c>
      <c r="D14" s="107" t="s">
        <v>43</v>
      </c>
      <c r="E14" s="93" t="s">
        <v>44</v>
      </c>
      <c r="F14" s="168">
        <v>0</v>
      </c>
      <c r="G14" s="169" t="s">
        <v>556</v>
      </c>
      <c r="H14" s="171" t="s">
        <v>45</v>
      </c>
      <c r="I14" s="169" t="s">
        <v>18</v>
      </c>
      <c r="K14" s="103"/>
      <c r="L14" s="104"/>
      <c r="M14" s="104"/>
      <c r="N14" s="105"/>
      <c r="P14" s="117"/>
      <c r="Q14" s="117"/>
    </row>
    <row r="15" spans="1:17" ht="36.75" customHeight="1">
      <c r="A15" s="106" t="s">
        <v>41</v>
      </c>
      <c r="B15" s="107" t="s">
        <v>63</v>
      </c>
      <c r="C15" s="154" t="s">
        <v>46</v>
      </c>
      <c r="D15" s="107" t="s">
        <v>47</v>
      </c>
      <c r="E15" s="93" t="s">
        <v>48</v>
      </c>
      <c r="F15" s="168">
        <v>0</v>
      </c>
      <c r="G15" s="169" t="s">
        <v>557</v>
      </c>
      <c r="H15" s="170"/>
      <c r="I15" s="169" t="s">
        <v>18</v>
      </c>
      <c r="K15" s="103"/>
      <c r="L15" s="104"/>
      <c r="M15" s="104"/>
      <c r="N15" s="105"/>
      <c r="P15" s="117"/>
      <c r="Q15" s="117"/>
    </row>
    <row r="16" spans="1:17" ht="52.5" customHeight="1">
      <c r="A16" s="106" t="s">
        <v>41</v>
      </c>
      <c r="B16" s="107" t="s">
        <v>63</v>
      </c>
      <c r="C16" s="154" t="s">
        <v>49</v>
      </c>
      <c r="D16" s="107" t="s">
        <v>50</v>
      </c>
      <c r="E16" s="93" t="s">
        <v>51</v>
      </c>
      <c r="F16" s="172">
        <v>10000</v>
      </c>
      <c r="G16" s="169" t="s">
        <v>569</v>
      </c>
      <c r="H16" s="170">
        <v>44888</v>
      </c>
      <c r="I16" s="169" t="s">
        <v>34</v>
      </c>
      <c r="K16" s="103"/>
      <c r="L16" s="104"/>
      <c r="M16" s="104"/>
      <c r="N16" s="105"/>
      <c r="P16" s="117"/>
      <c r="Q16" s="117"/>
    </row>
    <row r="17" spans="1:17" ht="15" customHeight="1">
      <c r="A17" s="210" t="s">
        <v>52</v>
      </c>
      <c r="B17" s="211"/>
      <c r="C17" s="212"/>
      <c r="D17" s="108"/>
      <c r="E17" s="108"/>
      <c r="F17" s="173">
        <f>SUM(F6:F16)</f>
        <v>110000</v>
      </c>
      <c r="G17" s="174"/>
      <c r="H17" s="174"/>
      <c r="I17" s="174"/>
      <c r="K17" s="103"/>
      <c r="L17" s="104"/>
      <c r="N17" s="109"/>
      <c r="P17" s="117"/>
      <c r="Q17" s="117"/>
    </row>
    <row r="18" spans="1:17" ht="15" customHeight="1">
      <c r="A18" s="101"/>
      <c r="B18" s="102"/>
      <c r="C18" s="154"/>
      <c r="E18" s="93"/>
      <c r="F18" s="175"/>
      <c r="G18" s="167"/>
      <c r="H18" s="167"/>
      <c r="I18" s="167"/>
      <c r="K18" s="103"/>
      <c r="L18" s="104"/>
      <c r="N18" s="109"/>
      <c r="P18" s="117"/>
      <c r="Q18" s="117"/>
    </row>
    <row r="19" spans="1:17" ht="37.5">
      <c r="A19" s="106" t="s">
        <v>53</v>
      </c>
      <c r="B19" s="107" t="s">
        <v>558</v>
      </c>
      <c r="C19" s="155" t="s">
        <v>54</v>
      </c>
      <c r="D19" s="148" t="s">
        <v>55</v>
      </c>
      <c r="E19" s="93" t="s">
        <v>56</v>
      </c>
      <c r="F19" s="175">
        <v>10500</v>
      </c>
      <c r="G19" s="176" t="s">
        <v>57</v>
      </c>
      <c r="H19" s="170">
        <v>44636</v>
      </c>
      <c r="I19" s="169" t="s">
        <v>18</v>
      </c>
      <c r="K19" s="103" t="e">
        <f>(#REF!/#REF!)-1</f>
        <v>#REF!</v>
      </c>
      <c r="L19" s="104" t="e">
        <f>(#REF!/#REF!)-1</f>
        <v>#REF!</v>
      </c>
      <c r="M19" s="104" t="e">
        <f>(#REF!/#REF!)-1</f>
        <v>#REF!</v>
      </c>
      <c r="N19" s="105" t="e">
        <f>(#REF!/#REF!)-1</f>
        <v>#REF!</v>
      </c>
    </row>
    <row r="20" spans="1:17" ht="37.5">
      <c r="A20" s="106" t="s">
        <v>53</v>
      </c>
      <c r="B20" s="107" t="s">
        <v>558</v>
      </c>
      <c r="C20" s="154" t="s">
        <v>58</v>
      </c>
      <c r="D20" s="93" t="s">
        <v>59</v>
      </c>
      <c r="E20" s="93" t="s">
        <v>60</v>
      </c>
      <c r="F20" s="175">
        <v>3898</v>
      </c>
      <c r="G20" s="176" t="s">
        <v>57</v>
      </c>
      <c r="H20" s="170">
        <v>44404</v>
      </c>
      <c r="I20" s="169" t="s">
        <v>18</v>
      </c>
      <c r="K20" s="103" t="e">
        <f>(#REF!/#REF!)-1</f>
        <v>#REF!</v>
      </c>
      <c r="L20" s="104" t="e">
        <f>(#REF!/#REF!)-1</f>
        <v>#REF!</v>
      </c>
      <c r="M20" s="104" t="e">
        <f>(#REF!/#REF!)-1</f>
        <v>#REF!</v>
      </c>
      <c r="N20" s="105" t="e">
        <f>(#REF!/#REF!)-1</f>
        <v>#REF!</v>
      </c>
    </row>
    <row r="21" spans="1:17" ht="15" customHeight="1">
      <c r="A21" s="210" t="s">
        <v>61</v>
      </c>
      <c r="B21" s="211"/>
      <c r="C21" s="212"/>
      <c r="D21" s="108"/>
      <c r="E21" s="108"/>
      <c r="F21" s="173">
        <f>SUM(F19:F20)</f>
        <v>14398</v>
      </c>
      <c r="G21" s="174"/>
      <c r="H21" s="174"/>
      <c r="I21" s="174"/>
      <c r="K21" s="103"/>
      <c r="L21" s="104"/>
      <c r="N21" s="109"/>
    </row>
    <row r="22" spans="1:17" ht="15" customHeight="1">
      <c r="A22" s="101"/>
      <c r="B22" s="102"/>
      <c r="C22" s="154"/>
      <c r="E22" s="93"/>
      <c r="F22" s="175"/>
      <c r="G22" s="167"/>
      <c r="H22" s="167"/>
      <c r="I22" s="167"/>
      <c r="K22" s="103"/>
      <c r="L22" s="104"/>
      <c r="N22" s="109"/>
    </row>
    <row r="23" spans="1:17" ht="37.5">
      <c r="A23" s="106" t="s">
        <v>62</v>
      </c>
      <c r="B23" s="107" t="s">
        <v>63</v>
      </c>
      <c r="C23" s="154" t="s">
        <v>64</v>
      </c>
      <c r="D23" s="107" t="s">
        <v>65</v>
      </c>
      <c r="E23" s="93" t="s">
        <v>66</v>
      </c>
      <c r="F23" s="175">
        <v>2500</v>
      </c>
      <c r="G23" s="177" t="s">
        <v>67</v>
      </c>
      <c r="H23" s="170">
        <v>44399</v>
      </c>
      <c r="I23" s="169" t="s">
        <v>18</v>
      </c>
      <c r="K23" s="103" t="e">
        <f>(#REF!/#REF!)-1</f>
        <v>#REF!</v>
      </c>
      <c r="L23" s="104" t="e">
        <f>(#REF!/#REF!)-1</f>
        <v>#REF!</v>
      </c>
      <c r="M23" s="104" t="e">
        <f>(#REF!/#REF!)-1</f>
        <v>#REF!</v>
      </c>
      <c r="N23" s="105" t="e">
        <f>(#REF!/#REF!)-1</f>
        <v>#REF!</v>
      </c>
    </row>
    <row r="24" spans="1:17" ht="37.5">
      <c r="A24" s="106" t="s">
        <v>62</v>
      </c>
      <c r="B24" s="107" t="s">
        <v>63</v>
      </c>
      <c r="C24" s="154" t="s">
        <v>68</v>
      </c>
      <c r="D24" s="107" t="s">
        <v>69</v>
      </c>
      <c r="E24" s="93" t="s">
        <v>70</v>
      </c>
      <c r="F24" s="175">
        <v>10000</v>
      </c>
      <c r="G24" s="177" t="s">
        <v>551</v>
      </c>
      <c r="H24" s="170"/>
      <c r="I24" s="169" t="s">
        <v>18</v>
      </c>
      <c r="K24" s="103"/>
      <c r="L24" s="104"/>
      <c r="M24" s="104"/>
      <c r="N24" s="105"/>
    </row>
    <row r="25" spans="1:17" ht="12.75" customHeight="1">
      <c r="A25" s="106" t="s">
        <v>62</v>
      </c>
      <c r="B25" s="107" t="s">
        <v>63</v>
      </c>
      <c r="C25" s="154" t="s">
        <v>71</v>
      </c>
      <c r="D25" s="107" t="s">
        <v>72</v>
      </c>
      <c r="E25" s="93" t="s">
        <v>73</v>
      </c>
      <c r="F25" s="175">
        <v>17000</v>
      </c>
      <c r="G25" s="177" t="s">
        <v>537</v>
      </c>
      <c r="H25" s="170">
        <v>44334</v>
      </c>
      <c r="I25" s="169" t="s">
        <v>18</v>
      </c>
      <c r="K25" s="103"/>
      <c r="L25" s="104"/>
      <c r="M25" s="104"/>
      <c r="N25" s="105"/>
    </row>
    <row r="26" spans="1:17" ht="22.5" customHeight="1">
      <c r="A26" s="106" t="s">
        <v>62</v>
      </c>
      <c r="B26" s="107" t="s">
        <v>63</v>
      </c>
      <c r="C26" s="154" t="s">
        <v>71</v>
      </c>
      <c r="D26" s="30" t="s">
        <v>72</v>
      </c>
      <c r="E26" s="93" t="s">
        <v>538</v>
      </c>
      <c r="F26" s="175">
        <v>7000</v>
      </c>
      <c r="G26" s="177" t="s">
        <v>541</v>
      </c>
      <c r="H26" s="170">
        <v>44530</v>
      </c>
      <c r="I26" s="169" t="s">
        <v>540</v>
      </c>
      <c r="K26" s="103"/>
      <c r="L26" s="104"/>
      <c r="M26" s="104"/>
      <c r="N26" s="105"/>
    </row>
    <row r="27" spans="1:17" ht="24.75" customHeight="1">
      <c r="A27" s="106" t="s">
        <v>62</v>
      </c>
      <c r="B27" s="107" t="s">
        <v>63</v>
      </c>
      <c r="C27" s="154" t="s">
        <v>71</v>
      </c>
      <c r="D27" s="30" t="s">
        <v>72</v>
      </c>
      <c r="E27" s="93" t="s">
        <v>539</v>
      </c>
      <c r="F27" s="175">
        <v>3000</v>
      </c>
      <c r="G27" s="177" t="s">
        <v>542</v>
      </c>
      <c r="H27" s="170">
        <v>44736</v>
      </c>
      <c r="I27" s="169" t="s">
        <v>540</v>
      </c>
      <c r="K27" s="103"/>
      <c r="L27" s="104"/>
      <c r="M27" s="104"/>
      <c r="N27" s="105"/>
    </row>
    <row r="28" spans="1:17" ht="12.75" customHeight="1">
      <c r="A28" s="106" t="s">
        <v>62</v>
      </c>
      <c r="B28" s="107" t="s">
        <v>63</v>
      </c>
      <c r="C28" s="156" t="s">
        <v>543</v>
      </c>
      <c r="D28" s="148" t="s">
        <v>544</v>
      </c>
      <c r="E28" s="30" t="s">
        <v>545</v>
      </c>
      <c r="F28" s="178">
        <v>5000</v>
      </c>
      <c r="G28" s="179" t="s">
        <v>546</v>
      </c>
      <c r="H28" s="180">
        <v>44714</v>
      </c>
      <c r="I28" s="181" t="s">
        <v>540</v>
      </c>
      <c r="K28" s="103"/>
      <c r="L28" s="104"/>
      <c r="M28" s="104"/>
      <c r="N28" s="105"/>
    </row>
    <row r="29" spans="1:17" ht="39.75" customHeight="1">
      <c r="A29" s="106" t="s">
        <v>62</v>
      </c>
      <c r="B29" s="107" t="s">
        <v>63</v>
      </c>
      <c r="C29" s="157" t="s">
        <v>547</v>
      </c>
      <c r="D29" t="s">
        <v>548</v>
      </c>
      <c r="E29" s="151" t="s">
        <v>549</v>
      </c>
      <c r="F29" s="182">
        <v>7500</v>
      </c>
      <c r="G29" s="183" t="s">
        <v>570</v>
      </c>
      <c r="H29" s="180">
        <v>44651</v>
      </c>
      <c r="I29" s="184" t="s">
        <v>550</v>
      </c>
      <c r="K29" s="103"/>
      <c r="L29" s="104"/>
      <c r="M29" s="104"/>
      <c r="N29" s="105"/>
    </row>
    <row r="30" spans="1:17" ht="39.75" customHeight="1">
      <c r="A30" s="106" t="s">
        <v>62</v>
      </c>
      <c r="B30" s="107" t="s">
        <v>63</v>
      </c>
      <c r="C30" s="157" t="s">
        <v>552</v>
      </c>
      <c r="D30" t="s">
        <v>553</v>
      </c>
      <c r="E30" s="150" t="s">
        <v>554</v>
      </c>
      <c r="F30" s="185">
        <v>5059.51</v>
      </c>
      <c r="G30" s="179" t="s">
        <v>546</v>
      </c>
      <c r="H30" s="180">
        <v>44287</v>
      </c>
      <c r="I30" s="186" t="s">
        <v>18</v>
      </c>
      <c r="K30" s="103"/>
      <c r="L30" s="104"/>
      <c r="M30" s="104"/>
      <c r="N30" s="105"/>
    </row>
    <row r="31" spans="1:17" ht="15" customHeight="1">
      <c r="A31" s="210" t="s">
        <v>74</v>
      </c>
      <c r="B31" s="211"/>
      <c r="C31" s="212"/>
      <c r="D31" s="108"/>
      <c r="E31" s="108"/>
      <c r="F31" s="173">
        <f>SUM(F23:F30)</f>
        <v>57059.51</v>
      </c>
      <c r="G31" s="174"/>
      <c r="H31" s="174"/>
      <c r="I31" s="174"/>
      <c r="K31" s="103"/>
      <c r="L31" s="104"/>
      <c r="N31" s="109"/>
    </row>
    <row r="32" spans="1:17" ht="15" customHeight="1">
      <c r="A32" s="101"/>
      <c r="B32" s="102"/>
      <c r="C32" s="154"/>
      <c r="E32" s="93"/>
      <c r="F32" s="175"/>
      <c r="G32" s="176"/>
      <c r="H32" s="187"/>
      <c r="I32" s="187"/>
      <c r="K32" s="110"/>
      <c r="N32" s="109"/>
    </row>
    <row r="33" spans="1:20" ht="25">
      <c r="A33" s="93" t="s">
        <v>75</v>
      </c>
      <c r="B33" s="93" t="s">
        <v>75</v>
      </c>
      <c r="C33" s="154" t="s">
        <v>76</v>
      </c>
      <c r="D33" s="107" t="s">
        <v>77</v>
      </c>
      <c r="E33" s="93" t="s">
        <v>78</v>
      </c>
      <c r="F33" s="175">
        <v>49500</v>
      </c>
      <c r="G33" s="167"/>
      <c r="H33" s="188">
        <v>44287</v>
      </c>
      <c r="I33" s="169" t="s">
        <v>18</v>
      </c>
      <c r="K33" s="103" t="e">
        <f>(#REF!/#REF!)-1</f>
        <v>#REF!</v>
      </c>
      <c r="L33" s="104" t="e">
        <f>(#REF!/#REF!)-1</f>
        <v>#REF!</v>
      </c>
      <c r="M33" s="104" t="e">
        <f>(#REF!/#REF!)-1</f>
        <v>#REF!</v>
      </c>
      <c r="N33" s="105" t="e">
        <f>(#REF!/#REF!)-1</f>
        <v>#REF!</v>
      </c>
    </row>
    <row r="34" spans="1:20" ht="50">
      <c r="A34" s="93" t="s">
        <v>75</v>
      </c>
      <c r="B34" s="93" t="s">
        <v>75</v>
      </c>
      <c r="C34" s="154" t="s">
        <v>79</v>
      </c>
      <c r="D34" s="107" t="s">
        <v>80</v>
      </c>
      <c r="E34" s="93" t="s">
        <v>81</v>
      </c>
      <c r="F34" s="175">
        <v>0</v>
      </c>
      <c r="G34" s="189" t="s">
        <v>82</v>
      </c>
      <c r="H34" s="169"/>
      <c r="I34" s="169"/>
      <c r="K34" s="103" t="e">
        <f>(#REF!/#REF!)-1</f>
        <v>#REF!</v>
      </c>
      <c r="L34" s="104"/>
      <c r="M34" s="104"/>
      <c r="N34" s="105"/>
      <c r="Q34" s="111"/>
      <c r="S34" s="111"/>
    </row>
    <row r="35" spans="1:20" ht="37.5">
      <c r="A35" s="93" t="s">
        <v>75</v>
      </c>
      <c r="B35" s="93" t="s">
        <v>75</v>
      </c>
      <c r="C35" s="154" t="s">
        <v>83</v>
      </c>
      <c r="D35" s="107" t="s">
        <v>84</v>
      </c>
      <c r="E35" s="93" t="s">
        <v>85</v>
      </c>
      <c r="F35" s="175">
        <v>62197</v>
      </c>
      <c r="G35" s="176" t="s">
        <v>86</v>
      </c>
      <c r="H35" s="190" t="s">
        <v>559</v>
      </c>
      <c r="I35" s="190" t="s">
        <v>18</v>
      </c>
      <c r="K35" s="103" t="e">
        <f>(#REF!/#REF!)-1</f>
        <v>#REF!</v>
      </c>
      <c r="L35" s="104" t="e">
        <f>(#REF!/#REF!)-1</f>
        <v>#REF!</v>
      </c>
      <c r="M35" s="104" t="e">
        <f>(#REF!/#REF!)-1</f>
        <v>#REF!</v>
      </c>
      <c r="N35" s="105" t="e">
        <f>(#REF!/#REF!)-1</f>
        <v>#REF!</v>
      </c>
      <c r="Q35" s="111"/>
      <c r="S35" s="111"/>
      <c r="T35"/>
    </row>
    <row r="36" spans="1:20" ht="25">
      <c r="A36" s="93" t="s">
        <v>75</v>
      </c>
      <c r="B36" s="93" t="s">
        <v>88</v>
      </c>
      <c r="C36" s="155" t="s">
        <v>89</v>
      </c>
      <c r="D36" s="107" t="s">
        <v>90</v>
      </c>
      <c r="E36" s="107" t="s">
        <v>91</v>
      </c>
      <c r="F36" s="175">
        <v>3125</v>
      </c>
      <c r="G36" s="176" t="s">
        <v>92</v>
      </c>
      <c r="H36" s="190" t="s">
        <v>561</v>
      </c>
      <c r="I36" s="190" t="s">
        <v>18</v>
      </c>
      <c r="K36" s="103"/>
      <c r="L36" s="104"/>
      <c r="M36" s="104"/>
      <c r="N36" s="105"/>
    </row>
    <row r="37" spans="1:20" ht="25">
      <c r="A37" s="93" t="s">
        <v>75</v>
      </c>
      <c r="B37" s="93" t="s">
        <v>88</v>
      </c>
      <c r="C37" s="155" t="s">
        <v>89</v>
      </c>
      <c r="D37" s="107" t="s">
        <v>90</v>
      </c>
      <c r="E37" s="107" t="s">
        <v>93</v>
      </c>
      <c r="F37" s="175">
        <v>3125</v>
      </c>
      <c r="G37" s="176" t="s">
        <v>92</v>
      </c>
      <c r="H37" s="190" t="s">
        <v>559</v>
      </c>
      <c r="I37" s="190" t="s">
        <v>18</v>
      </c>
      <c r="K37" s="103"/>
      <c r="L37" s="104"/>
      <c r="M37" s="104"/>
      <c r="N37" s="105"/>
    </row>
    <row r="38" spans="1:20" ht="37.5">
      <c r="A38" s="93" t="s">
        <v>75</v>
      </c>
      <c r="B38" s="93" t="s">
        <v>88</v>
      </c>
      <c r="C38" s="154" t="s">
        <v>94</v>
      </c>
      <c r="D38" s="107" t="s">
        <v>95</v>
      </c>
      <c r="E38" s="93" t="s">
        <v>96</v>
      </c>
      <c r="F38" s="175">
        <v>12444</v>
      </c>
      <c r="G38" s="176" t="s">
        <v>92</v>
      </c>
      <c r="H38" s="190" t="s">
        <v>559</v>
      </c>
      <c r="I38" s="190" t="s">
        <v>18</v>
      </c>
      <c r="K38" s="103"/>
      <c r="L38" s="104"/>
      <c r="M38" s="104"/>
      <c r="N38" s="105"/>
    </row>
    <row r="39" spans="1:20" ht="25">
      <c r="A39" s="93" t="s">
        <v>75</v>
      </c>
      <c r="B39" s="93" t="s">
        <v>88</v>
      </c>
      <c r="C39" s="158" t="s">
        <v>97</v>
      </c>
      <c r="D39" s="107" t="s">
        <v>98</v>
      </c>
      <c r="E39" s="107" t="s">
        <v>99</v>
      </c>
      <c r="F39" s="175">
        <v>158644</v>
      </c>
      <c r="G39" s="176" t="s">
        <v>92</v>
      </c>
      <c r="H39" s="190" t="s">
        <v>559</v>
      </c>
      <c r="I39" s="190" t="s">
        <v>18</v>
      </c>
      <c r="K39" s="103"/>
      <c r="L39" s="104"/>
      <c r="M39" s="104"/>
      <c r="N39" s="105"/>
    </row>
    <row r="40" spans="1:20" ht="25">
      <c r="A40" s="93" t="s">
        <v>75</v>
      </c>
      <c r="B40" s="93" t="s">
        <v>88</v>
      </c>
      <c r="C40" s="159" t="s">
        <v>97</v>
      </c>
      <c r="D40" s="107" t="s">
        <v>98</v>
      </c>
      <c r="E40" s="107" t="s">
        <v>100</v>
      </c>
      <c r="F40" s="175">
        <v>0</v>
      </c>
      <c r="G40" s="176" t="s">
        <v>92</v>
      </c>
      <c r="H40" s="190" t="s">
        <v>87</v>
      </c>
      <c r="I40" s="190" t="s">
        <v>18</v>
      </c>
      <c r="K40" s="103"/>
      <c r="L40" s="104"/>
      <c r="M40" s="104"/>
      <c r="N40" s="105"/>
    </row>
    <row r="41" spans="1:20" ht="25">
      <c r="A41" s="93" t="s">
        <v>75</v>
      </c>
      <c r="B41" s="93" t="s">
        <v>88</v>
      </c>
      <c r="C41" s="159" t="s">
        <v>97</v>
      </c>
      <c r="D41" s="107" t="s">
        <v>98</v>
      </c>
      <c r="E41" s="107" t="s">
        <v>101</v>
      </c>
      <c r="F41" s="175">
        <v>15000</v>
      </c>
      <c r="G41" s="190" t="s">
        <v>102</v>
      </c>
      <c r="H41" s="190" t="s">
        <v>560</v>
      </c>
      <c r="I41" s="190" t="s">
        <v>106</v>
      </c>
      <c r="K41" s="103"/>
      <c r="L41" s="104"/>
      <c r="M41" s="104"/>
      <c r="N41" s="105"/>
    </row>
    <row r="42" spans="1:20" ht="25">
      <c r="A42" s="93" t="s">
        <v>75</v>
      </c>
      <c r="B42" s="93" t="s">
        <v>88</v>
      </c>
      <c r="C42" s="155" t="s">
        <v>103</v>
      </c>
      <c r="D42" s="107" t="s">
        <v>104</v>
      </c>
      <c r="E42" s="107" t="s">
        <v>105</v>
      </c>
      <c r="F42" s="175">
        <v>9393</v>
      </c>
      <c r="G42" s="176" t="s">
        <v>92</v>
      </c>
      <c r="H42" s="190" t="s">
        <v>559</v>
      </c>
      <c r="I42" s="190" t="s">
        <v>106</v>
      </c>
      <c r="K42" s="103"/>
      <c r="L42" s="104"/>
      <c r="M42" s="104"/>
      <c r="N42" s="105"/>
    </row>
    <row r="43" spans="1:20" ht="25">
      <c r="A43" s="93" t="s">
        <v>75</v>
      </c>
      <c r="B43" s="107" t="s">
        <v>107</v>
      </c>
      <c r="C43" s="160" t="s">
        <v>108</v>
      </c>
      <c r="D43" s="107">
        <v>1149480</v>
      </c>
      <c r="E43" s="107" t="s">
        <v>109</v>
      </c>
      <c r="F43" s="175">
        <v>25000</v>
      </c>
      <c r="G43" s="189" t="s">
        <v>110</v>
      </c>
      <c r="H43" s="191">
        <v>44287</v>
      </c>
      <c r="I43" s="192" t="s">
        <v>18</v>
      </c>
      <c r="J43" s="94"/>
      <c r="K43" s="104"/>
      <c r="L43" s="104"/>
      <c r="M43" s="104"/>
      <c r="N43" s="104"/>
      <c r="P43" s="90"/>
      <c r="Q43" s="90"/>
      <c r="R43" s="90"/>
      <c r="S43" s="90"/>
      <c r="T43" s="90"/>
    </row>
    <row r="44" spans="1:20" ht="25">
      <c r="A44" s="93" t="s">
        <v>75</v>
      </c>
      <c r="B44" s="107" t="s">
        <v>107</v>
      </c>
      <c r="C44" s="160" t="s">
        <v>111</v>
      </c>
      <c r="D44" s="107">
        <v>4205228</v>
      </c>
      <c r="E44" s="107" t="s">
        <v>112</v>
      </c>
      <c r="F44" s="175">
        <v>0</v>
      </c>
      <c r="G44" s="176" t="s">
        <v>113</v>
      </c>
      <c r="H44" s="191">
        <v>43922</v>
      </c>
      <c r="I44" s="190" t="s">
        <v>18</v>
      </c>
      <c r="J44" s="94"/>
      <c r="K44" s="104"/>
      <c r="L44" s="104"/>
      <c r="M44" s="104"/>
      <c r="N44" s="104"/>
      <c r="P44" s="90"/>
      <c r="Q44" s="90"/>
      <c r="R44" s="90"/>
      <c r="S44" s="90"/>
      <c r="T44" s="90"/>
    </row>
    <row r="45" spans="1:20" ht="25">
      <c r="A45" s="93" t="s">
        <v>75</v>
      </c>
      <c r="B45" s="107" t="s">
        <v>107</v>
      </c>
      <c r="C45" s="160" t="s">
        <v>114</v>
      </c>
      <c r="D45" s="107" t="s">
        <v>115</v>
      </c>
      <c r="E45" s="107" t="s">
        <v>116</v>
      </c>
      <c r="F45" s="175">
        <v>0</v>
      </c>
      <c r="G45" s="176" t="s">
        <v>117</v>
      </c>
      <c r="H45" s="191">
        <v>43922</v>
      </c>
      <c r="I45" s="190" t="s">
        <v>18</v>
      </c>
      <c r="J45" s="94"/>
      <c r="K45" s="104"/>
      <c r="L45" s="104"/>
      <c r="M45" s="104"/>
      <c r="N45" s="104"/>
      <c r="P45" s="90"/>
      <c r="Q45" s="90"/>
      <c r="R45" s="90"/>
      <c r="S45" s="90"/>
      <c r="T45" s="90"/>
    </row>
    <row r="46" spans="1:20" ht="25">
      <c r="A46" s="93" t="s">
        <v>75</v>
      </c>
      <c r="B46" s="107" t="s">
        <v>107</v>
      </c>
      <c r="C46" s="160" t="s">
        <v>118</v>
      </c>
      <c r="D46" s="107">
        <v>1132108</v>
      </c>
      <c r="E46" s="119" t="s">
        <v>119</v>
      </c>
      <c r="F46" s="175">
        <v>88141</v>
      </c>
      <c r="G46" s="189"/>
      <c r="H46" s="191">
        <v>44287</v>
      </c>
      <c r="I46" s="190" t="s">
        <v>18</v>
      </c>
      <c r="J46" s="94"/>
      <c r="K46" s="104"/>
      <c r="L46" s="104"/>
      <c r="M46" s="104"/>
      <c r="N46" s="104"/>
      <c r="P46" s="90"/>
      <c r="Q46" s="90"/>
      <c r="R46" s="90"/>
      <c r="S46" s="90"/>
      <c r="T46" s="90"/>
    </row>
    <row r="47" spans="1:20" ht="13">
      <c r="A47" s="210" t="s">
        <v>120</v>
      </c>
      <c r="B47" s="211"/>
      <c r="C47" s="212"/>
      <c r="D47" s="108"/>
      <c r="E47" s="108"/>
      <c r="F47" s="173">
        <f>SUM(F33:F46)</f>
        <v>426569</v>
      </c>
      <c r="G47" s="193"/>
      <c r="H47" s="194"/>
      <c r="I47" s="194"/>
      <c r="J47" s="94"/>
      <c r="K47" s="103"/>
      <c r="L47" s="104"/>
      <c r="M47" s="104"/>
      <c r="N47" s="105"/>
      <c r="P47" s="90"/>
      <c r="Q47" s="90"/>
      <c r="R47" s="90"/>
      <c r="S47" s="90"/>
      <c r="T47" s="90"/>
    </row>
    <row r="48" spans="1:20">
      <c r="A48" s="93"/>
      <c r="B48" s="93"/>
      <c r="D48" s="107"/>
      <c r="E48" s="93"/>
      <c r="F48" s="175"/>
      <c r="G48" s="195"/>
      <c r="H48" s="196"/>
      <c r="I48" s="196"/>
      <c r="J48" s="94"/>
      <c r="K48" s="103"/>
      <c r="L48" s="104"/>
      <c r="M48" s="104"/>
      <c r="N48" s="105"/>
      <c r="P48" s="90"/>
      <c r="Q48" s="90"/>
      <c r="R48" s="90"/>
      <c r="S48" s="90"/>
      <c r="T48" s="90"/>
    </row>
    <row r="49" spans="1:20" ht="25">
      <c r="A49" s="93" t="s">
        <v>121</v>
      </c>
      <c r="B49" s="93" t="s">
        <v>122</v>
      </c>
      <c r="C49" s="152" t="s">
        <v>123</v>
      </c>
      <c r="D49" s="107"/>
      <c r="E49" s="93" t="s">
        <v>124</v>
      </c>
      <c r="F49" s="175">
        <v>5000</v>
      </c>
      <c r="G49" s="195" t="s">
        <v>125</v>
      </c>
      <c r="H49" s="197">
        <v>44611</v>
      </c>
      <c r="I49" s="196" t="s">
        <v>18</v>
      </c>
      <c r="J49" s="94"/>
      <c r="K49" s="103"/>
      <c r="L49" s="104"/>
      <c r="M49" s="104"/>
      <c r="N49" s="105"/>
      <c r="P49" s="90"/>
      <c r="Q49" s="90"/>
      <c r="R49" s="90"/>
      <c r="S49" s="90"/>
      <c r="T49" s="90"/>
    </row>
    <row r="50" spans="1:20" ht="37.5">
      <c r="A50" s="93" t="s">
        <v>126</v>
      </c>
      <c r="B50" s="93" t="s">
        <v>122</v>
      </c>
      <c r="C50" s="152" t="s">
        <v>127</v>
      </c>
      <c r="D50" s="145">
        <v>2265182</v>
      </c>
      <c r="E50" s="147" t="s">
        <v>128</v>
      </c>
      <c r="F50" s="175">
        <v>100000</v>
      </c>
      <c r="G50" s="195" t="s">
        <v>125</v>
      </c>
      <c r="H50" s="197">
        <v>44357</v>
      </c>
      <c r="I50" s="196" t="s">
        <v>18</v>
      </c>
      <c r="J50" s="94"/>
      <c r="K50" s="103"/>
      <c r="L50" s="104"/>
      <c r="M50" s="104"/>
      <c r="N50" s="105"/>
      <c r="P50" s="90"/>
      <c r="Q50" s="90"/>
      <c r="R50" s="90"/>
      <c r="S50" s="90"/>
      <c r="T50" s="90"/>
    </row>
    <row r="51" spans="1:20">
      <c r="A51" s="93"/>
      <c r="B51" s="93"/>
      <c r="D51" s="145"/>
      <c r="E51"/>
      <c r="F51" s="175"/>
      <c r="G51" s="195"/>
      <c r="H51" s="197"/>
      <c r="I51" s="196"/>
      <c r="J51" s="94"/>
      <c r="K51" s="103"/>
      <c r="L51" s="104"/>
      <c r="M51" s="104"/>
      <c r="N51" s="105"/>
      <c r="P51" s="90"/>
      <c r="Q51" s="90"/>
      <c r="R51" s="90"/>
      <c r="S51" s="90"/>
      <c r="T51" s="90"/>
    </row>
    <row r="52" spans="1:20" ht="13">
      <c r="A52" s="112" t="s">
        <v>129</v>
      </c>
      <c r="B52" s="113"/>
      <c r="C52" s="161"/>
      <c r="D52" s="108"/>
      <c r="E52" s="146"/>
      <c r="F52" s="173">
        <f>SUM(F49:F50)</f>
        <v>105000</v>
      </c>
      <c r="G52" s="193"/>
      <c r="H52" s="194"/>
      <c r="I52" s="194"/>
      <c r="J52" s="94"/>
      <c r="K52" s="103"/>
      <c r="L52" s="104"/>
      <c r="M52" s="104"/>
      <c r="N52" s="105"/>
      <c r="P52" s="90"/>
      <c r="Q52" s="90"/>
      <c r="R52" s="90"/>
      <c r="S52" s="90"/>
      <c r="T52" s="90"/>
    </row>
    <row r="53" spans="1:20" ht="13">
      <c r="A53" s="115"/>
      <c r="B53" s="113"/>
      <c r="E53" s="93"/>
      <c r="F53" s="198"/>
      <c r="G53" s="195"/>
      <c r="H53" s="199"/>
      <c r="I53" s="199"/>
      <c r="J53" s="94"/>
      <c r="K53" s="103"/>
      <c r="L53" s="104"/>
      <c r="M53" s="104"/>
      <c r="N53" s="105"/>
      <c r="P53" s="90"/>
      <c r="Q53" s="90"/>
      <c r="R53" s="90"/>
      <c r="S53" s="90"/>
      <c r="T53" s="90"/>
    </row>
    <row r="54" spans="1:20" ht="25">
      <c r="A54" s="107" t="s">
        <v>130</v>
      </c>
      <c r="B54" s="40" t="s">
        <v>131</v>
      </c>
      <c r="C54" s="152" t="s">
        <v>132</v>
      </c>
      <c r="D54" s="107" t="s">
        <v>133</v>
      </c>
      <c r="E54" s="93" t="s">
        <v>134</v>
      </c>
      <c r="F54" s="200">
        <v>700</v>
      </c>
      <c r="G54" s="195" t="s">
        <v>125</v>
      </c>
      <c r="H54" s="197">
        <v>44537</v>
      </c>
      <c r="I54" s="196" t="s">
        <v>18</v>
      </c>
      <c r="J54" s="94"/>
      <c r="K54" s="103"/>
      <c r="L54" s="104"/>
      <c r="M54" s="104"/>
      <c r="N54" s="105"/>
      <c r="P54" s="90"/>
      <c r="Q54" s="90"/>
      <c r="R54" s="90"/>
      <c r="S54" s="90"/>
      <c r="T54" s="90"/>
    </row>
    <row r="55" spans="1:20" ht="25">
      <c r="A55" s="107" t="s">
        <v>130</v>
      </c>
      <c r="B55" s="40" t="s">
        <v>131</v>
      </c>
      <c r="C55" s="152" t="s">
        <v>132</v>
      </c>
      <c r="D55" s="107" t="s">
        <v>133</v>
      </c>
      <c r="E55" s="93" t="s">
        <v>135</v>
      </c>
      <c r="F55" s="200">
        <v>125</v>
      </c>
      <c r="G55" s="195" t="s">
        <v>125</v>
      </c>
      <c r="H55" s="197">
        <v>44550</v>
      </c>
      <c r="I55" s="196" t="s">
        <v>18</v>
      </c>
      <c r="J55" s="94"/>
      <c r="K55" s="103"/>
      <c r="L55" s="104"/>
      <c r="M55" s="104"/>
      <c r="N55" s="105"/>
      <c r="P55" s="90"/>
      <c r="Q55" s="90"/>
      <c r="R55" s="90"/>
      <c r="S55" s="90"/>
      <c r="T55" s="90"/>
    </row>
    <row r="56" spans="1:20" ht="25">
      <c r="A56" s="107" t="s">
        <v>130</v>
      </c>
      <c r="B56" s="40" t="s">
        <v>131</v>
      </c>
      <c r="C56" s="160" t="s">
        <v>136</v>
      </c>
      <c r="D56" s="107" t="s">
        <v>133</v>
      </c>
      <c r="E56" s="107" t="s">
        <v>137</v>
      </c>
      <c r="F56" s="201">
        <v>470.94</v>
      </c>
      <c r="G56" s="195" t="s">
        <v>125</v>
      </c>
      <c r="H56" s="197">
        <v>44559</v>
      </c>
      <c r="I56" s="196" t="s">
        <v>18</v>
      </c>
      <c r="J56" s="94"/>
      <c r="K56" s="103"/>
      <c r="L56" s="104"/>
      <c r="M56" s="104"/>
      <c r="N56" s="105"/>
      <c r="P56" s="90"/>
      <c r="Q56" s="90"/>
      <c r="R56" s="90"/>
      <c r="S56" s="90"/>
      <c r="T56" s="90"/>
    </row>
    <row r="57" spans="1:20" ht="25">
      <c r="A57" s="107" t="s">
        <v>130</v>
      </c>
      <c r="B57" s="40" t="s">
        <v>131</v>
      </c>
      <c r="C57" s="160" t="s">
        <v>136</v>
      </c>
      <c r="D57" s="107" t="s">
        <v>133</v>
      </c>
      <c r="E57" s="107" t="s">
        <v>134</v>
      </c>
      <c r="F57" s="201">
        <v>1025</v>
      </c>
      <c r="G57" s="195" t="s">
        <v>125</v>
      </c>
      <c r="H57" s="197">
        <v>44456</v>
      </c>
      <c r="I57" s="196" t="s">
        <v>18</v>
      </c>
      <c r="J57" s="94"/>
      <c r="K57" s="103"/>
      <c r="L57" s="104"/>
      <c r="M57" s="104"/>
      <c r="N57" s="105"/>
      <c r="P57" s="90"/>
      <c r="Q57" s="90"/>
      <c r="R57" s="90"/>
      <c r="S57" s="90"/>
      <c r="T57" s="90"/>
    </row>
    <row r="58" spans="1:20" ht="25">
      <c r="A58" s="107" t="s">
        <v>130</v>
      </c>
      <c r="B58" s="93" t="s">
        <v>131</v>
      </c>
      <c r="C58" s="160" t="s">
        <v>138</v>
      </c>
      <c r="D58" s="107" t="s">
        <v>133</v>
      </c>
      <c r="E58" s="93" t="s">
        <v>134</v>
      </c>
      <c r="F58" s="201">
        <v>1025</v>
      </c>
      <c r="G58" s="195" t="s">
        <v>125</v>
      </c>
      <c r="H58" s="197">
        <v>44550</v>
      </c>
      <c r="I58" s="196" t="s">
        <v>18</v>
      </c>
      <c r="J58" s="94"/>
      <c r="K58" s="103"/>
      <c r="L58" s="104"/>
      <c r="M58" s="104"/>
      <c r="N58" s="105"/>
      <c r="P58" s="90"/>
      <c r="Q58" s="90"/>
      <c r="R58" s="90"/>
      <c r="S58" s="90"/>
      <c r="T58" s="90"/>
    </row>
    <row r="59" spans="1:20" ht="25">
      <c r="A59" s="107" t="s">
        <v>130</v>
      </c>
      <c r="B59" s="93" t="s">
        <v>131</v>
      </c>
      <c r="C59" s="160" t="s">
        <v>138</v>
      </c>
      <c r="D59" s="107" t="s">
        <v>133</v>
      </c>
      <c r="E59" s="93" t="s">
        <v>137</v>
      </c>
      <c r="F59" s="201">
        <v>800</v>
      </c>
      <c r="G59" s="195" t="s">
        <v>125</v>
      </c>
      <c r="H59" s="197">
        <v>44550</v>
      </c>
      <c r="I59" s="196" t="s">
        <v>18</v>
      </c>
      <c r="J59" s="94"/>
      <c r="K59" s="103"/>
      <c r="L59" s="104"/>
      <c r="M59" s="104"/>
      <c r="N59" s="105"/>
      <c r="P59" s="90"/>
      <c r="Q59" s="90"/>
      <c r="R59" s="90"/>
      <c r="S59" s="90"/>
      <c r="T59" s="90"/>
    </row>
    <row r="60" spans="1:20" ht="25">
      <c r="A60" s="107" t="s">
        <v>130</v>
      </c>
      <c r="B60" s="93" t="s">
        <v>131</v>
      </c>
      <c r="C60" s="160" t="s">
        <v>138</v>
      </c>
      <c r="D60" s="107" t="s">
        <v>133</v>
      </c>
      <c r="E60" s="93" t="s">
        <v>137</v>
      </c>
      <c r="F60" s="201">
        <v>470</v>
      </c>
      <c r="G60" s="195" t="s">
        <v>125</v>
      </c>
      <c r="H60" s="197">
        <v>44236</v>
      </c>
      <c r="I60" s="196" t="s">
        <v>18</v>
      </c>
      <c r="J60" s="94"/>
      <c r="K60" s="103"/>
      <c r="L60" s="104"/>
      <c r="M60" s="104"/>
      <c r="N60" s="105"/>
      <c r="P60" s="90"/>
      <c r="Q60" s="90"/>
      <c r="R60" s="90"/>
      <c r="S60" s="90"/>
      <c r="T60" s="90"/>
    </row>
    <row r="61" spans="1:20" ht="25">
      <c r="A61" s="107" t="s">
        <v>130</v>
      </c>
      <c r="B61" s="93" t="s">
        <v>131</v>
      </c>
      <c r="C61" s="160" t="s">
        <v>139</v>
      </c>
      <c r="D61" s="107" t="s">
        <v>133</v>
      </c>
      <c r="E61" s="93" t="s">
        <v>134</v>
      </c>
      <c r="F61" s="201">
        <v>525</v>
      </c>
      <c r="G61" s="195" t="s">
        <v>125</v>
      </c>
      <c r="H61" s="197">
        <v>44508</v>
      </c>
      <c r="I61" s="196" t="s">
        <v>18</v>
      </c>
      <c r="J61" s="94"/>
      <c r="K61" s="103"/>
      <c r="L61" s="104"/>
      <c r="M61" s="104"/>
      <c r="N61" s="105"/>
      <c r="P61" s="90"/>
      <c r="Q61" s="90"/>
      <c r="R61" s="90"/>
      <c r="S61" s="90"/>
      <c r="T61" s="90"/>
    </row>
    <row r="62" spans="1:20" ht="25">
      <c r="A62" s="107" t="s">
        <v>130</v>
      </c>
      <c r="B62" s="93" t="s">
        <v>131</v>
      </c>
      <c r="C62" s="160" t="s">
        <v>140</v>
      </c>
      <c r="D62" s="107" t="s">
        <v>133</v>
      </c>
      <c r="E62" s="93" t="s">
        <v>141</v>
      </c>
      <c r="F62" s="201">
        <v>350</v>
      </c>
      <c r="G62" s="195" t="s">
        <v>125</v>
      </c>
      <c r="H62" s="197">
        <v>44606</v>
      </c>
      <c r="I62" s="196" t="s">
        <v>18</v>
      </c>
      <c r="J62" s="94"/>
      <c r="K62" s="103"/>
      <c r="L62" s="104"/>
      <c r="M62" s="104"/>
      <c r="N62" s="105"/>
      <c r="P62" s="90"/>
      <c r="Q62" s="90"/>
      <c r="R62" s="90"/>
      <c r="S62" s="90"/>
      <c r="T62" s="90"/>
    </row>
    <row r="63" spans="1:20" ht="25">
      <c r="A63" s="107" t="s">
        <v>130</v>
      </c>
      <c r="B63" s="93" t="s">
        <v>131</v>
      </c>
      <c r="C63" s="160" t="s">
        <v>142</v>
      </c>
      <c r="D63" s="107" t="s">
        <v>133</v>
      </c>
      <c r="E63" s="92" t="s">
        <v>137</v>
      </c>
      <c r="F63" s="201">
        <v>799.76</v>
      </c>
      <c r="G63" s="195" t="s">
        <v>125</v>
      </c>
      <c r="H63" s="197">
        <v>44573</v>
      </c>
      <c r="I63" s="196" t="s">
        <v>18</v>
      </c>
      <c r="J63" s="94"/>
      <c r="K63" s="103"/>
      <c r="L63" s="104"/>
      <c r="M63" s="104"/>
      <c r="N63" s="105"/>
      <c r="P63" s="90"/>
      <c r="Q63" s="90"/>
      <c r="R63" s="90"/>
      <c r="S63" s="90"/>
      <c r="T63" s="90"/>
    </row>
    <row r="64" spans="1:20" ht="25">
      <c r="A64" s="107" t="s">
        <v>130</v>
      </c>
      <c r="B64" s="93" t="s">
        <v>131</v>
      </c>
      <c r="C64" s="160" t="s">
        <v>142</v>
      </c>
      <c r="D64" s="107" t="s">
        <v>133</v>
      </c>
      <c r="E64" s="93" t="s">
        <v>134</v>
      </c>
      <c r="F64" s="201">
        <v>1025</v>
      </c>
      <c r="G64" s="195" t="s">
        <v>125</v>
      </c>
      <c r="H64" s="197">
        <v>44383</v>
      </c>
      <c r="I64" s="196" t="s">
        <v>18</v>
      </c>
      <c r="J64" s="94"/>
      <c r="K64" s="103"/>
      <c r="L64" s="104"/>
      <c r="M64" s="104"/>
      <c r="N64" s="105"/>
      <c r="P64" s="90"/>
      <c r="Q64" s="90"/>
      <c r="R64" s="90"/>
      <c r="S64" s="90"/>
      <c r="T64" s="90"/>
    </row>
    <row r="65" spans="1:20" ht="25">
      <c r="A65" s="107" t="s">
        <v>130</v>
      </c>
      <c r="B65" s="93" t="s">
        <v>131</v>
      </c>
      <c r="C65" s="160" t="s">
        <v>143</v>
      </c>
      <c r="D65" s="107" t="s">
        <v>133</v>
      </c>
      <c r="E65" s="92" t="s">
        <v>137</v>
      </c>
      <c r="F65" s="201">
        <v>772</v>
      </c>
      <c r="G65" s="195" t="s">
        <v>125</v>
      </c>
      <c r="H65" s="197">
        <v>44531</v>
      </c>
      <c r="I65" s="196" t="s">
        <v>18</v>
      </c>
      <c r="J65" s="94"/>
      <c r="K65" s="103"/>
      <c r="L65" s="104"/>
      <c r="M65" s="104"/>
      <c r="N65" s="105"/>
      <c r="P65" s="90"/>
      <c r="Q65" s="90"/>
      <c r="R65" s="90"/>
      <c r="S65" s="90"/>
      <c r="T65" s="90"/>
    </row>
    <row r="66" spans="1:20" ht="25">
      <c r="A66" s="107" t="s">
        <v>130</v>
      </c>
      <c r="B66" s="93" t="s">
        <v>131</v>
      </c>
      <c r="C66" s="160" t="s">
        <v>143</v>
      </c>
      <c r="D66" s="107" t="s">
        <v>133</v>
      </c>
      <c r="E66" s="93" t="s">
        <v>134</v>
      </c>
      <c r="F66" s="201">
        <v>775</v>
      </c>
      <c r="G66" s="195" t="s">
        <v>125</v>
      </c>
      <c r="H66" s="197">
        <v>44389</v>
      </c>
      <c r="I66" s="196" t="s">
        <v>18</v>
      </c>
      <c r="J66" s="94"/>
      <c r="K66" s="103"/>
      <c r="L66" s="104"/>
      <c r="M66" s="104"/>
      <c r="N66" s="105"/>
      <c r="P66" s="90"/>
      <c r="Q66" s="90"/>
      <c r="R66" s="90"/>
      <c r="S66" s="90"/>
      <c r="T66" s="90"/>
    </row>
    <row r="67" spans="1:20" ht="25">
      <c r="A67" s="107" t="s">
        <v>130</v>
      </c>
      <c r="B67" s="93" t="s">
        <v>131</v>
      </c>
      <c r="C67" s="160" t="s">
        <v>144</v>
      </c>
      <c r="D67" s="107" t="s">
        <v>133</v>
      </c>
      <c r="E67" s="92" t="s">
        <v>137</v>
      </c>
      <c r="F67" s="201">
        <v>800</v>
      </c>
      <c r="G67" s="195" t="s">
        <v>125</v>
      </c>
      <c r="H67" s="197">
        <v>44508</v>
      </c>
      <c r="I67" s="196" t="s">
        <v>18</v>
      </c>
      <c r="J67" s="94"/>
      <c r="K67" s="103"/>
      <c r="L67" s="104"/>
      <c r="M67" s="104"/>
      <c r="N67" s="105"/>
      <c r="P67" s="90"/>
      <c r="Q67" s="90"/>
      <c r="R67" s="90"/>
      <c r="S67" s="90"/>
      <c r="T67" s="90"/>
    </row>
    <row r="68" spans="1:20" ht="25">
      <c r="A68" s="107" t="s">
        <v>130</v>
      </c>
      <c r="B68" s="93" t="s">
        <v>131</v>
      </c>
      <c r="C68" s="160" t="s">
        <v>144</v>
      </c>
      <c r="D68" s="107" t="s">
        <v>133</v>
      </c>
      <c r="E68" s="93" t="s">
        <v>134</v>
      </c>
      <c r="F68" s="201">
        <v>875</v>
      </c>
      <c r="G68" s="195" t="s">
        <v>125</v>
      </c>
      <c r="H68" s="197" t="s">
        <v>145</v>
      </c>
      <c r="I68" s="196" t="s">
        <v>18</v>
      </c>
      <c r="J68" s="94"/>
      <c r="K68" s="103"/>
      <c r="L68" s="104"/>
      <c r="M68" s="104"/>
      <c r="N68" s="105"/>
      <c r="P68" s="90"/>
      <c r="Q68" s="90"/>
      <c r="R68" s="90"/>
      <c r="S68" s="90"/>
      <c r="T68" s="90"/>
    </row>
    <row r="69" spans="1:20" ht="25">
      <c r="A69" s="107" t="s">
        <v>130</v>
      </c>
      <c r="B69" s="93" t="s">
        <v>131</v>
      </c>
      <c r="C69" s="160" t="s">
        <v>146</v>
      </c>
      <c r="D69" s="107" t="s">
        <v>133</v>
      </c>
      <c r="E69" s="93" t="s">
        <v>134</v>
      </c>
      <c r="F69" s="201">
        <v>775</v>
      </c>
      <c r="G69" s="195" t="s">
        <v>125</v>
      </c>
      <c r="H69" s="197">
        <v>44470</v>
      </c>
      <c r="I69" s="196" t="s">
        <v>18</v>
      </c>
      <c r="J69" s="94"/>
      <c r="K69" s="103"/>
      <c r="L69" s="104"/>
      <c r="M69" s="104"/>
      <c r="N69" s="105"/>
      <c r="P69" s="90"/>
      <c r="Q69" s="90"/>
      <c r="R69" s="90"/>
      <c r="S69" s="90"/>
      <c r="T69" s="90"/>
    </row>
    <row r="70" spans="1:20" ht="25">
      <c r="A70" s="107" t="s">
        <v>130</v>
      </c>
      <c r="B70" s="93" t="s">
        <v>131</v>
      </c>
      <c r="C70" s="160" t="s">
        <v>147</v>
      </c>
      <c r="D70" s="107" t="s">
        <v>133</v>
      </c>
      <c r="E70" s="92" t="s">
        <v>571</v>
      </c>
      <c r="F70" s="201">
        <v>570</v>
      </c>
      <c r="G70" s="195" t="s">
        <v>125</v>
      </c>
      <c r="H70" s="197">
        <v>44530</v>
      </c>
      <c r="I70" s="196" t="s">
        <v>18</v>
      </c>
      <c r="J70" s="94"/>
      <c r="K70" s="103"/>
      <c r="L70" s="104"/>
      <c r="M70" s="104"/>
      <c r="N70" s="105"/>
      <c r="P70" s="90"/>
      <c r="Q70" s="90"/>
      <c r="R70" s="90"/>
      <c r="S70" s="90"/>
      <c r="T70" s="90"/>
    </row>
    <row r="71" spans="1:20" ht="25">
      <c r="A71" s="107" t="s">
        <v>130</v>
      </c>
      <c r="B71" s="93" t="s">
        <v>131</v>
      </c>
      <c r="C71" s="160" t="s">
        <v>147</v>
      </c>
      <c r="D71" s="107" t="s">
        <v>133</v>
      </c>
      <c r="E71" s="93" t="s">
        <v>134</v>
      </c>
      <c r="F71" s="201">
        <v>525</v>
      </c>
      <c r="G71" s="195" t="s">
        <v>125</v>
      </c>
      <c r="H71" s="197">
        <v>44398</v>
      </c>
      <c r="I71" s="196" t="s">
        <v>18</v>
      </c>
      <c r="J71" s="94"/>
      <c r="K71" s="103"/>
      <c r="L71" s="104"/>
      <c r="M71" s="104"/>
      <c r="N71" s="105"/>
      <c r="P71" s="90"/>
      <c r="Q71" s="90"/>
      <c r="R71" s="90"/>
      <c r="S71" s="90"/>
      <c r="T71" s="90"/>
    </row>
    <row r="72" spans="1:20" ht="25">
      <c r="A72" s="107" t="s">
        <v>130</v>
      </c>
      <c r="B72" s="93" t="s">
        <v>131</v>
      </c>
      <c r="C72" s="160" t="s">
        <v>147</v>
      </c>
      <c r="D72" s="107" t="s">
        <v>133</v>
      </c>
      <c r="E72" s="92" t="s">
        <v>137</v>
      </c>
      <c r="F72" s="201">
        <v>230</v>
      </c>
      <c r="G72" s="195" t="s">
        <v>125</v>
      </c>
      <c r="H72" s="197">
        <v>44504</v>
      </c>
      <c r="I72" s="196" t="s">
        <v>18</v>
      </c>
      <c r="J72" s="94"/>
      <c r="K72" s="103"/>
      <c r="L72" s="104"/>
      <c r="M72" s="104"/>
      <c r="N72" s="105"/>
      <c r="P72" s="90"/>
      <c r="Q72" s="90"/>
      <c r="R72" s="90"/>
      <c r="S72" s="90"/>
      <c r="T72" s="90"/>
    </row>
    <row r="73" spans="1:20" ht="25">
      <c r="A73" s="107" t="s">
        <v>130</v>
      </c>
      <c r="B73" s="93" t="s">
        <v>131</v>
      </c>
      <c r="C73" s="160" t="s">
        <v>148</v>
      </c>
      <c r="D73" s="107" t="s">
        <v>133</v>
      </c>
      <c r="E73" s="107" t="s">
        <v>137</v>
      </c>
      <c r="F73" s="201">
        <v>400</v>
      </c>
      <c r="G73" s="195" t="s">
        <v>125</v>
      </c>
      <c r="H73" s="197">
        <v>44487</v>
      </c>
      <c r="I73" s="196" t="s">
        <v>18</v>
      </c>
      <c r="J73" s="94"/>
      <c r="K73" s="103"/>
      <c r="L73" s="104"/>
      <c r="M73" s="104"/>
      <c r="N73" s="105"/>
      <c r="P73" s="90"/>
      <c r="Q73" s="90"/>
      <c r="R73" s="90"/>
      <c r="S73" s="90"/>
      <c r="T73" s="90"/>
    </row>
    <row r="74" spans="1:20" ht="25">
      <c r="A74" s="107" t="s">
        <v>130</v>
      </c>
      <c r="B74" s="93" t="s">
        <v>131</v>
      </c>
      <c r="C74" s="160" t="s">
        <v>148</v>
      </c>
      <c r="D74" s="107" t="s">
        <v>133</v>
      </c>
      <c r="E74" s="93" t="s">
        <v>134</v>
      </c>
      <c r="F74" s="201">
        <v>1275</v>
      </c>
      <c r="G74" s="195" t="s">
        <v>125</v>
      </c>
      <c r="H74" s="197">
        <v>44467</v>
      </c>
      <c r="I74" s="196" t="s">
        <v>18</v>
      </c>
      <c r="J74" s="94"/>
      <c r="K74" s="103"/>
      <c r="L74" s="104"/>
      <c r="M74" s="104"/>
      <c r="N74" s="105"/>
      <c r="P74" s="90"/>
      <c r="Q74" s="90"/>
      <c r="R74" s="90"/>
      <c r="S74" s="90"/>
      <c r="T74" s="90"/>
    </row>
    <row r="75" spans="1:20" ht="25">
      <c r="A75" s="107" t="s">
        <v>130</v>
      </c>
      <c r="B75" s="93" t="s">
        <v>131</v>
      </c>
      <c r="C75" s="160" t="s">
        <v>149</v>
      </c>
      <c r="D75" s="107" t="s">
        <v>133</v>
      </c>
      <c r="E75" s="93" t="s">
        <v>134</v>
      </c>
      <c r="F75" s="201">
        <v>775</v>
      </c>
      <c r="G75" s="195" t="s">
        <v>125</v>
      </c>
      <c r="H75" s="197">
        <v>44334</v>
      </c>
      <c r="I75" s="196" t="s">
        <v>18</v>
      </c>
      <c r="J75" s="94"/>
      <c r="K75" s="103"/>
      <c r="L75" s="104"/>
      <c r="M75" s="104"/>
      <c r="N75" s="105"/>
      <c r="P75" s="90"/>
      <c r="Q75" s="90"/>
      <c r="R75" s="90"/>
      <c r="S75" s="90"/>
      <c r="T75" s="90"/>
    </row>
    <row r="76" spans="1:20" ht="25">
      <c r="A76" s="107" t="s">
        <v>130</v>
      </c>
      <c r="B76" s="93" t="s">
        <v>131</v>
      </c>
      <c r="C76" s="160" t="s">
        <v>149</v>
      </c>
      <c r="D76" s="107" t="s">
        <v>133</v>
      </c>
      <c r="E76" s="107" t="s">
        <v>137</v>
      </c>
      <c r="F76" s="201">
        <v>165.5</v>
      </c>
      <c r="G76" s="195" t="s">
        <v>125</v>
      </c>
      <c r="H76" s="197">
        <v>44519</v>
      </c>
      <c r="I76" s="196" t="s">
        <v>18</v>
      </c>
      <c r="J76" s="94"/>
      <c r="K76" s="103"/>
      <c r="L76" s="104"/>
      <c r="M76" s="104"/>
      <c r="N76" s="105"/>
      <c r="P76" s="90"/>
      <c r="Q76" s="90"/>
      <c r="R76" s="90"/>
      <c r="S76" s="90"/>
      <c r="T76" s="90"/>
    </row>
    <row r="77" spans="1:20" ht="25">
      <c r="A77" s="107" t="s">
        <v>130</v>
      </c>
      <c r="B77" s="93" t="s">
        <v>131</v>
      </c>
      <c r="C77" s="160" t="s">
        <v>149</v>
      </c>
      <c r="D77" s="107" t="s">
        <v>133</v>
      </c>
      <c r="E77" s="107" t="s">
        <v>137</v>
      </c>
      <c r="F77" s="201">
        <v>634.5</v>
      </c>
      <c r="G77" s="195" t="s">
        <v>125</v>
      </c>
      <c r="H77" s="202">
        <v>44504</v>
      </c>
      <c r="I77" s="203" t="s">
        <v>18</v>
      </c>
      <c r="J77" s="94"/>
      <c r="K77" s="103"/>
      <c r="L77" s="104"/>
      <c r="M77" s="104"/>
      <c r="N77" s="105"/>
      <c r="P77" s="90"/>
      <c r="Q77" s="90"/>
      <c r="R77" s="90"/>
      <c r="S77" s="90"/>
      <c r="T77" s="90"/>
    </row>
    <row r="78" spans="1:20" ht="13">
      <c r="A78" s="112" t="s">
        <v>150</v>
      </c>
      <c r="B78" s="114"/>
      <c r="C78" s="161"/>
      <c r="D78" s="108"/>
      <c r="E78" s="114"/>
      <c r="F78" s="173">
        <f>SUM(F54:F77)</f>
        <v>15887.7</v>
      </c>
      <c r="G78" s="173"/>
      <c r="H78" s="173"/>
      <c r="I78" s="173"/>
      <c r="P78"/>
    </row>
    <row r="79" spans="1:20">
      <c r="A79" s="107"/>
      <c r="B79" s="93"/>
      <c r="C79" s="160"/>
      <c r="D79" s="107"/>
      <c r="F79" s="201"/>
      <c r="G79" s="195"/>
      <c r="H79" s="197"/>
      <c r="I79" s="196"/>
      <c r="J79" s="94"/>
      <c r="K79" s="103"/>
      <c r="L79" s="104"/>
      <c r="M79" s="104"/>
      <c r="N79" s="105"/>
      <c r="P79" s="90"/>
      <c r="Q79" s="90"/>
      <c r="R79" s="90"/>
      <c r="S79" s="90"/>
      <c r="T79" s="90"/>
    </row>
    <row r="80" spans="1:20" ht="25">
      <c r="A80" s="107" t="s">
        <v>151</v>
      </c>
      <c r="B80" s="93" t="s">
        <v>152</v>
      </c>
      <c r="C80" s="160" t="s">
        <v>153</v>
      </c>
      <c r="D80" s="144" t="s">
        <v>154</v>
      </c>
      <c r="E80" s="92" t="s">
        <v>155</v>
      </c>
      <c r="F80" s="175">
        <v>50000</v>
      </c>
      <c r="G80" s="195" t="s">
        <v>156</v>
      </c>
      <c r="H80" s="197">
        <v>44364</v>
      </c>
      <c r="I80" s="196" t="s">
        <v>18</v>
      </c>
      <c r="J80" s="94"/>
      <c r="K80" s="103"/>
      <c r="L80" s="104"/>
      <c r="M80" s="104"/>
      <c r="N80" s="105"/>
      <c r="P80" s="90"/>
      <c r="Q80" s="90"/>
      <c r="R80" s="90"/>
      <c r="S80" s="90"/>
      <c r="T80" s="90"/>
    </row>
    <row r="81" spans="1:20" ht="37.5">
      <c r="A81" s="107" t="s">
        <v>151</v>
      </c>
      <c r="B81" s="93" t="s">
        <v>152</v>
      </c>
      <c r="C81" s="155" t="s">
        <v>157</v>
      </c>
      <c r="D81" s="107">
        <v>1175021</v>
      </c>
      <c r="E81" s="93" t="s">
        <v>158</v>
      </c>
      <c r="F81" s="175">
        <v>185992.66</v>
      </c>
      <c r="G81" s="195" t="s">
        <v>156</v>
      </c>
      <c r="H81" s="197">
        <v>44455</v>
      </c>
      <c r="I81" s="196" t="s">
        <v>18</v>
      </c>
      <c r="J81" s="94"/>
      <c r="K81" s="103"/>
      <c r="L81" s="104"/>
      <c r="M81" s="104"/>
      <c r="N81" s="105"/>
      <c r="P81" s="90"/>
      <c r="Q81" s="90"/>
      <c r="R81" s="90"/>
      <c r="S81" s="90"/>
      <c r="T81" s="90"/>
    </row>
    <row r="82" spans="1:20" ht="25">
      <c r="A82" s="107" t="s">
        <v>151</v>
      </c>
      <c r="B82" s="93" t="s">
        <v>159</v>
      </c>
      <c r="C82" s="160" t="s">
        <v>160</v>
      </c>
      <c r="D82" s="144" t="s">
        <v>161</v>
      </c>
      <c r="E82" s="92" t="s">
        <v>162</v>
      </c>
      <c r="F82" s="175">
        <v>4893</v>
      </c>
      <c r="G82" s="195" t="s">
        <v>163</v>
      </c>
      <c r="H82" s="197">
        <v>44403</v>
      </c>
      <c r="I82" s="196" t="s">
        <v>164</v>
      </c>
      <c r="J82" s="94"/>
      <c r="K82" s="103"/>
      <c r="L82" s="104"/>
      <c r="M82" s="104"/>
      <c r="N82" s="105"/>
      <c r="P82" s="90"/>
      <c r="Q82" s="90"/>
      <c r="R82" s="90"/>
      <c r="S82" s="90"/>
      <c r="T82" s="90"/>
    </row>
    <row r="83" spans="1:20" ht="25">
      <c r="A83" s="107" t="s">
        <v>151</v>
      </c>
      <c r="B83" s="93" t="s">
        <v>159</v>
      </c>
      <c r="C83" s="160" t="s">
        <v>165</v>
      </c>
      <c r="D83" s="144">
        <v>1967962</v>
      </c>
      <c r="E83" s="92" t="s">
        <v>162</v>
      </c>
      <c r="F83" s="175">
        <v>54160</v>
      </c>
      <c r="G83" s="195" t="s">
        <v>163</v>
      </c>
      <c r="H83" s="197">
        <v>44407</v>
      </c>
      <c r="I83" s="196" t="s">
        <v>164</v>
      </c>
      <c r="J83" s="94"/>
      <c r="K83" s="103"/>
      <c r="L83" s="104"/>
      <c r="M83" s="104"/>
      <c r="N83" s="105"/>
      <c r="P83" s="90"/>
      <c r="Q83" s="90"/>
      <c r="R83" s="90"/>
      <c r="S83" s="90"/>
      <c r="T83" s="90"/>
    </row>
    <row r="84" spans="1:20" ht="25">
      <c r="A84" s="107" t="s">
        <v>151</v>
      </c>
      <c r="B84" s="93" t="s">
        <v>159</v>
      </c>
      <c r="C84" s="160" t="s">
        <v>166</v>
      </c>
      <c r="D84" s="144" t="s">
        <v>167</v>
      </c>
      <c r="E84" s="92" t="s">
        <v>162</v>
      </c>
      <c r="F84" s="175">
        <v>11109</v>
      </c>
      <c r="G84" s="195" t="s">
        <v>163</v>
      </c>
      <c r="H84" s="197">
        <v>44403</v>
      </c>
      <c r="I84" s="196" t="s">
        <v>164</v>
      </c>
      <c r="J84" s="94"/>
      <c r="K84" s="103"/>
      <c r="L84" s="104"/>
      <c r="M84" s="104"/>
      <c r="N84" s="105"/>
      <c r="P84" s="90"/>
      <c r="Q84" s="90"/>
      <c r="R84" s="90"/>
      <c r="S84" s="90"/>
      <c r="T84" s="90"/>
    </row>
    <row r="85" spans="1:20" ht="25">
      <c r="A85" s="107" t="s">
        <v>151</v>
      </c>
      <c r="B85" s="93" t="s">
        <v>159</v>
      </c>
      <c r="C85" s="160" t="s">
        <v>168</v>
      </c>
      <c r="D85" s="144">
        <v>11422814</v>
      </c>
      <c r="E85" s="92" t="s">
        <v>162</v>
      </c>
      <c r="F85" s="175">
        <v>77000</v>
      </c>
      <c r="G85" s="195" t="s">
        <v>163</v>
      </c>
      <c r="H85" s="197">
        <v>44403</v>
      </c>
      <c r="I85" s="196" t="s">
        <v>164</v>
      </c>
      <c r="J85" s="94"/>
      <c r="K85" s="103"/>
      <c r="L85" s="104"/>
      <c r="M85" s="104"/>
      <c r="N85" s="105"/>
      <c r="P85" s="90"/>
      <c r="Q85" s="90"/>
      <c r="R85" s="90"/>
      <c r="S85" s="90"/>
      <c r="T85" s="90"/>
    </row>
    <row r="86" spans="1:20" ht="25">
      <c r="A86" s="107" t="s">
        <v>151</v>
      </c>
      <c r="B86" s="93" t="s">
        <v>159</v>
      </c>
      <c r="C86" s="160" t="s">
        <v>169</v>
      </c>
      <c r="D86" s="144">
        <v>300234</v>
      </c>
      <c r="E86" s="92" t="s">
        <v>162</v>
      </c>
      <c r="F86" s="175">
        <v>2752.5</v>
      </c>
      <c r="G86" s="195" t="s">
        <v>163</v>
      </c>
      <c r="H86" s="197">
        <v>44403</v>
      </c>
      <c r="I86" s="196" t="s">
        <v>164</v>
      </c>
      <c r="J86" s="94"/>
      <c r="K86" s="103"/>
      <c r="L86" s="104"/>
      <c r="M86" s="104"/>
      <c r="N86" s="105"/>
      <c r="P86" s="90"/>
      <c r="Q86" s="90"/>
      <c r="R86" s="90"/>
      <c r="S86" s="90"/>
      <c r="T86" s="90"/>
    </row>
    <row r="87" spans="1:20" ht="25">
      <c r="A87" s="107" t="s">
        <v>151</v>
      </c>
      <c r="B87" s="93" t="s">
        <v>159</v>
      </c>
      <c r="C87" s="160" t="s">
        <v>170</v>
      </c>
      <c r="D87" s="144">
        <v>1093653</v>
      </c>
      <c r="E87" s="92" t="s">
        <v>162</v>
      </c>
      <c r="F87" s="175">
        <v>7580</v>
      </c>
      <c r="G87" s="195" t="s">
        <v>163</v>
      </c>
      <c r="H87" s="197">
        <v>44403</v>
      </c>
      <c r="I87" s="196" t="s">
        <v>164</v>
      </c>
      <c r="J87" s="94"/>
      <c r="K87" s="103"/>
      <c r="L87" s="104"/>
      <c r="M87" s="104"/>
      <c r="N87" s="105"/>
      <c r="P87" s="90"/>
      <c r="Q87" s="90"/>
      <c r="R87" s="90"/>
      <c r="S87" s="90"/>
      <c r="T87" s="90"/>
    </row>
    <row r="88" spans="1:20" ht="25">
      <c r="A88" s="107" t="s">
        <v>151</v>
      </c>
      <c r="B88" s="93" t="s">
        <v>159</v>
      </c>
      <c r="C88" s="160" t="s">
        <v>171</v>
      </c>
      <c r="D88" s="144" t="s">
        <v>172</v>
      </c>
      <c r="E88" s="92" t="s">
        <v>162</v>
      </c>
      <c r="F88" s="175">
        <v>12320</v>
      </c>
      <c r="G88" s="195" t="s">
        <v>163</v>
      </c>
      <c r="H88" s="197">
        <v>44403</v>
      </c>
      <c r="I88" s="196" t="s">
        <v>164</v>
      </c>
      <c r="J88" s="94"/>
      <c r="K88" s="103"/>
      <c r="L88" s="104"/>
      <c r="M88" s="104"/>
      <c r="N88" s="105"/>
      <c r="P88" s="90"/>
      <c r="Q88" s="90"/>
      <c r="R88" s="90"/>
      <c r="S88" s="90"/>
      <c r="T88" s="90"/>
    </row>
    <row r="89" spans="1:20" ht="25">
      <c r="A89" s="107" t="s">
        <v>151</v>
      </c>
      <c r="B89" s="93" t="s">
        <v>159</v>
      </c>
      <c r="C89" s="160" t="s">
        <v>173</v>
      </c>
      <c r="D89" s="144" t="s">
        <v>174</v>
      </c>
      <c r="E89" s="92" t="s">
        <v>162</v>
      </c>
      <c r="F89" s="175">
        <v>9690</v>
      </c>
      <c r="G89" s="195" t="s">
        <v>163</v>
      </c>
      <c r="H89" s="197">
        <v>44403</v>
      </c>
      <c r="I89" s="196" t="s">
        <v>164</v>
      </c>
      <c r="J89" s="94"/>
      <c r="K89" s="103"/>
      <c r="L89" s="104"/>
      <c r="M89" s="104"/>
      <c r="N89" s="105"/>
      <c r="P89" s="90"/>
      <c r="Q89" s="90"/>
      <c r="R89" s="90"/>
      <c r="S89" s="90"/>
      <c r="T89" s="90"/>
    </row>
    <row r="90" spans="1:20" ht="25">
      <c r="A90" s="107" t="s">
        <v>151</v>
      </c>
      <c r="B90" s="93" t="s">
        <v>159</v>
      </c>
      <c r="C90" s="160" t="s">
        <v>175</v>
      </c>
      <c r="D90" s="144" t="s">
        <v>176</v>
      </c>
      <c r="E90" s="92" t="s">
        <v>162</v>
      </c>
      <c r="F90" s="175">
        <v>14346</v>
      </c>
      <c r="G90" s="195" t="s">
        <v>163</v>
      </c>
      <c r="H90" s="197">
        <v>44403</v>
      </c>
      <c r="I90" s="196" t="s">
        <v>164</v>
      </c>
      <c r="J90" s="94"/>
      <c r="K90" s="103"/>
      <c r="L90" s="104"/>
      <c r="M90" s="104"/>
      <c r="N90" s="105"/>
      <c r="P90" s="90"/>
      <c r="Q90" s="90"/>
      <c r="R90" s="90"/>
      <c r="S90" s="90"/>
      <c r="T90" s="90"/>
    </row>
    <row r="91" spans="1:20" ht="25">
      <c r="A91" s="107" t="s">
        <v>151</v>
      </c>
      <c r="B91" s="93" t="s">
        <v>159</v>
      </c>
      <c r="C91" s="160" t="s">
        <v>177</v>
      </c>
      <c r="D91" s="144" t="s">
        <v>178</v>
      </c>
      <c r="E91" s="92" t="s">
        <v>162</v>
      </c>
      <c r="F91" s="175">
        <v>4000</v>
      </c>
      <c r="G91" s="195" t="s">
        <v>163</v>
      </c>
      <c r="H91" s="197">
        <v>44403</v>
      </c>
      <c r="I91" s="196" t="s">
        <v>164</v>
      </c>
      <c r="J91" s="94"/>
      <c r="K91" s="103"/>
      <c r="L91" s="104"/>
      <c r="M91" s="104"/>
      <c r="N91" s="105"/>
      <c r="P91" s="90"/>
      <c r="Q91" s="90"/>
      <c r="R91" s="90"/>
      <c r="S91" s="90"/>
      <c r="T91" s="90"/>
    </row>
    <row r="92" spans="1:20" ht="25">
      <c r="A92" s="107" t="s">
        <v>151</v>
      </c>
      <c r="B92" s="93" t="s">
        <v>159</v>
      </c>
      <c r="C92" s="160" t="s">
        <v>179</v>
      </c>
      <c r="D92" s="144" t="s">
        <v>180</v>
      </c>
      <c r="E92" s="92" t="s">
        <v>162</v>
      </c>
      <c r="F92" s="175">
        <v>179609</v>
      </c>
      <c r="G92" s="195" t="s">
        <v>163</v>
      </c>
      <c r="H92" s="197">
        <v>44403</v>
      </c>
      <c r="I92" s="196" t="s">
        <v>164</v>
      </c>
      <c r="J92" s="94"/>
      <c r="K92" s="103"/>
      <c r="L92" s="104"/>
      <c r="M92" s="104"/>
      <c r="N92" s="105"/>
      <c r="P92" s="90"/>
      <c r="Q92" s="90"/>
      <c r="R92" s="90"/>
      <c r="S92" s="90"/>
      <c r="T92" s="90"/>
    </row>
    <row r="93" spans="1:20" ht="25">
      <c r="A93" s="107" t="s">
        <v>151</v>
      </c>
      <c r="B93" s="93" t="s">
        <v>159</v>
      </c>
      <c r="C93" s="160" t="s">
        <v>181</v>
      </c>
      <c r="D93" s="144" t="s">
        <v>182</v>
      </c>
      <c r="E93" s="92" t="s">
        <v>162</v>
      </c>
      <c r="F93" s="175">
        <v>26990</v>
      </c>
      <c r="G93" s="195" t="s">
        <v>163</v>
      </c>
      <c r="H93" s="197">
        <v>44403</v>
      </c>
      <c r="I93" s="196" t="s">
        <v>164</v>
      </c>
      <c r="J93" s="94"/>
      <c r="K93" s="103"/>
      <c r="L93" s="104"/>
      <c r="M93" s="104"/>
      <c r="N93" s="105"/>
      <c r="P93" s="90"/>
      <c r="Q93" s="90"/>
      <c r="R93" s="90"/>
      <c r="S93" s="90"/>
      <c r="T93" s="90"/>
    </row>
    <row r="94" spans="1:20" ht="25">
      <c r="A94" s="107" t="s">
        <v>151</v>
      </c>
      <c r="B94" s="93" t="s">
        <v>159</v>
      </c>
      <c r="C94" s="160" t="s">
        <v>183</v>
      </c>
      <c r="D94" s="144" t="s">
        <v>184</v>
      </c>
      <c r="E94" s="92" t="s">
        <v>162</v>
      </c>
      <c r="F94" s="175">
        <v>16000</v>
      </c>
      <c r="G94" s="195" t="s">
        <v>163</v>
      </c>
      <c r="H94" s="197">
        <v>44403</v>
      </c>
      <c r="I94" s="196" t="s">
        <v>164</v>
      </c>
      <c r="J94" s="94"/>
      <c r="K94" s="103"/>
      <c r="L94" s="104"/>
      <c r="M94" s="104"/>
      <c r="N94" s="105"/>
      <c r="P94" s="90"/>
      <c r="Q94" s="90"/>
      <c r="R94" s="90"/>
      <c r="S94" s="90"/>
      <c r="T94" s="90"/>
    </row>
    <row r="95" spans="1:20" ht="25">
      <c r="A95" s="107" t="s">
        <v>151</v>
      </c>
      <c r="B95" s="93" t="s">
        <v>159</v>
      </c>
      <c r="C95" s="160" t="s">
        <v>185</v>
      </c>
      <c r="D95" s="144" t="s">
        <v>184</v>
      </c>
      <c r="E95" s="92" t="s">
        <v>162</v>
      </c>
      <c r="F95" s="175">
        <v>2100</v>
      </c>
      <c r="G95" s="195" t="s">
        <v>163</v>
      </c>
      <c r="H95" s="197">
        <v>44403</v>
      </c>
      <c r="I95" s="196" t="s">
        <v>164</v>
      </c>
      <c r="J95" s="94"/>
      <c r="K95" s="103"/>
      <c r="L95" s="104"/>
      <c r="M95" s="104"/>
      <c r="N95" s="105"/>
      <c r="P95" s="90"/>
      <c r="Q95" s="90"/>
      <c r="R95" s="90"/>
      <c r="S95" s="90"/>
      <c r="T95" s="90"/>
    </row>
    <row r="96" spans="1:20" ht="25">
      <c r="A96" s="107" t="s">
        <v>151</v>
      </c>
      <c r="B96" s="93" t="s">
        <v>159</v>
      </c>
      <c r="C96" s="160" t="s">
        <v>186</v>
      </c>
      <c r="D96" s="144" t="s">
        <v>187</v>
      </c>
      <c r="E96" s="92" t="s">
        <v>162</v>
      </c>
      <c r="F96" s="175">
        <v>13356</v>
      </c>
      <c r="G96" s="195" t="s">
        <v>163</v>
      </c>
      <c r="H96" s="197">
        <v>44403</v>
      </c>
      <c r="I96" s="196" t="s">
        <v>164</v>
      </c>
      <c r="J96" s="94"/>
      <c r="K96" s="103"/>
      <c r="L96" s="104"/>
      <c r="M96" s="104"/>
      <c r="N96" s="105"/>
      <c r="P96" s="90"/>
      <c r="Q96" s="90"/>
      <c r="R96" s="90"/>
      <c r="S96" s="90"/>
      <c r="T96" s="90"/>
    </row>
    <row r="97" spans="1:20" ht="25">
      <c r="A97" s="107" t="s">
        <v>151</v>
      </c>
      <c r="B97" s="93" t="s">
        <v>159</v>
      </c>
      <c r="C97" s="160" t="s">
        <v>188</v>
      </c>
      <c r="D97" s="144" t="s">
        <v>189</v>
      </c>
      <c r="E97" s="92" t="s">
        <v>162</v>
      </c>
      <c r="F97" s="175">
        <v>900</v>
      </c>
      <c r="G97" s="195" t="s">
        <v>163</v>
      </c>
      <c r="H97" s="197">
        <v>44403</v>
      </c>
      <c r="I97" s="196" t="s">
        <v>164</v>
      </c>
      <c r="J97" s="94"/>
      <c r="K97" s="103"/>
      <c r="L97" s="104"/>
      <c r="M97" s="104"/>
      <c r="N97" s="105"/>
      <c r="P97" s="90"/>
      <c r="Q97" s="90"/>
      <c r="R97" s="90"/>
      <c r="S97" s="90"/>
      <c r="T97" s="90"/>
    </row>
    <row r="98" spans="1:20" ht="25">
      <c r="A98" s="107" t="s">
        <v>151</v>
      </c>
      <c r="B98" s="93" t="s">
        <v>159</v>
      </c>
      <c r="C98" s="160" t="s">
        <v>190</v>
      </c>
      <c r="D98" s="144" t="s">
        <v>191</v>
      </c>
      <c r="E98" s="92" t="s">
        <v>192</v>
      </c>
      <c r="F98" s="175">
        <v>49602</v>
      </c>
      <c r="G98" s="195" t="s">
        <v>163</v>
      </c>
      <c r="H98" s="197">
        <v>44518</v>
      </c>
      <c r="I98" s="196" t="s">
        <v>193</v>
      </c>
      <c r="J98" s="94"/>
      <c r="K98" s="103"/>
      <c r="L98" s="104"/>
      <c r="M98" s="104"/>
      <c r="N98" s="105"/>
      <c r="P98" s="90"/>
      <c r="Q98" s="90"/>
      <c r="R98" s="90"/>
      <c r="S98" s="90"/>
      <c r="T98" s="90"/>
    </row>
    <row r="99" spans="1:20" ht="25">
      <c r="A99" s="107" t="s">
        <v>151</v>
      </c>
      <c r="B99" s="93" t="s">
        <v>159</v>
      </c>
      <c r="C99" s="160" t="s">
        <v>194</v>
      </c>
      <c r="D99" s="144"/>
      <c r="E99" s="92" t="s">
        <v>192</v>
      </c>
      <c r="F99" s="175">
        <v>10070</v>
      </c>
      <c r="G99" s="195" t="s">
        <v>163</v>
      </c>
      <c r="H99" s="197">
        <v>44518</v>
      </c>
      <c r="I99" s="196" t="s">
        <v>193</v>
      </c>
      <c r="J99" s="94"/>
      <c r="K99" s="103"/>
      <c r="L99" s="104"/>
      <c r="M99" s="104"/>
      <c r="N99" s="105"/>
      <c r="P99" s="90"/>
      <c r="Q99" s="90"/>
      <c r="R99" s="90"/>
      <c r="S99" s="90"/>
      <c r="T99" s="90"/>
    </row>
    <row r="100" spans="1:20" ht="25">
      <c r="A100" s="107" t="s">
        <v>151</v>
      </c>
      <c r="B100" s="93" t="s">
        <v>159</v>
      </c>
      <c r="C100" s="160" t="s">
        <v>195</v>
      </c>
      <c r="D100" s="144" t="s">
        <v>196</v>
      </c>
      <c r="E100" s="92" t="s">
        <v>192</v>
      </c>
      <c r="F100" s="175">
        <v>5250</v>
      </c>
      <c r="G100" s="195" t="s">
        <v>163</v>
      </c>
      <c r="H100" s="197">
        <v>44518</v>
      </c>
      <c r="I100" s="196" t="s">
        <v>193</v>
      </c>
      <c r="J100" s="94"/>
      <c r="K100" s="103"/>
      <c r="L100" s="104"/>
      <c r="M100" s="104"/>
      <c r="N100" s="105"/>
      <c r="P100" s="90"/>
      <c r="Q100" s="90"/>
      <c r="R100" s="90"/>
      <c r="S100" s="90"/>
      <c r="T100" s="90"/>
    </row>
    <row r="101" spans="1:20" ht="25">
      <c r="A101" s="107" t="s">
        <v>151</v>
      </c>
      <c r="B101" s="93" t="s">
        <v>159</v>
      </c>
      <c r="C101" s="160" t="s">
        <v>170</v>
      </c>
      <c r="D101" s="144" t="s">
        <v>197</v>
      </c>
      <c r="E101" s="92" t="s">
        <v>192</v>
      </c>
      <c r="F101" s="175">
        <v>1725</v>
      </c>
      <c r="G101" s="195" t="s">
        <v>163</v>
      </c>
      <c r="H101" s="197">
        <v>44518</v>
      </c>
      <c r="I101" s="196" t="s">
        <v>193</v>
      </c>
      <c r="J101" s="94"/>
      <c r="K101" s="103"/>
      <c r="L101" s="104"/>
      <c r="M101" s="104"/>
      <c r="N101" s="105"/>
      <c r="P101" s="90"/>
      <c r="Q101" s="90"/>
      <c r="R101" s="90"/>
      <c r="S101" s="90"/>
      <c r="T101" s="90"/>
    </row>
    <row r="102" spans="1:20" ht="25">
      <c r="A102" s="107" t="s">
        <v>151</v>
      </c>
      <c r="B102" s="93" t="s">
        <v>159</v>
      </c>
      <c r="C102" s="160" t="s">
        <v>198</v>
      </c>
      <c r="D102" s="144" t="s">
        <v>172</v>
      </c>
      <c r="E102" s="92" t="s">
        <v>192</v>
      </c>
      <c r="F102" s="175">
        <v>3080</v>
      </c>
      <c r="G102" s="195" t="s">
        <v>163</v>
      </c>
      <c r="H102" s="197">
        <v>44518</v>
      </c>
      <c r="I102" s="196" t="s">
        <v>193</v>
      </c>
      <c r="J102" s="94"/>
      <c r="K102" s="103"/>
      <c r="L102" s="104"/>
      <c r="M102" s="104"/>
      <c r="N102" s="105"/>
      <c r="P102" s="90"/>
      <c r="Q102" s="90"/>
      <c r="R102" s="90"/>
      <c r="S102" s="90"/>
      <c r="T102" s="90"/>
    </row>
    <row r="103" spans="1:20" ht="25">
      <c r="A103" s="107" t="s">
        <v>151</v>
      </c>
      <c r="B103" s="93" t="s">
        <v>159</v>
      </c>
      <c r="C103" s="160" t="s">
        <v>199</v>
      </c>
      <c r="D103" s="144" t="s">
        <v>184</v>
      </c>
      <c r="E103" s="92" t="s">
        <v>192</v>
      </c>
      <c r="F103" s="175">
        <v>14400</v>
      </c>
      <c r="G103" s="195" t="s">
        <v>163</v>
      </c>
      <c r="H103" s="197">
        <v>44518</v>
      </c>
      <c r="I103" s="196" t="s">
        <v>193</v>
      </c>
      <c r="J103" s="94"/>
      <c r="K103" s="103"/>
      <c r="L103" s="104"/>
      <c r="M103" s="104"/>
      <c r="N103" s="105"/>
      <c r="P103" s="90"/>
      <c r="Q103" s="90"/>
      <c r="R103" s="90"/>
      <c r="S103" s="90"/>
      <c r="T103" s="90"/>
    </row>
    <row r="104" spans="1:20" ht="25">
      <c r="A104" s="107" t="s">
        <v>151</v>
      </c>
      <c r="B104" s="93" t="s">
        <v>159</v>
      </c>
      <c r="C104" s="160" t="s">
        <v>186</v>
      </c>
      <c r="D104" s="144" t="s">
        <v>187</v>
      </c>
      <c r="E104" s="92" t="s">
        <v>192</v>
      </c>
      <c r="F104" s="175">
        <v>24402</v>
      </c>
      <c r="G104" s="195" t="s">
        <v>163</v>
      </c>
      <c r="H104" s="197">
        <v>44518</v>
      </c>
      <c r="I104" s="196" t="s">
        <v>193</v>
      </c>
      <c r="J104" s="94"/>
      <c r="K104" s="103"/>
      <c r="L104" s="104"/>
      <c r="M104" s="104"/>
      <c r="N104" s="105"/>
      <c r="P104" s="90"/>
      <c r="Q104" s="90"/>
      <c r="R104" s="90"/>
      <c r="S104" s="90"/>
      <c r="T104" s="90"/>
    </row>
    <row r="105" spans="1:20" ht="25">
      <c r="A105" s="107" t="s">
        <v>151</v>
      </c>
      <c r="B105" s="93" t="s">
        <v>159</v>
      </c>
      <c r="C105" s="160" t="s">
        <v>200</v>
      </c>
      <c r="D105" s="144" t="s">
        <v>178</v>
      </c>
      <c r="E105" s="92" t="s">
        <v>192</v>
      </c>
      <c r="F105" s="175">
        <v>2000</v>
      </c>
      <c r="G105" s="195" t="s">
        <v>163</v>
      </c>
      <c r="H105" s="197">
        <v>44518</v>
      </c>
      <c r="I105" s="196" t="s">
        <v>193</v>
      </c>
      <c r="J105" s="94"/>
      <c r="K105" s="103"/>
      <c r="L105" s="104"/>
      <c r="M105" s="104"/>
      <c r="N105" s="105"/>
      <c r="P105" s="90"/>
      <c r="Q105" s="90"/>
      <c r="R105" s="90"/>
      <c r="S105" s="90"/>
      <c r="T105" s="90"/>
    </row>
    <row r="106" spans="1:20" ht="25">
      <c r="A106" s="107" t="s">
        <v>151</v>
      </c>
      <c r="B106" s="93" t="s">
        <v>159</v>
      </c>
      <c r="C106" s="160" t="s">
        <v>181</v>
      </c>
      <c r="D106" s="144" t="s">
        <v>182</v>
      </c>
      <c r="E106" s="92" t="s">
        <v>192</v>
      </c>
      <c r="F106" s="175">
        <v>22326.67</v>
      </c>
      <c r="G106" s="195" t="s">
        <v>163</v>
      </c>
      <c r="H106" s="197">
        <v>44518</v>
      </c>
      <c r="I106" s="196" t="s">
        <v>193</v>
      </c>
      <c r="J106" s="94"/>
      <c r="K106" s="103"/>
      <c r="L106" s="104"/>
      <c r="M106" s="104"/>
      <c r="N106" s="105"/>
      <c r="P106" s="90"/>
      <c r="Q106" s="90"/>
      <c r="R106" s="90"/>
      <c r="S106" s="90"/>
      <c r="T106" s="90"/>
    </row>
    <row r="107" spans="1:20" ht="25">
      <c r="A107" s="107" t="s">
        <v>151</v>
      </c>
      <c r="B107" s="93" t="s">
        <v>159</v>
      </c>
      <c r="C107" s="160" t="s">
        <v>201</v>
      </c>
      <c r="D107" s="144" t="s">
        <v>176</v>
      </c>
      <c r="E107" s="92" t="s">
        <v>192</v>
      </c>
      <c r="F107" s="175">
        <v>7237.5</v>
      </c>
      <c r="G107" s="195" t="s">
        <v>163</v>
      </c>
      <c r="H107" s="197">
        <v>44518</v>
      </c>
      <c r="I107" s="196" t="s">
        <v>193</v>
      </c>
      <c r="J107" s="94"/>
      <c r="K107" s="103"/>
      <c r="L107" s="104"/>
      <c r="M107" s="104"/>
      <c r="N107" s="105"/>
      <c r="P107" s="90"/>
      <c r="Q107" s="90"/>
      <c r="R107" s="90"/>
      <c r="S107" s="90"/>
      <c r="T107" s="90"/>
    </row>
    <row r="108" spans="1:20" ht="25">
      <c r="A108" s="107" t="s">
        <v>151</v>
      </c>
      <c r="B108" s="93" t="s">
        <v>159</v>
      </c>
      <c r="C108" s="160" t="s">
        <v>202</v>
      </c>
      <c r="D108" s="144"/>
      <c r="E108" s="93" t="s">
        <v>203</v>
      </c>
      <c r="F108" s="175">
        <v>850</v>
      </c>
      <c r="G108" s="195" t="s">
        <v>163</v>
      </c>
      <c r="H108" s="197">
        <v>44524</v>
      </c>
      <c r="I108" s="196" t="s">
        <v>204</v>
      </c>
      <c r="J108" s="94"/>
      <c r="K108" s="103"/>
      <c r="L108" s="104"/>
      <c r="M108" s="104"/>
      <c r="N108" s="105"/>
      <c r="P108" s="90"/>
      <c r="Q108" s="90"/>
      <c r="R108" s="90"/>
      <c r="S108" s="90"/>
      <c r="T108" s="90"/>
    </row>
    <row r="109" spans="1:20" ht="25">
      <c r="A109" s="107" t="s">
        <v>151</v>
      </c>
      <c r="B109" s="93" t="s">
        <v>159</v>
      </c>
      <c r="C109" s="160" t="s">
        <v>205</v>
      </c>
      <c r="D109" s="144" t="s">
        <v>206</v>
      </c>
      <c r="E109" s="93" t="s">
        <v>203</v>
      </c>
      <c r="F109" s="175">
        <v>400</v>
      </c>
      <c r="G109" s="195" t="s">
        <v>163</v>
      </c>
      <c r="H109" s="197">
        <v>44526</v>
      </c>
      <c r="I109" s="196" t="s">
        <v>204</v>
      </c>
      <c r="J109" s="94"/>
      <c r="K109" s="103"/>
      <c r="L109" s="104"/>
      <c r="M109" s="104"/>
      <c r="N109" s="105"/>
      <c r="P109" s="90"/>
      <c r="Q109" s="90"/>
      <c r="R109" s="90"/>
      <c r="S109" s="90"/>
      <c r="T109" s="90"/>
    </row>
    <row r="110" spans="1:20" ht="25">
      <c r="A110" s="107" t="s">
        <v>151</v>
      </c>
      <c r="B110" s="93" t="s">
        <v>159</v>
      </c>
      <c r="C110" s="160" t="s">
        <v>207</v>
      </c>
      <c r="D110" s="144"/>
      <c r="E110" s="93" t="s">
        <v>203</v>
      </c>
      <c r="F110" s="175">
        <v>2520</v>
      </c>
      <c r="G110" s="195" t="s">
        <v>163</v>
      </c>
      <c r="H110" s="197">
        <v>44581</v>
      </c>
      <c r="I110" s="196" t="s">
        <v>208</v>
      </c>
      <c r="J110" s="94"/>
      <c r="K110" s="103"/>
      <c r="L110" s="104"/>
      <c r="M110" s="104"/>
      <c r="N110" s="105"/>
      <c r="P110" s="90"/>
      <c r="Q110" s="90"/>
      <c r="R110" s="90"/>
      <c r="S110" s="90"/>
      <c r="T110" s="90"/>
    </row>
    <row r="111" spans="1:20" ht="25">
      <c r="A111" s="107" t="s">
        <v>151</v>
      </c>
      <c r="B111" s="93" t="s">
        <v>159</v>
      </c>
      <c r="C111" s="160" t="s">
        <v>209</v>
      </c>
      <c r="D111" s="144" t="s">
        <v>206</v>
      </c>
      <c r="E111" s="93" t="s">
        <v>203</v>
      </c>
      <c r="F111" s="175">
        <v>2172</v>
      </c>
      <c r="G111" s="195" t="s">
        <v>163</v>
      </c>
      <c r="H111" s="197">
        <v>44581</v>
      </c>
      <c r="I111" s="196" t="s">
        <v>210</v>
      </c>
      <c r="J111" s="94"/>
      <c r="K111" s="103"/>
      <c r="L111" s="104"/>
      <c r="M111" s="104"/>
      <c r="N111" s="105"/>
      <c r="P111" s="90"/>
      <c r="Q111" s="90"/>
      <c r="R111" s="90"/>
      <c r="S111" s="90"/>
      <c r="T111" s="90"/>
    </row>
    <row r="112" spans="1:20" ht="25">
      <c r="A112" s="107" t="s">
        <v>151</v>
      </c>
      <c r="B112" s="93" t="s">
        <v>159</v>
      </c>
      <c r="C112" s="160" t="s">
        <v>211</v>
      </c>
      <c r="D112" s="144" t="s">
        <v>212</v>
      </c>
      <c r="E112" s="93" t="s">
        <v>203</v>
      </c>
      <c r="F112" s="175">
        <v>2600</v>
      </c>
      <c r="G112" s="195" t="s">
        <v>163</v>
      </c>
      <c r="H112" s="197">
        <v>44581</v>
      </c>
      <c r="I112" s="196" t="s">
        <v>213</v>
      </c>
      <c r="J112" s="94"/>
      <c r="K112" s="103"/>
      <c r="L112" s="104"/>
      <c r="M112" s="104"/>
      <c r="N112" s="105"/>
      <c r="P112" s="90"/>
      <c r="Q112" s="90"/>
      <c r="R112" s="90"/>
      <c r="S112" s="90"/>
      <c r="T112" s="90"/>
    </row>
    <row r="113" spans="1:20" ht="25">
      <c r="A113" s="107" t="s">
        <v>151</v>
      </c>
      <c r="B113" s="93" t="s">
        <v>159</v>
      </c>
      <c r="C113" s="160" t="s">
        <v>214</v>
      </c>
      <c r="D113" s="144"/>
      <c r="E113" s="93" t="s">
        <v>203</v>
      </c>
      <c r="F113" s="175">
        <v>600</v>
      </c>
      <c r="G113" s="195" t="s">
        <v>163</v>
      </c>
      <c r="H113" s="197">
        <v>44588</v>
      </c>
      <c r="I113" s="196" t="s">
        <v>215</v>
      </c>
      <c r="J113" s="94"/>
      <c r="K113" s="103"/>
      <c r="L113" s="104"/>
      <c r="M113" s="104"/>
      <c r="N113" s="105"/>
      <c r="P113" s="90"/>
      <c r="Q113" s="90"/>
      <c r="R113" s="90"/>
      <c r="S113" s="90"/>
      <c r="T113" s="90"/>
    </row>
    <row r="114" spans="1:20" ht="25">
      <c r="A114" s="107" t="s">
        <v>151</v>
      </c>
      <c r="B114" s="93" t="s">
        <v>159</v>
      </c>
      <c r="C114" s="160" t="s">
        <v>216</v>
      </c>
      <c r="D114" s="144"/>
      <c r="E114" s="93" t="s">
        <v>203</v>
      </c>
      <c r="F114" s="175">
        <v>3200</v>
      </c>
      <c r="G114" s="195" t="s">
        <v>163</v>
      </c>
      <c r="H114" s="197">
        <v>44596</v>
      </c>
      <c r="I114" s="196" t="s">
        <v>217</v>
      </c>
      <c r="J114" s="94"/>
      <c r="K114" s="103"/>
      <c r="L114" s="104"/>
      <c r="M114" s="104"/>
      <c r="N114" s="105"/>
      <c r="P114" s="90"/>
      <c r="Q114" s="90"/>
      <c r="R114" s="90"/>
      <c r="S114" s="90"/>
      <c r="T114" s="90"/>
    </row>
    <row r="115" spans="1:20" ht="25">
      <c r="A115" s="107" t="s">
        <v>151</v>
      </c>
      <c r="B115" s="93" t="s">
        <v>159</v>
      </c>
      <c r="C115" s="160" t="s">
        <v>218</v>
      </c>
      <c r="D115" s="144"/>
      <c r="E115" s="93" t="s">
        <v>203</v>
      </c>
      <c r="F115" s="175">
        <v>1600</v>
      </c>
      <c r="G115" s="195" t="s">
        <v>163</v>
      </c>
      <c r="H115" s="197">
        <v>44596</v>
      </c>
      <c r="I115" s="196" t="s">
        <v>217</v>
      </c>
      <c r="J115" s="94"/>
      <c r="K115" s="103"/>
      <c r="L115" s="104"/>
      <c r="M115" s="104"/>
      <c r="N115" s="105"/>
      <c r="P115" s="90"/>
      <c r="Q115" s="90"/>
      <c r="R115" s="90"/>
      <c r="S115" s="90"/>
      <c r="T115" s="90"/>
    </row>
    <row r="116" spans="1:20" ht="25">
      <c r="A116" s="107" t="s">
        <v>151</v>
      </c>
      <c r="B116" s="93" t="s">
        <v>219</v>
      </c>
      <c r="C116" s="160" t="s">
        <v>220</v>
      </c>
      <c r="D116" s="144">
        <v>1075236</v>
      </c>
      <c r="E116" s="93" t="s">
        <v>221</v>
      </c>
      <c r="F116" s="175">
        <v>1500</v>
      </c>
      <c r="G116" s="195" t="s">
        <v>163</v>
      </c>
      <c r="H116" s="197">
        <v>44621</v>
      </c>
      <c r="I116" s="196" t="s">
        <v>18</v>
      </c>
      <c r="J116" s="94"/>
      <c r="K116" s="104"/>
      <c r="L116" s="104"/>
      <c r="M116" s="104"/>
      <c r="N116" s="104"/>
      <c r="P116" s="90"/>
      <c r="Q116" s="90"/>
      <c r="R116" s="90"/>
      <c r="S116" s="90"/>
      <c r="T116" s="90"/>
    </row>
    <row r="117" spans="1:20" ht="25">
      <c r="A117" s="107" t="s">
        <v>151</v>
      </c>
      <c r="B117" s="93" t="s">
        <v>219</v>
      </c>
      <c r="C117" s="160" t="s">
        <v>222</v>
      </c>
      <c r="D117" s="149" t="s">
        <v>223</v>
      </c>
      <c r="E117" s="93" t="s">
        <v>221</v>
      </c>
      <c r="F117" s="175">
        <v>5000</v>
      </c>
      <c r="G117" s="195" t="s">
        <v>163</v>
      </c>
      <c r="H117" s="197">
        <v>44621</v>
      </c>
      <c r="I117" s="196" t="s">
        <v>18</v>
      </c>
      <c r="J117" s="94"/>
      <c r="K117" s="104"/>
      <c r="L117" s="104"/>
      <c r="M117" s="104"/>
      <c r="N117" s="104"/>
      <c r="P117" s="90"/>
      <c r="Q117" s="90"/>
      <c r="R117" s="90"/>
      <c r="S117" s="90"/>
      <c r="T117" s="90"/>
    </row>
    <row r="118" spans="1:20" ht="13">
      <c r="A118" s="112" t="s">
        <v>224</v>
      </c>
      <c r="B118" s="114"/>
      <c r="C118" s="161"/>
      <c r="D118" s="108"/>
      <c r="E118" s="114"/>
      <c r="F118" s="173">
        <f>SUM(F80:F117)</f>
        <v>833333.33000000007</v>
      </c>
      <c r="G118" s="173"/>
      <c r="H118" s="173"/>
      <c r="I118" s="173"/>
      <c r="P118"/>
    </row>
    <row r="119" spans="1:20" ht="13">
      <c r="A119" s="107"/>
      <c r="B119" s="93"/>
      <c r="C119" s="160"/>
      <c r="D119" s="107"/>
      <c r="F119" s="201"/>
      <c r="G119" s="173"/>
      <c r="H119" s="173"/>
      <c r="I119" s="173"/>
      <c r="J119" s="94"/>
      <c r="K119" s="103"/>
      <c r="L119" s="104"/>
      <c r="M119" s="104"/>
      <c r="N119" s="105"/>
      <c r="P119" s="90"/>
      <c r="Q119" s="90"/>
      <c r="R119" s="90"/>
      <c r="S119" s="90"/>
      <c r="T119" s="90"/>
    </row>
    <row r="120" spans="1:20" ht="13">
      <c r="A120" s="112" t="s">
        <v>225</v>
      </c>
      <c r="B120" s="114"/>
      <c r="C120" s="161"/>
      <c r="D120" s="108"/>
      <c r="E120" s="114"/>
      <c r="F120" s="173">
        <f>F78+F52+F47+F31+F21+F17+F118</f>
        <v>1562247.54</v>
      </c>
      <c r="G120" s="204"/>
      <c r="H120" s="205"/>
      <c r="I120" s="205"/>
      <c r="P120"/>
    </row>
    <row r="121" spans="1:20">
      <c r="G121" s="206"/>
    </row>
    <row r="122" spans="1:20">
      <c r="G122" s="206"/>
    </row>
    <row r="123" spans="1:20">
      <c r="G123" s="206"/>
    </row>
    <row r="124" spans="1:20">
      <c r="G124" s="206"/>
    </row>
    <row r="125" spans="1:20">
      <c r="G125" s="206"/>
    </row>
    <row r="126" spans="1:20">
      <c r="G126" s="206"/>
    </row>
    <row r="127" spans="1:20">
      <c r="G127" s="206"/>
    </row>
    <row r="128" spans="1:20">
      <c r="G128" s="206"/>
    </row>
    <row r="129" spans="7:7">
      <c r="G129" s="207"/>
    </row>
    <row r="130" spans="7:7">
      <c r="G130" s="207"/>
    </row>
    <row r="131" spans="7:7">
      <c r="G131" s="207"/>
    </row>
    <row r="132" spans="7:7">
      <c r="G132" s="207"/>
    </row>
    <row r="133" spans="7:7">
      <c r="G133" s="207"/>
    </row>
    <row r="134" spans="7:7">
      <c r="G134" s="207"/>
    </row>
    <row r="135" spans="7:7">
      <c r="G135" s="207"/>
    </row>
    <row r="136" spans="7:7">
      <c r="G136" s="207"/>
    </row>
    <row r="137" spans="7:7">
      <c r="G137" s="207"/>
    </row>
    <row r="138" spans="7:7">
      <c r="G138" s="207"/>
    </row>
    <row r="139" spans="7:7">
      <c r="G139" s="207"/>
    </row>
    <row r="140" spans="7:7">
      <c r="G140" s="207"/>
    </row>
    <row r="141" spans="7:7">
      <c r="G141" s="207"/>
    </row>
    <row r="142" spans="7:7">
      <c r="G142" s="207"/>
    </row>
    <row r="143" spans="7:7">
      <c r="G143" s="207"/>
    </row>
    <row r="144" spans="7:7">
      <c r="G144" s="207"/>
    </row>
    <row r="145" spans="7:7">
      <c r="G145" s="207"/>
    </row>
    <row r="146" spans="7:7">
      <c r="G146" s="207"/>
    </row>
    <row r="147" spans="7:7">
      <c r="G147" s="207"/>
    </row>
    <row r="148" spans="7:7">
      <c r="G148" s="207"/>
    </row>
    <row r="149" spans="7:7">
      <c r="G149" s="207"/>
    </row>
    <row r="150" spans="7:7">
      <c r="G150" s="207"/>
    </row>
    <row r="151" spans="7:7">
      <c r="G151" s="207"/>
    </row>
    <row r="152" spans="7:7">
      <c r="G152" s="207"/>
    </row>
    <row r="153" spans="7:7">
      <c r="G153" s="207"/>
    </row>
    <row r="154" spans="7:7">
      <c r="G154" s="207"/>
    </row>
    <row r="155" spans="7:7">
      <c r="G155" s="207"/>
    </row>
    <row r="156" spans="7:7">
      <c r="G156" s="207"/>
    </row>
    <row r="157" spans="7:7">
      <c r="G157" s="207"/>
    </row>
    <row r="158" spans="7:7">
      <c r="G158" s="207"/>
    </row>
    <row r="159" spans="7:7">
      <c r="G159" s="207"/>
    </row>
    <row r="160" spans="7:7">
      <c r="G160" s="208"/>
    </row>
    <row r="161" spans="7:7">
      <c r="G161" s="207"/>
    </row>
    <row r="162" spans="7:7">
      <c r="G162" s="207"/>
    </row>
    <row r="163" spans="7:7">
      <c r="G163" s="207"/>
    </row>
    <row r="164" spans="7:7">
      <c r="G164" s="207"/>
    </row>
    <row r="165" spans="7:7">
      <c r="G165" s="207"/>
    </row>
    <row r="166" spans="7:7">
      <c r="G166" s="207"/>
    </row>
    <row r="167" spans="7:7">
      <c r="G167" s="207"/>
    </row>
    <row r="168" spans="7:7">
      <c r="G168" s="207"/>
    </row>
    <row r="169" spans="7:7">
      <c r="G169" s="207"/>
    </row>
    <row r="170" spans="7:7">
      <c r="G170" s="207"/>
    </row>
    <row r="171" spans="7:7">
      <c r="G171" s="207"/>
    </row>
    <row r="172" spans="7:7">
      <c r="G172" s="207"/>
    </row>
    <row r="173" spans="7:7">
      <c r="G173" s="207"/>
    </row>
    <row r="174" spans="7:7">
      <c r="G174" s="207"/>
    </row>
    <row r="175" spans="7:7">
      <c r="G175" s="207"/>
    </row>
    <row r="176" spans="7:7">
      <c r="G176" s="207"/>
    </row>
    <row r="177" spans="7:7">
      <c r="G177" s="207"/>
    </row>
    <row r="178" spans="7:7">
      <c r="G178" s="207"/>
    </row>
    <row r="179" spans="7:7">
      <c r="G179" s="207"/>
    </row>
    <row r="180" spans="7:7">
      <c r="G180" s="207"/>
    </row>
    <row r="181" spans="7:7">
      <c r="G181" s="207"/>
    </row>
    <row r="182" spans="7:7">
      <c r="G182" s="207"/>
    </row>
    <row r="183" spans="7:7">
      <c r="G183" s="207"/>
    </row>
    <row r="184" spans="7:7">
      <c r="G184" s="207"/>
    </row>
    <row r="185" spans="7:7">
      <c r="G185" s="207"/>
    </row>
    <row r="186" spans="7:7">
      <c r="G186" s="207"/>
    </row>
    <row r="187" spans="7:7">
      <c r="G187" s="207"/>
    </row>
    <row r="188" spans="7:7">
      <c r="G188" s="207"/>
    </row>
    <row r="189" spans="7:7">
      <c r="G189" s="207"/>
    </row>
    <row r="190" spans="7:7">
      <c r="G190" s="207"/>
    </row>
    <row r="191" spans="7:7">
      <c r="G191" s="207"/>
    </row>
    <row r="192" spans="7:7">
      <c r="G192" s="207"/>
    </row>
    <row r="193" spans="7:7" ht="13.5" thickBot="1">
      <c r="G193" s="209"/>
    </row>
    <row r="194" spans="7:7" ht="13" thickTop="1"/>
  </sheetData>
  <customSheetViews>
    <customSheetView guid="{6B4526F4-F903-4347-9BAB-BC81BB281495}" scale="70" fitToPage="1" hiddenColumns="1" topLeftCell="C1">
      <pane ySplit="4" topLeftCell="A33" activePane="bottomLeft" state="frozen"/>
      <selection pane="bottomLeft" activeCell="Q36" sqref="Q36"/>
      <pageMargins left="0" right="0" top="0" bottom="0" header="0" footer="0"/>
      <pageSetup paperSize="9" orientation="portrait" r:id="rId1"/>
      <headerFooter alignWithMargins="0"/>
    </customSheetView>
    <customSheetView guid="{90362B46-B06A-4E6C-9981-A1293A7810A8}" scale="85" fitToPage="1" hiddenColumns="1">
      <pane ySplit="4" topLeftCell="A5" activePane="bottomLeft" state="frozen"/>
      <selection pane="bottomLeft" activeCell="G6" sqref="G6"/>
      <pageMargins left="0" right="0" top="0" bottom="0" header="0" footer="0"/>
      <pageSetup paperSize="9" orientation="portrait" r:id="rId2"/>
      <headerFooter alignWithMargins="0"/>
    </customSheetView>
    <customSheetView guid="{D5FD720F-285C-4CB2-A72D-E52B7F403E45}" scale="85" fitToPage="1" hiddenColumns="1">
      <pane ySplit="4" topLeftCell="A76" activePane="bottomLeft" state="frozen"/>
      <selection pane="bottomLeft" activeCell="B61" sqref="B61"/>
      <pageMargins left="0" right="0" top="0" bottom="0" header="0" footer="0"/>
      <pageSetup paperSize="9" orientation="portrait" r:id="rId3"/>
      <headerFooter alignWithMargins="0"/>
    </customSheetView>
    <customSheetView guid="{9A623C62-63B8-4DD3-8DFE-FA6BD484E512}" scale="85" fitToPage="1" hiddenColumns="1">
      <pane ySplit="4" topLeftCell="A55" activePane="bottomLeft" state="frozen"/>
      <selection pane="bottomLeft" activeCell="R62" sqref="R62"/>
      <pageMargins left="0" right="0" top="0" bottom="0" header="0" footer="0"/>
      <pageSetup paperSize="9" orientation="portrait" r:id="rId4"/>
      <headerFooter alignWithMargins="0"/>
    </customSheetView>
    <customSheetView guid="{5131A815-DE57-4859-8A73-A9032A3FE50D}" scale="85" fitToPage="1" hiddenColumns="1">
      <selection activeCell="E23" sqref="E23"/>
      <pageMargins left="0" right="0" top="0" bottom="0" header="0" footer="0"/>
      <pageSetup paperSize="9" orientation="portrait" r:id="rId5"/>
      <headerFooter alignWithMargins="0"/>
    </customSheetView>
    <customSheetView guid="{E54AD01A-EF8A-4CD0-AD3C-70B039EF58CE}" scale="85" fitToPage="1" hiddenColumns="1">
      <selection activeCell="C2" sqref="C2"/>
      <pageMargins left="0" right="0" top="0" bottom="0" header="0" footer="0"/>
      <pageSetup paperSize="9" orientation="portrait" r:id="rId6"/>
      <headerFooter alignWithMargins="0"/>
    </customSheetView>
    <customSheetView guid="{E1BB54EF-CD5F-43AD-834E-DD6D9764954F}" scale="85" fitToPage="1" hiddenColumns="1">
      <selection activeCell="B10" sqref="B10"/>
      <pageMargins left="0" right="0" top="0" bottom="0" header="0" footer="0"/>
      <pageSetup paperSize="9" orientation="portrait" r:id="rId7"/>
      <headerFooter alignWithMargins="0"/>
    </customSheetView>
    <customSheetView guid="{ED5FF4CA-BF50-4538-B3A7-88345F2EFF8F}" scale="85" fitToPage="1" hiddenColumns="1">
      <selection activeCell="B10" sqref="B10"/>
      <pageMargins left="0" right="0" top="0" bottom="0" header="0" footer="0"/>
      <pageSetup paperSize="9" orientation="portrait" r:id="rId8"/>
      <headerFooter alignWithMargins="0"/>
    </customSheetView>
    <customSheetView guid="{F6937C6A-B4E6-40FD-A3EE-A37423C116CF}" scale="85" fitToPage="1" hiddenColumns="1" topLeftCell="A22">
      <selection activeCell="P29" sqref="P29:P31"/>
      <pageMargins left="0" right="0" top="0" bottom="0" header="0" footer="0"/>
      <pageSetup paperSize="9" orientation="portrait" r:id="rId9"/>
      <headerFooter alignWithMargins="0"/>
    </customSheetView>
    <customSheetView guid="{8AF4C8A2-BF20-4591-9AED-42959CC23F32}" scale="85" fitToPage="1" hiddenColumns="1" topLeftCell="A22">
      <selection activeCell="D40" sqref="D40"/>
      <pageMargins left="0" right="0" top="0" bottom="0" header="0" footer="0"/>
      <pageSetup paperSize="9" orientation="portrait" r:id="rId10"/>
      <headerFooter alignWithMargins="0"/>
    </customSheetView>
    <customSheetView guid="{3DBE43D9-93DE-4365-8E44-548F97A28FAE}" scale="85" fitToPage="1" hiddenColumns="1" topLeftCell="A10">
      <selection activeCell="V7" sqref="V7"/>
      <pageMargins left="0" right="0" top="0" bottom="0" header="0" footer="0"/>
      <pageSetup paperSize="9" orientation="portrait" r:id="rId11"/>
      <headerFooter alignWithMargins="0"/>
    </customSheetView>
    <customSheetView guid="{1EDCC7DB-EA00-425C-A232-2B947213F1FE}" scale="85" fitToPage="1" hiddenColumns="1">
      <pane ySplit="4" topLeftCell="A5" activePane="bottomLeft" state="frozen"/>
      <selection pane="bottomLeft" activeCell="F75" sqref="F75"/>
      <pageMargins left="0" right="0" top="0" bottom="0" header="0" footer="0"/>
      <pageSetup paperSize="9" orientation="portrait" r:id="rId12"/>
      <headerFooter alignWithMargins="0"/>
    </customSheetView>
    <customSheetView guid="{8FBE7404-30EC-4BE0-BE5C-B8883D73C558}" scale="85" fitToPage="1" hiddenColumns="1">
      <pane ySplit="4" topLeftCell="A70" activePane="bottomLeft" state="frozen"/>
      <selection pane="bottomLeft" activeCell="D86" sqref="D86"/>
      <pageMargins left="0" right="0" top="0" bottom="0" header="0" footer="0"/>
      <pageSetup paperSize="9" orientation="portrait" r:id="rId13"/>
      <headerFooter alignWithMargins="0"/>
    </customSheetView>
    <customSheetView guid="{0DAE2956-B1BF-4A41-BEE2-3874FE1978D4}" scale="85" fitToPage="1" hiddenColumns="1">
      <pane ySplit="4" topLeftCell="A22" activePane="bottomLeft" state="frozen"/>
      <selection pane="bottomLeft" activeCell="G31" sqref="G31"/>
      <pageMargins left="0" right="0" top="0" bottom="0" header="0" footer="0"/>
      <pageSetup paperSize="9" orientation="portrait" r:id="rId14"/>
      <headerFooter alignWithMargins="0"/>
    </customSheetView>
    <customSheetView guid="{C8817622-5016-4969-BE02-B029E94511B8}" scale="85" fitToPage="1" hiddenColumns="1">
      <pane ySplit="4" topLeftCell="A40" activePane="bottomLeft" state="frozen"/>
      <selection pane="bottomLeft" activeCell="A50" sqref="A50:C50"/>
      <pageMargins left="0" right="0" top="0" bottom="0" header="0" footer="0"/>
      <pageSetup paperSize="9" orientation="portrait" r:id="rId15"/>
      <headerFooter alignWithMargins="0"/>
    </customSheetView>
    <customSheetView guid="{F1353556-8513-4163-AB0F-45A4CD4C33F3}" scale="85" fitToPage="1" hiddenColumns="1" topLeftCell="A52">
      <selection activeCell="H61" sqref="H61"/>
      <pageMargins left="0" right="0" top="0" bottom="0" header="0" footer="0"/>
      <pageSetup paperSize="9" orientation="portrait" r:id="rId16"/>
      <headerFooter alignWithMargins="0"/>
    </customSheetView>
    <customSheetView guid="{65E72D89-F408-47E9-A76D-42DDA8AA2BAF}" scale="85" fitToPage="1" hiddenColumns="1">
      <selection activeCell="J4" sqref="J4"/>
      <pageMargins left="0" right="0" top="0" bottom="0" header="0" footer="0"/>
      <pageSetup paperSize="9" orientation="portrait" r:id="rId17"/>
      <headerFooter alignWithMargins="0"/>
    </customSheetView>
  </customSheetViews>
  <mergeCells count="6">
    <mergeCell ref="A47:C47"/>
    <mergeCell ref="K3:N3"/>
    <mergeCell ref="A17:C17"/>
    <mergeCell ref="A21:C21"/>
    <mergeCell ref="A31:C31"/>
    <mergeCell ref="F2:I3"/>
  </mergeCells>
  <hyperlinks>
    <hyperlink ref="D19" r:id="rId18" xr:uid="{FE6A4B05-99C9-4BC8-93E5-935FBE25E001}"/>
    <hyperlink ref="D28" r:id="rId19" xr:uid="{44DE274A-E06A-422B-8CE1-BFF44D052D90}"/>
  </hyperlinks>
  <pageMargins left="0.35433070866141736" right="0.15748031496062992" top="0.35433070866141736" bottom="0.59055118110236227" header="0.51181102362204722" footer="0.51181102362204722"/>
  <pageSetup paperSize="8" scale="37" orientation="portrait" r:id="rId20"/>
  <headerFooter alignWithMargins="0"/>
  <rowBreaks count="1" manualBreakCount="1">
    <brk id="120" max="16383" man="1"/>
  </rowBreaks>
  <colBreaks count="1" manualBreakCount="1">
    <brk id="8" max="1048575" man="1"/>
  </colBreaks>
  <legacy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7"/>
  <sheetViews>
    <sheetView zoomScale="85" zoomScaleNormal="85" workbookViewId="0">
      <pane ySplit="4" topLeftCell="A158" activePane="bottomLeft" state="frozen"/>
      <selection pane="bottomLeft" activeCell="D166" sqref="D166"/>
    </sheetView>
  </sheetViews>
  <sheetFormatPr defaultColWidth="20.7265625" defaultRowHeight="12.5"/>
  <cols>
    <col min="1" max="1" width="27.81640625" style="3" customWidth="1"/>
    <col min="2" max="2" width="37.54296875" style="3" customWidth="1"/>
    <col min="3" max="3" width="32.26953125" style="75" customWidth="1"/>
    <col min="4" max="5" width="11.453125" style="5" bestFit="1" customWidth="1"/>
    <col min="6" max="6" width="10.7265625" style="5" customWidth="1"/>
    <col min="7" max="7" width="10.26953125" style="5" bestFit="1" customWidth="1"/>
    <col min="8" max="9" width="20.7265625" style="4" hidden="1" customWidth="1"/>
    <col min="10" max="10" width="3.1796875" style="4" customWidth="1"/>
    <col min="11" max="11" width="11.54296875" style="4" customWidth="1"/>
    <col min="12" max="12" width="12.81640625" style="4" customWidth="1"/>
    <col min="13" max="13" width="18.7265625" style="4" customWidth="1"/>
    <col min="14" max="16384" width="20.7265625" style="4"/>
  </cols>
  <sheetData>
    <row r="1" spans="1:14" ht="13">
      <c r="A1" s="2" t="s">
        <v>226</v>
      </c>
      <c r="M1" t="s">
        <v>227</v>
      </c>
      <c r="N1" t="s">
        <v>228</v>
      </c>
    </row>
    <row r="3" spans="1:14" s="6" customFormat="1">
      <c r="A3" s="3"/>
      <c r="B3" s="3"/>
      <c r="C3" s="40"/>
      <c r="D3" s="7"/>
      <c r="E3" s="7"/>
      <c r="F3" s="8"/>
      <c r="G3" s="8"/>
    </row>
    <row r="4" spans="1:14" s="6" customFormat="1" ht="41.25" customHeight="1">
      <c r="A4" s="9" t="s">
        <v>229</v>
      </c>
      <c r="B4" s="10" t="s">
        <v>3</v>
      </c>
      <c r="C4" s="76" t="s">
        <v>230</v>
      </c>
      <c r="D4" s="12" t="s">
        <v>231</v>
      </c>
      <c r="E4" s="12" t="s">
        <v>232</v>
      </c>
      <c r="F4" s="11" t="s">
        <v>233</v>
      </c>
      <c r="G4" s="11" t="s">
        <v>234</v>
      </c>
      <c r="H4" s="13" t="s">
        <v>235</v>
      </c>
      <c r="I4" s="14"/>
      <c r="J4" s="15"/>
      <c r="K4" s="14" t="s">
        <v>236</v>
      </c>
      <c r="L4" s="16" t="s">
        <v>237</v>
      </c>
    </row>
    <row r="5" spans="1:14" s="6" customFormat="1" ht="25">
      <c r="A5" s="17" t="s">
        <v>238</v>
      </c>
      <c r="B5" s="18" t="s">
        <v>239</v>
      </c>
      <c r="C5" s="121" t="s">
        <v>240</v>
      </c>
      <c r="D5" s="122">
        <v>170500</v>
      </c>
      <c r="E5" s="19">
        <v>0</v>
      </c>
      <c r="F5" s="19">
        <v>0</v>
      </c>
      <c r="G5" s="20">
        <v>0</v>
      </c>
      <c r="H5" s="123">
        <v>170500</v>
      </c>
      <c r="I5" s="124" t="s">
        <v>241</v>
      </c>
      <c r="J5" s="125"/>
      <c r="K5" s="126">
        <v>40182</v>
      </c>
      <c r="L5" s="127">
        <v>42094</v>
      </c>
    </row>
    <row r="6" spans="1:14" s="6" customFormat="1" ht="25">
      <c r="A6" s="128" t="s">
        <v>238</v>
      </c>
      <c r="B6" s="74" t="s">
        <v>242</v>
      </c>
      <c r="C6" s="129" t="s">
        <v>243</v>
      </c>
      <c r="D6" s="123">
        <v>265100</v>
      </c>
      <c r="E6" s="123">
        <f>D6/12*6</f>
        <v>132550</v>
      </c>
      <c r="F6" s="21">
        <v>0</v>
      </c>
      <c r="G6" s="1">
        <v>0</v>
      </c>
      <c r="H6" s="123">
        <v>260000</v>
      </c>
      <c r="I6" s="124" t="s">
        <v>244</v>
      </c>
      <c r="J6" s="125"/>
      <c r="K6" s="126">
        <v>41183</v>
      </c>
      <c r="L6" s="127">
        <v>42277</v>
      </c>
      <c r="M6" s="221" t="s">
        <v>245</v>
      </c>
    </row>
    <row r="7" spans="1:14" s="6" customFormat="1" ht="37.5">
      <c r="A7" s="128" t="s">
        <v>238</v>
      </c>
      <c r="B7" s="74" t="s">
        <v>246</v>
      </c>
      <c r="C7" s="129" t="s">
        <v>247</v>
      </c>
      <c r="D7" s="123">
        <v>120725</v>
      </c>
      <c r="E7" s="123">
        <f>D7/12*6</f>
        <v>60362.5</v>
      </c>
      <c r="F7" s="21">
        <v>0</v>
      </c>
      <c r="G7" s="1">
        <v>0</v>
      </c>
      <c r="H7" s="123">
        <v>120725</v>
      </c>
      <c r="I7" s="124" t="s">
        <v>248</v>
      </c>
      <c r="J7" s="125"/>
      <c r="K7" s="126">
        <v>41183</v>
      </c>
      <c r="L7" s="127">
        <v>42277</v>
      </c>
      <c r="M7" s="222"/>
    </row>
    <row r="8" spans="1:14" s="6" customFormat="1" ht="25">
      <c r="A8" s="128" t="s">
        <v>238</v>
      </c>
      <c r="B8" s="74" t="s">
        <v>249</v>
      </c>
      <c r="C8" s="129" t="s">
        <v>250</v>
      </c>
      <c r="D8" s="123">
        <v>358791</v>
      </c>
      <c r="E8" s="123">
        <f>+D8</f>
        <v>358791</v>
      </c>
      <c r="F8" s="123">
        <f>+E8</f>
        <v>358791</v>
      </c>
      <c r="G8" s="1">
        <v>0</v>
      </c>
      <c r="H8" s="130"/>
      <c r="I8" s="130"/>
      <c r="J8" s="125"/>
      <c r="K8" s="126">
        <v>41730</v>
      </c>
      <c r="L8" s="127">
        <v>42825</v>
      </c>
    </row>
    <row r="9" spans="1:14" s="6" customFormat="1">
      <c r="A9" s="128" t="s">
        <v>238</v>
      </c>
      <c r="B9" s="74" t="s">
        <v>251</v>
      </c>
      <c r="C9" s="129" t="s">
        <v>252</v>
      </c>
      <c r="D9" s="123">
        <v>204230</v>
      </c>
      <c r="E9" s="123">
        <f>+D9</f>
        <v>204230</v>
      </c>
      <c r="F9" s="123">
        <f>+E9</f>
        <v>204230</v>
      </c>
      <c r="G9" s="1">
        <v>0</v>
      </c>
      <c r="H9" s="130"/>
      <c r="I9" s="130"/>
      <c r="J9" s="125"/>
      <c r="K9" s="126">
        <v>41730</v>
      </c>
      <c r="L9" s="127">
        <v>42825</v>
      </c>
    </row>
    <row r="10" spans="1:14" s="6" customFormat="1" ht="25.5" customHeight="1">
      <c r="A10" s="128" t="s">
        <v>238</v>
      </c>
      <c r="B10" s="74" t="s">
        <v>253</v>
      </c>
      <c r="C10" s="129" t="s">
        <v>254</v>
      </c>
      <c r="D10" s="123">
        <v>183500</v>
      </c>
      <c r="E10" s="123">
        <f>D10</f>
        <v>183500</v>
      </c>
      <c r="F10" s="21">
        <v>0</v>
      </c>
      <c r="G10" s="1">
        <v>0</v>
      </c>
      <c r="H10" s="123">
        <v>160000</v>
      </c>
      <c r="I10" s="124" t="s">
        <v>255</v>
      </c>
      <c r="J10" s="125"/>
      <c r="K10" s="126">
        <v>41365</v>
      </c>
      <c r="L10" s="127">
        <v>42460</v>
      </c>
    </row>
    <row r="11" spans="1:14" s="6" customFormat="1" ht="25">
      <c r="A11" s="128" t="s">
        <v>238</v>
      </c>
      <c r="B11" s="74" t="s">
        <v>256</v>
      </c>
      <c r="C11" s="129" t="s">
        <v>257</v>
      </c>
      <c r="D11" s="123">
        <v>158644</v>
      </c>
      <c r="E11" s="123">
        <f>+D11</f>
        <v>158644</v>
      </c>
      <c r="F11" s="21">
        <v>0</v>
      </c>
      <c r="G11" s="1">
        <v>0</v>
      </c>
      <c r="H11" s="130"/>
      <c r="I11" s="130"/>
      <c r="J11" s="125"/>
      <c r="K11" s="126">
        <v>41365</v>
      </c>
      <c r="L11" s="127">
        <v>42460</v>
      </c>
    </row>
    <row r="12" spans="1:14" s="6" customFormat="1" ht="37.5">
      <c r="A12" s="128" t="s">
        <v>238</v>
      </c>
      <c r="B12" s="74" t="s">
        <v>258</v>
      </c>
      <c r="C12" s="129" t="s">
        <v>259</v>
      </c>
      <c r="D12" s="123">
        <v>129127</v>
      </c>
      <c r="E12" s="123">
        <f>+D12</f>
        <v>129127</v>
      </c>
      <c r="F12" s="123">
        <f>E12/2</f>
        <v>64563.5</v>
      </c>
      <c r="G12" s="1">
        <v>0</v>
      </c>
      <c r="H12" s="123">
        <v>129127</v>
      </c>
      <c r="I12" s="124" t="s">
        <v>260</v>
      </c>
      <c r="J12" s="125"/>
      <c r="K12" s="126">
        <v>41548</v>
      </c>
      <c r="L12" s="127">
        <v>42643</v>
      </c>
    </row>
    <row r="13" spans="1:14" s="6" customFormat="1" ht="29.25" customHeight="1">
      <c r="A13" s="128" t="s">
        <v>238</v>
      </c>
      <c r="B13" s="74" t="s">
        <v>261</v>
      </c>
      <c r="C13" s="129" t="s">
        <v>262</v>
      </c>
      <c r="D13" s="123">
        <v>236511</v>
      </c>
      <c r="E13" s="123">
        <f>D13</f>
        <v>236511</v>
      </c>
      <c r="F13" s="123">
        <f>E13</f>
        <v>236511</v>
      </c>
      <c r="G13" s="131">
        <f>F13/12*9</f>
        <v>177383.25</v>
      </c>
      <c r="H13" s="130"/>
      <c r="I13" s="130" t="s">
        <v>263</v>
      </c>
      <c r="J13" s="125"/>
      <c r="K13" s="126">
        <v>41640</v>
      </c>
      <c r="L13" s="127">
        <v>43100</v>
      </c>
    </row>
    <row r="14" spans="1:14" s="6" customFormat="1" ht="25">
      <c r="A14" s="128" t="s">
        <v>238</v>
      </c>
      <c r="B14" s="74" t="s">
        <v>264</v>
      </c>
      <c r="C14" s="129" t="s">
        <v>265</v>
      </c>
      <c r="D14" s="123">
        <v>33154</v>
      </c>
      <c r="E14" s="21">
        <v>0</v>
      </c>
      <c r="F14" s="21">
        <v>0</v>
      </c>
      <c r="G14" s="1">
        <v>0</v>
      </c>
      <c r="H14" s="130"/>
      <c r="I14" s="130" t="s">
        <v>266</v>
      </c>
      <c r="J14" s="125"/>
      <c r="K14" s="126">
        <v>41000</v>
      </c>
      <c r="L14" s="127">
        <v>42094</v>
      </c>
    </row>
    <row r="15" spans="1:14" s="6" customFormat="1" ht="33" customHeight="1">
      <c r="A15" s="128" t="s">
        <v>238</v>
      </c>
      <c r="B15" s="74" t="s">
        <v>267</v>
      </c>
      <c r="C15" s="129" t="s">
        <v>268</v>
      </c>
      <c r="D15" s="123">
        <v>524994</v>
      </c>
      <c r="E15" s="123">
        <f>+D15</f>
        <v>524994</v>
      </c>
      <c r="F15" s="123">
        <f>+E15</f>
        <v>524994</v>
      </c>
      <c r="G15" s="131">
        <f>+E15/12*5</f>
        <v>218747.5</v>
      </c>
      <c r="H15" s="123">
        <v>150000</v>
      </c>
      <c r="I15" s="130" t="s">
        <v>269</v>
      </c>
      <c r="J15" s="125"/>
      <c r="K15" s="126">
        <v>41883</v>
      </c>
      <c r="L15" s="127">
        <v>42978</v>
      </c>
    </row>
    <row r="16" spans="1:14" s="6" customFormat="1">
      <c r="A16" s="128" t="s">
        <v>238</v>
      </c>
      <c r="B16" s="74" t="s">
        <v>270</v>
      </c>
      <c r="C16" s="129" t="s">
        <v>271</v>
      </c>
      <c r="D16" s="123">
        <v>256000</v>
      </c>
      <c r="E16" s="123">
        <f>D16/12*7</f>
        <v>149333.33333333331</v>
      </c>
      <c r="F16" s="21">
        <v>0</v>
      </c>
      <c r="G16" s="1">
        <v>0</v>
      </c>
      <c r="H16" s="130"/>
      <c r="I16" s="130"/>
      <c r="J16" s="125"/>
      <c r="K16" s="126">
        <v>40848</v>
      </c>
      <c r="L16" s="127">
        <v>42308</v>
      </c>
    </row>
    <row r="17" spans="1:13" s="6" customFormat="1" ht="25">
      <c r="A17" s="128" t="s">
        <v>238</v>
      </c>
      <c r="B17" s="74" t="s">
        <v>272</v>
      </c>
      <c r="C17" s="129" t="s">
        <v>273</v>
      </c>
      <c r="D17" s="123">
        <f>94000/12*7</f>
        <v>54833.333333333328</v>
      </c>
      <c r="E17" s="123">
        <v>0</v>
      </c>
      <c r="F17" s="21">
        <v>0</v>
      </c>
      <c r="G17" s="1">
        <v>0</v>
      </c>
      <c r="H17" s="130"/>
      <c r="I17" s="130"/>
      <c r="J17" s="125"/>
      <c r="K17" s="126">
        <v>41579</v>
      </c>
      <c r="L17" s="127">
        <v>41943</v>
      </c>
    </row>
    <row r="18" spans="1:13" s="6" customFormat="1" ht="39" customHeight="1">
      <c r="A18" s="128" t="s">
        <v>238</v>
      </c>
      <c r="B18" s="74" t="s">
        <v>274</v>
      </c>
      <c r="C18" s="129" t="s">
        <v>275</v>
      </c>
      <c r="D18" s="123">
        <v>759116</v>
      </c>
      <c r="E18" s="123">
        <f>D18</f>
        <v>759116</v>
      </c>
      <c r="F18" s="123">
        <f>E18</f>
        <v>759116</v>
      </c>
      <c r="G18" s="131">
        <f>F18/12*4</f>
        <v>253038.66666666666</v>
      </c>
      <c r="H18" s="123">
        <v>611116</v>
      </c>
      <c r="I18" s="124" t="s">
        <v>276</v>
      </c>
      <c r="J18" s="125"/>
      <c r="K18" s="126">
        <v>41092</v>
      </c>
      <c r="L18" s="127">
        <v>42917</v>
      </c>
    </row>
    <row r="19" spans="1:13" s="6" customFormat="1" ht="18.75" customHeight="1">
      <c r="A19" s="128" t="s">
        <v>238</v>
      </c>
      <c r="B19" s="74" t="s">
        <v>277</v>
      </c>
      <c r="C19" s="129" t="s">
        <v>278</v>
      </c>
      <c r="D19" s="123">
        <f>82000/12*7</f>
        <v>47833.333333333328</v>
      </c>
      <c r="E19" s="123">
        <v>0</v>
      </c>
      <c r="F19" s="123">
        <v>0</v>
      </c>
      <c r="G19" s="131">
        <v>0</v>
      </c>
      <c r="H19" s="123"/>
      <c r="I19" s="124"/>
      <c r="J19" s="125"/>
      <c r="K19" s="126">
        <v>41564</v>
      </c>
      <c r="L19" s="127">
        <v>41928</v>
      </c>
    </row>
    <row r="20" spans="1:13" s="6" customFormat="1" ht="27.75" customHeight="1">
      <c r="A20" s="128" t="s">
        <v>238</v>
      </c>
      <c r="B20" s="74" t="s">
        <v>279</v>
      </c>
      <c r="C20" s="129" t="s">
        <v>280</v>
      </c>
      <c r="D20" s="123">
        <v>1250000</v>
      </c>
      <c r="E20" s="123">
        <f>D20/12*6</f>
        <v>625000</v>
      </c>
      <c r="F20" s="123">
        <v>0</v>
      </c>
      <c r="G20" s="131">
        <v>0</v>
      </c>
      <c r="H20" s="123"/>
      <c r="I20" s="124"/>
      <c r="J20" s="125"/>
      <c r="K20" s="126">
        <v>41183</v>
      </c>
      <c r="L20" s="127">
        <v>42277</v>
      </c>
    </row>
    <row r="21" spans="1:13" s="6" customFormat="1" ht="27.75" customHeight="1">
      <c r="A21" s="128" t="s">
        <v>238</v>
      </c>
      <c r="B21" s="74" t="s">
        <v>281</v>
      </c>
      <c r="C21" s="129" t="s">
        <v>282</v>
      </c>
      <c r="D21" s="123">
        <v>190000</v>
      </c>
      <c r="E21" s="123">
        <f>D21</f>
        <v>190000</v>
      </c>
      <c r="F21" s="123">
        <v>0</v>
      </c>
      <c r="G21" s="131">
        <v>0</v>
      </c>
      <c r="H21" s="123"/>
      <c r="I21" s="124"/>
      <c r="J21" s="125"/>
      <c r="K21" s="126">
        <v>41000</v>
      </c>
      <c r="L21" s="127">
        <v>42460</v>
      </c>
    </row>
    <row r="22" spans="1:13" s="6" customFormat="1" ht="27.75" customHeight="1">
      <c r="A22" s="128" t="s">
        <v>238</v>
      </c>
      <c r="B22" s="74" t="s">
        <v>283</v>
      </c>
      <c r="C22" s="129" t="s">
        <v>284</v>
      </c>
      <c r="D22" s="123">
        <v>56920</v>
      </c>
      <c r="E22" s="123">
        <f>D22/12*4</f>
        <v>18973.333333333332</v>
      </c>
      <c r="F22" s="123">
        <v>0</v>
      </c>
      <c r="G22" s="131">
        <v>0</v>
      </c>
      <c r="H22" s="123"/>
      <c r="I22" s="124"/>
      <c r="J22" s="125"/>
      <c r="K22" s="126">
        <v>41487</v>
      </c>
      <c r="L22" s="127">
        <v>42216</v>
      </c>
    </row>
    <row r="23" spans="1:13" s="6" customFormat="1" ht="25">
      <c r="A23" s="128" t="s">
        <v>238</v>
      </c>
      <c r="B23" s="74" t="s">
        <v>285</v>
      </c>
      <c r="C23" s="129" t="s">
        <v>286</v>
      </c>
      <c r="D23" s="123">
        <v>231000</v>
      </c>
      <c r="E23" s="123">
        <f>+D23</f>
        <v>231000</v>
      </c>
      <c r="F23" s="21">
        <v>0</v>
      </c>
      <c r="G23" s="1">
        <v>0</v>
      </c>
      <c r="H23" s="130"/>
      <c r="I23" s="130"/>
      <c r="J23" s="125"/>
      <c r="K23" s="126">
        <v>41365</v>
      </c>
      <c r="L23" s="127">
        <v>42460</v>
      </c>
    </row>
    <row r="24" spans="1:13" s="6" customFormat="1">
      <c r="A24" s="128" t="s">
        <v>238</v>
      </c>
      <c r="B24" s="6" t="s">
        <v>287</v>
      </c>
      <c r="C24" s="74" t="s">
        <v>288</v>
      </c>
      <c r="D24" s="123">
        <v>6580000</v>
      </c>
      <c r="E24" s="123">
        <f t="shared" ref="E24:G25" si="0">D24</f>
        <v>6580000</v>
      </c>
      <c r="F24" s="21">
        <f t="shared" si="0"/>
        <v>6580000</v>
      </c>
      <c r="G24" s="21">
        <f t="shared" si="0"/>
        <v>6580000</v>
      </c>
      <c r="H24" s="130"/>
      <c r="I24" s="130"/>
      <c r="J24" s="125"/>
      <c r="K24" s="126">
        <v>37926</v>
      </c>
      <c r="L24" s="127">
        <v>48883</v>
      </c>
    </row>
    <row r="25" spans="1:13" s="6" customFormat="1" ht="25">
      <c r="A25" s="128" t="s">
        <v>238</v>
      </c>
      <c r="B25" s="74" t="s">
        <v>289</v>
      </c>
      <c r="C25" s="129" t="s">
        <v>290</v>
      </c>
      <c r="D25" s="123">
        <v>1972313</v>
      </c>
      <c r="E25" s="123">
        <f t="shared" si="0"/>
        <v>1972313</v>
      </c>
      <c r="F25" s="21">
        <f t="shared" si="0"/>
        <v>1972313</v>
      </c>
      <c r="G25" s="21">
        <f t="shared" si="0"/>
        <v>1972313</v>
      </c>
      <c r="H25" s="130"/>
      <c r="I25" s="130"/>
      <c r="J25" s="125"/>
      <c r="K25" s="126">
        <v>39203</v>
      </c>
      <c r="L25" s="127">
        <v>46507</v>
      </c>
    </row>
    <row r="26" spans="1:13" s="6" customFormat="1">
      <c r="A26" s="128" t="s">
        <v>238</v>
      </c>
      <c r="B26" s="74" t="s">
        <v>291</v>
      </c>
      <c r="C26" s="129" t="s">
        <v>292</v>
      </c>
      <c r="D26" s="123">
        <f>65963/12*4</f>
        <v>21987.666666666668</v>
      </c>
      <c r="E26" s="123">
        <v>0</v>
      </c>
      <c r="F26" s="21">
        <v>0</v>
      </c>
      <c r="G26" s="1">
        <v>0</v>
      </c>
      <c r="H26" s="130"/>
      <c r="I26" s="130"/>
      <c r="J26" s="125"/>
      <c r="K26" s="126">
        <v>40756</v>
      </c>
      <c r="L26" s="127">
        <v>41851</v>
      </c>
    </row>
    <row r="27" spans="1:13" s="6" customFormat="1" ht="25">
      <c r="A27" s="132" t="s">
        <v>238</v>
      </c>
      <c r="B27" s="133" t="s">
        <v>293</v>
      </c>
      <c r="C27" s="134" t="s">
        <v>293</v>
      </c>
      <c r="D27" s="135">
        <v>384894</v>
      </c>
      <c r="E27" s="135">
        <f>D27/12*3</f>
        <v>96223.5</v>
      </c>
      <c r="F27" s="22">
        <v>0</v>
      </c>
      <c r="G27" s="23">
        <v>0</v>
      </c>
      <c r="H27" s="130"/>
      <c r="I27" s="130"/>
      <c r="J27" s="125"/>
      <c r="K27" s="126">
        <v>38534</v>
      </c>
      <c r="L27" s="127">
        <v>42185</v>
      </c>
    </row>
    <row r="28" spans="1:13" s="6" customFormat="1" ht="13">
      <c r="A28" s="223" t="s">
        <v>294</v>
      </c>
      <c r="B28" s="224"/>
      <c r="C28" s="77"/>
      <c r="D28" s="25">
        <f>SUM(D5:D27)</f>
        <v>14190173.333333334</v>
      </c>
      <c r="E28" s="25">
        <f t="shared" ref="E28:G28" si="1">SUM(E5:E27)</f>
        <v>12610668.666666668</v>
      </c>
      <c r="F28" s="25">
        <f t="shared" si="1"/>
        <v>10700518.5</v>
      </c>
      <c r="G28" s="25">
        <f t="shared" si="1"/>
        <v>9201482.4166666679</v>
      </c>
      <c r="H28" s="25">
        <f>SUM(H5:H27)</f>
        <v>1601468</v>
      </c>
      <c r="I28" s="25">
        <f>SUM(I5:I27)</f>
        <v>0</v>
      </c>
      <c r="J28" s="26"/>
      <c r="K28" s="27"/>
      <c r="L28" s="28"/>
    </row>
    <row r="29" spans="1:13" s="6" customFormat="1" ht="13">
      <c r="A29" s="29"/>
      <c r="B29" s="30"/>
      <c r="C29" s="40"/>
      <c r="D29" s="31"/>
      <c r="E29" s="31"/>
      <c r="F29" s="31"/>
      <c r="G29" s="31"/>
      <c r="J29" s="32"/>
      <c r="L29" s="33"/>
    </row>
    <row r="30" spans="1:13" s="6" customFormat="1" ht="38.25" customHeight="1">
      <c r="A30" s="89" t="s">
        <v>295</v>
      </c>
      <c r="B30" s="34" t="s">
        <v>296</v>
      </c>
      <c r="C30" s="34" t="s">
        <v>297</v>
      </c>
      <c r="D30" s="36">
        <v>299729</v>
      </c>
      <c r="E30" s="19">
        <v>100000</v>
      </c>
      <c r="F30" s="19">
        <v>100000</v>
      </c>
      <c r="G30" s="20">
        <v>0</v>
      </c>
      <c r="H30" s="37">
        <v>-300000</v>
      </c>
      <c r="I30" s="30" t="s">
        <v>298</v>
      </c>
      <c r="J30" s="38"/>
      <c r="K30" s="126">
        <v>41001</v>
      </c>
      <c r="L30" s="127">
        <v>42826</v>
      </c>
      <c r="M30" s="90" t="s">
        <v>299</v>
      </c>
    </row>
    <row r="31" spans="1:13" s="6" customFormat="1" ht="42" customHeight="1">
      <c r="A31" s="39" t="s">
        <v>295</v>
      </c>
      <c r="B31" s="40" t="s">
        <v>300</v>
      </c>
      <c r="C31" s="40" t="s">
        <v>301</v>
      </c>
      <c r="D31" s="7">
        <v>800000</v>
      </c>
      <c r="E31" s="21">
        <v>0</v>
      </c>
      <c r="F31" s="21">
        <v>0</v>
      </c>
      <c r="G31" s="1">
        <v>0</v>
      </c>
      <c r="H31" s="37">
        <v>-621000</v>
      </c>
      <c r="I31" s="30" t="s">
        <v>302</v>
      </c>
      <c r="J31" s="38"/>
      <c r="K31" s="126">
        <v>41001</v>
      </c>
      <c r="L31" s="127">
        <v>42095</v>
      </c>
      <c r="M31" s="90" t="s">
        <v>303</v>
      </c>
    </row>
    <row r="32" spans="1:13" s="6" customFormat="1" ht="32.25" customHeight="1">
      <c r="A32" s="39" t="s">
        <v>295</v>
      </c>
      <c r="B32" s="40" t="s">
        <v>304</v>
      </c>
      <c r="C32" s="40" t="s">
        <v>305</v>
      </c>
      <c r="D32" s="7">
        <v>421074</v>
      </c>
      <c r="E32" s="21">
        <v>421074</v>
      </c>
      <c r="F32" s="21">
        <v>421074</v>
      </c>
      <c r="G32" s="1">
        <v>0</v>
      </c>
      <c r="H32" s="37"/>
      <c r="I32" s="30"/>
      <c r="J32" s="38"/>
      <c r="K32" s="126">
        <v>41001</v>
      </c>
      <c r="L32" s="127">
        <v>42826</v>
      </c>
      <c r="M32" s="90" t="s">
        <v>299</v>
      </c>
    </row>
    <row r="33" spans="1:16" s="6" customFormat="1" ht="32.25" customHeight="1">
      <c r="A33" s="39" t="s">
        <v>295</v>
      </c>
      <c r="B33" s="40" t="s">
        <v>306</v>
      </c>
      <c r="C33" s="40" t="s">
        <v>307</v>
      </c>
      <c r="D33" s="7">
        <v>54628</v>
      </c>
      <c r="E33" s="7">
        <f>D33</f>
        <v>54628</v>
      </c>
      <c r="F33" s="7">
        <f>E33</f>
        <v>54628</v>
      </c>
      <c r="G33" s="41">
        <f>F33/12*1</f>
        <v>4552.333333333333</v>
      </c>
      <c r="H33" s="37"/>
      <c r="I33" s="30"/>
      <c r="J33" s="38"/>
      <c r="K33" s="126">
        <v>41030</v>
      </c>
      <c r="L33" s="127">
        <v>42855</v>
      </c>
      <c r="M33" s="90" t="s">
        <v>299</v>
      </c>
    </row>
    <row r="34" spans="1:16" s="6" customFormat="1" ht="32.25" customHeight="1">
      <c r="A34" s="39" t="s">
        <v>295</v>
      </c>
      <c r="B34" s="40" t="s">
        <v>308</v>
      </c>
      <c r="C34" s="40" t="s">
        <v>309</v>
      </c>
      <c r="D34" s="7">
        <f>27877/12*2</f>
        <v>4646.166666666667</v>
      </c>
      <c r="E34" s="7">
        <v>0</v>
      </c>
      <c r="F34" s="7">
        <v>0</v>
      </c>
      <c r="G34" s="41">
        <v>0</v>
      </c>
      <c r="H34" s="37"/>
      <c r="I34" s="30"/>
      <c r="J34" s="38"/>
      <c r="K34" s="126">
        <v>41061</v>
      </c>
      <c r="L34" s="127">
        <v>41790</v>
      </c>
      <c r="M34" s="90" t="s">
        <v>299</v>
      </c>
    </row>
    <row r="35" spans="1:16" s="6" customFormat="1" ht="32.25" customHeight="1">
      <c r="A35" s="39" t="s">
        <v>295</v>
      </c>
      <c r="B35" s="40" t="s">
        <v>310</v>
      </c>
      <c r="C35" s="40" t="s">
        <v>311</v>
      </c>
      <c r="D35" s="7">
        <f>60300+41006+59900</f>
        <v>161206</v>
      </c>
      <c r="E35" s="7">
        <f>D35</f>
        <v>161206</v>
      </c>
      <c r="F35" s="7">
        <f>E35</f>
        <v>161206</v>
      </c>
      <c r="G35" s="41">
        <f>F35</f>
        <v>161206</v>
      </c>
      <c r="H35" s="37"/>
      <c r="I35" s="30"/>
      <c r="J35" s="38"/>
      <c r="K35" s="126">
        <v>41730</v>
      </c>
      <c r="L35" s="127">
        <v>43190</v>
      </c>
      <c r="M35" s="90" t="s">
        <v>299</v>
      </c>
    </row>
    <row r="36" spans="1:16" s="6" customFormat="1" ht="32.25" customHeight="1">
      <c r="A36" s="39" t="s">
        <v>295</v>
      </c>
      <c r="B36" s="40" t="s">
        <v>312</v>
      </c>
      <c r="C36" s="40" t="s">
        <v>313</v>
      </c>
      <c r="D36" s="7">
        <f>25000/12*7</f>
        <v>14583.333333333334</v>
      </c>
      <c r="E36" s="7">
        <v>0</v>
      </c>
      <c r="F36" s="7">
        <v>0</v>
      </c>
      <c r="G36" s="41">
        <v>0</v>
      </c>
      <c r="H36" s="37"/>
      <c r="I36" s="30"/>
      <c r="J36" s="38"/>
      <c r="K36" s="126">
        <v>40819</v>
      </c>
      <c r="L36" s="127">
        <v>41914</v>
      </c>
      <c r="M36" s="90" t="s">
        <v>303</v>
      </c>
    </row>
    <row r="37" spans="1:16" s="6" customFormat="1" ht="32.25" customHeight="1">
      <c r="A37" s="39" t="s">
        <v>295</v>
      </c>
      <c r="B37" s="40" t="s">
        <v>314</v>
      </c>
      <c r="C37" s="40" t="s">
        <v>315</v>
      </c>
      <c r="D37" s="7">
        <v>12300</v>
      </c>
      <c r="E37" s="7">
        <f>D37</f>
        <v>12300</v>
      </c>
      <c r="F37" s="7">
        <v>0</v>
      </c>
      <c r="G37" s="41">
        <v>0</v>
      </c>
      <c r="H37" s="37"/>
      <c r="I37" s="30"/>
      <c r="J37" s="38"/>
      <c r="K37" s="126">
        <v>41379</v>
      </c>
      <c r="L37" s="127">
        <v>42474</v>
      </c>
      <c r="M37" s="90"/>
    </row>
    <row r="38" spans="1:16" s="6" customFormat="1" ht="32.25" customHeight="1">
      <c r="A38" s="39" t="s">
        <v>295</v>
      </c>
      <c r="B38" s="40" t="s">
        <v>316</v>
      </c>
      <c r="C38" s="40" t="s">
        <v>317</v>
      </c>
      <c r="D38" s="7">
        <f>130000/12*9</f>
        <v>97500</v>
      </c>
      <c r="E38" s="7">
        <v>0</v>
      </c>
      <c r="F38" s="7">
        <v>0</v>
      </c>
      <c r="G38" s="41">
        <v>0</v>
      </c>
      <c r="H38" s="37"/>
      <c r="I38" s="30"/>
      <c r="J38" s="38"/>
      <c r="K38" s="126">
        <v>41548</v>
      </c>
      <c r="L38" s="127">
        <v>42004</v>
      </c>
      <c r="M38" s="90" t="s">
        <v>299</v>
      </c>
    </row>
    <row r="39" spans="1:16" s="6" customFormat="1" ht="32.25" customHeight="1">
      <c r="A39" s="39" t="s">
        <v>295</v>
      </c>
      <c r="B39" s="40" t="s">
        <v>318</v>
      </c>
      <c r="C39" s="40" t="s">
        <v>319</v>
      </c>
      <c r="D39" s="7">
        <v>625000</v>
      </c>
      <c r="E39" s="7">
        <f>D39</f>
        <v>625000</v>
      </c>
      <c r="F39" s="7">
        <f>E39</f>
        <v>625000</v>
      </c>
      <c r="G39" s="41">
        <v>0</v>
      </c>
      <c r="H39" s="37"/>
      <c r="I39" s="30"/>
      <c r="J39" s="38"/>
      <c r="K39" s="126">
        <v>41000</v>
      </c>
      <c r="L39" s="127">
        <v>42825</v>
      </c>
      <c r="M39" s="90" t="s">
        <v>320</v>
      </c>
    </row>
    <row r="40" spans="1:16" s="6" customFormat="1" ht="32.25" customHeight="1">
      <c r="A40" s="39" t="s">
        <v>295</v>
      </c>
      <c r="B40" s="40" t="s">
        <v>321</v>
      </c>
      <c r="C40" s="40" t="s">
        <v>322</v>
      </c>
      <c r="D40" s="7">
        <v>20000</v>
      </c>
      <c r="E40" s="7">
        <v>20000</v>
      </c>
      <c r="F40" s="21">
        <v>20000</v>
      </c>
      <c r="G40" s="1">
        <v>20000</v>
      </c>
      <c r="H40" s="37"/>
      <c r="I40" s="30"/>
      <c r="J40" s="38"/>
      <c r="K40" s="126">
        <v>41456</v>
      </c>
      <c r="L40" s="127">
        <v>43162</v>
      </c>
      <c r="M40" s="90" t="s">
        <v>299</v>
      </c>
    </row>
    <row r="41" spans="1:16" s="6" customFormat="1" ht="32.25" customHeight="1">
      <c r="A41" s="39" t="s">
        <v>295</v>
      </c>
      <c r="B41" s="40" t="s">
        <v>323</v>
      </c>
      <c r="C41" s="40" t="s">
        <v>324</v>
      </c>
      <c r="D41" s="7">
        <v>20000</v>
      </c>
      <c r="E41" s="7">
        <f t="shared" ref="E41:G42" si="2">D41</f>
        <v>20000</v>
      </c>
      <c r="F41" s="21">
        <f t="shared" si="2"/>
        <v>20000</v>
      </c>
      <c r="G41" s="1">
        <f t="shared" si="2"/>
        <v>20000</v>
      </c>
      <c r="H41" s="37"/>
      <c r="I41" s="30"/>
      <c r="J41" s="38"/>
      <c r="K41" s="126">
        <v>41640</v>
      </c>
      <c r="L41" s="127">
        <v>43465</v>
      </c>
      <c r="M41" s="90" t="s">
        <v>303</v>
      </c>
    </row>
    <row r="42" spans="1:16" s="6" customFormat="1" ht="32.25" customHeight="1">
      <c r="A42" s="39" t="s">
        <v>295</v>
      </c>
      <c r="B42" s="40" t="s">
        <v>325</v>
      </c>
      <c r="C42" s="40" t="s">
        <v>326</v>
      </c>
      <c r="D42" s="7">
        <v>48500</v>
      </c>
      <c r="E42" s="7">
        <f t="shared" si="2"/>
        <v>48500</v>
      </c>
      <c r="F42" s="7">
        <f t="shared" si="2"/>
        <v>48500</v>
      </c>
      <c r="G42" s="41">
        <f t="shared" si="2"/>
        <v>48500</v>
      </c>
      <c r="H42" s="37"/>
      <c r="I42" s="30"/>
      <c r="J42" s="38"/>
      <c r="K42" s="126">
        <v>41730</v>
      </c>
      <c r="L42" s="127">
        <v>43555</v>
      </c>
      <c r="M42" s="90" t="s">
        <v>303</v>
      </c>
    </row>
    <row r="43" spans="1:16" s="6" customFormat="1" ht="32.25" customHeight="1">
      <c r="A43" s="39" t="s">
        <v>295</v>
      </c>
      <c r="B43" s="40" t="s">
        <v>327</v>
      </c>
      <c r="C43" s="40" t="s">
        <v>328</v>
      </c>
      <c r="D43" s="7">
        <v>14950</v>
      </c>
      <c r="E43" s="7">
        <v>15473</v>
      </c>
      <c r="F43" s="7">
        <v>15997</v>
      </c>
      <c r="G43" s="41">
        <v>15997</v>
      </c>
      <c r="H43" s="37"/>
      <c r="I43" s="30"/>
      <c r="J43" s="38"/>
      <c r="K43" s="126">
        <v>41155</v>
      </c>
      <c r="L43" s="127">
        <v>43711</v>
      </c>
      <c r="M43" s="90" t="s">
        <v>303</v>
      </c>
    </row>
    <row r="44" spans="1:16" s="6" customFormat="1" ht="32.25" customHeight="1">
      <c r="A44" s="39" t="s">
        <v>295</v>
      </c>
      <c r="B44" s="40" t="s">
        <v>329</v>
      </c>
      <c r="C44" s="40" t="s">
        <v>330</v>
      </c>
      <c r="D44" s="7">
        <v>0</v>
      </c>
      <c r="E44" s="7">
        <v>85000</v>
      </c>
      <c r="F44" s="7">
        <v>0</v>
      </c>
      <c r="G44" s="41">
        <v>0</v>
      </c>
      <c r="H44" s="37"/>
      <c r="I44" s="30"/>
      <c r="J44" s="38"/>
      <c r="K44" s="126">
        <v>42095</v>
      </c>
      <c r="L44" s="127">
        <v>42460</v>
      </c>
      <c r="M44" s="90" t="s">
        <v>299</v>
      </c>
    </row>
    <row r="45" spans="1:16" s="6" customFormat="1" ht="32.25" customHeight="1">
      <c r="A45" s="39" t="s">
        <v>295</v>
      </c>
      <c r="B45" s="40" t="s">
        <v>329</v>
      </c>
      <c r="C45" s="40" t="s">
        <v>331</v>
      </c>
      <c r="D45" s="7">
        <v>192000</v>
      </c>
      <c r="E45" s="7">
        <v>96000</v>
      </c>
      <c r="F45" s="21">
        <v>0</v>
      </c>
      <c r="G45" s="1">
        <v>0</v>
      </c>
      <c r="H45" s="37">
        <v>-180000</v>
      </c>
      <c r="I45" s="30" t="s">
        <v>332</v>
      </c>
      <c r="J45" s="38"/>
      <c r="K45" s="126">
        <v>41000</v>
      </c>
      <c r="L45" s="127">
        <v>42277</v>
      </c>
      <c r="M45" s="90" t="s">
        <v>299</v>
      </c>
    </row>
    <row r="46" spans="1:16" s="6" customFormat="1" ht="32.25" customHeight="1">
      <c r="A46" s="39" t="s">
        <v>295</v>
      </c>
      <c r="B46" s="40" t="s">
        <v>329</v>
      </c>
      <c r="C46" s="40" t="s">
        <v>333</v>
      </c>
      <c r="D46" s="7">
        <v>0</v>
      </c>
      <c r="E46" s="7">
        <v>0</v>
      </c>
      <c r="F46" s="7">
        <v>45833</v>
      </c>
      <c r="G46" s="41">
        <v>4167</v>
      </c>
      <c r="H46" s="37"/>
      <c r="I46" s="30"/>
      <c r="J46" s="38"/>
      <c r="K46" s="126">
        <v>42493</v>
      </c>
      <c r="L46" s="127">
        <v>42857</v>
      </c>
      <c r="M46" s="90" t="s">
        <v>299</v>
      </c>
    </row>
    <row r="47" spans="1:16" s="6" customFormat="1" ht="32.25" customHeight="1">
      <c r="A47" s="39" t="s">
        <v>295</v>
      </c>
      <c r="B47" s="40" t="s">
        <v>334</v>
      </c>
      <c r="C47" s="40" t="s">
        <v>335</v>
      </c>
      <c r="D47" s="7">
        <v>0</v>
      </c>
      <c r="E47" s="7">
        <v>14042</v>
      </c>
      <c r="F47" s="7"/>
      <c r="G47" s="41"/>
      <c r="H47" s="37"/>
      <c r="I47" s="30"/>
      <c r="J47" s="38"/>
      <c r="K47" s="126">
        <v>42309</v>
      </c>
      <c r="L47" s="127">
        <v>43374</v>
      </c>
      <c r="M47" s="90" t="s">
        <v>299</v>
      </c>
      <c r="P47" s="6" t="s">
        <v>336</v>
      </c>
    </row>
    <row r="48" spans="1:16" s="6" customFormat="1" ht="32.25" customHeight="1">
      <c r="A48" s="39" t="s">
        <v>295</v>
      </c>
      <c r="B48" s="40" t="s">
        <v>337</v>
      </c>
      <c r="C48" s="40" t="s">
        <v>338</v>
      </c>
      <c r="D48" s="7">
        <v>0</v>
      </c>
      <c r="E48" s="7">
        <v>8097</v>
      </c>
      <c r="F48" s="7"/>
      <c r="G48" s="41"/>
      <c r="H48" s="37"/>
      <c r="I48" s="30"/>
      <c r="J48" s="38"/>
      <c r="K48" s="126">
        <v>42309</v>
      </c>
      <c r="L48" s="127">
        <v>43374</v>
      </c>
      <c r="M48" s="90" t="s">
        <v>299</v>
      </c>
      <c r="P48" s="6" t="s">
        <v>336</v>
      </c>
    </row>
    <row r="49" spans="1:16" s="6" customFormat="1" ht="32.25" customHeight="1">
      <c r="A49" s="39" t="s">
        <v>295</v>
      </c>
      <c r="B49" s="40" t="s">
        <v>337</v>
      </c>
      <c r="C49" s="40" t="s">
        <v>339</v>
      </c>
      <c r="D49" s="7">
        <v>0</v>
      </c>
      <c r="E49" s="7">
        <v>1724</v>
      </c>
      <c r="F49" s="7"/>
      <c r="G49" s="41"/>
      <c r="H49" s="37"/>
      <c r="I49" s="30"/>
      <c r="J49" s="38"/>
      <c r="K49" s="126">
        <v>42309</v>
      </c>
      <c r="L49" s="127">
        <v>43374</v>
      </c>
      <c r="M49" s="90" t="s">
        <v>299</v>
      </c>
      <c r="P49" s="6" t="s">
        <v>336</v>
      </c>
    </row>
    <row r="50" spans="1:16" s="6" customFormat="1" ht="32.25" customHeight="1">
      <c r="A50" s="39" t="s">
        <v>295</v>
      </c>
      <c r="B50" s="40" t="s">
        <v>340</v>
      </c>
      <c r="C50" s="40" t="s">
        <v>341</v>
      </c>
      <c r="D50" s="7">
        <v>0</v>
      </c>
      <c r="E50" s="7">
        <v>0</v>
      </c>
      <c r="F50" s="7">
        <v>9396</v>
      </c>
      <c r="G50" s="41">
        <v>9576</v>
      </c>
      <c r="H50" s="37"/>
      <c r="I50" s="30"/>
      <c r="J50" s="38"/>
      <c r="K50" s="126">
        <v>42522</v>
      </c>
      <c r="L50" s="127">
        <v>43616</v>
      </c>
      <c r="M50" s="90" t="s">
        <v>299</v>
      </c>
    </row>
    <row r="51" spans="1:16" s="6" customFormat="1" ht="32.25" customHeight="1">
      <c r="A51" s="39" t="s">
        <v>295</v>
      </c>
      <c r="B51" s="40" t="s">
        <v>342</v>
      </c>
      <c r="C51" s="40" t="s">
        <v>343</v>
      </c>
      <c r="D51" s="7">
        <v>0</v>
      </c>
      <c r="E51" s="7">
        <v>0</v>
      </c>
      <c r="F51" s="7">
        <v>5564</v>
      </c>
      <c r="G51" s="41"/>
      <c r="H51" s="37"/>
      <c r="I51" s="30"/>
      <c r="J51" s="38"/>
      <c r="K51" s="126">
        <v>42583</v>
      </c>
      <c r="L51" s="127">
        <v>42947</v>
      </c>
      <c r="M51" s="90" t="s">
        <v>299</v>
      </c>
      <c r="P51" s="6" t="s">
        <v>344</v>
      </c>
    </row>
    <row r="52" spans="1:16" s="6" customFormat="1" ht="13">
      <c r="A52" s="219" t="s">
        <v>345</v>
      </c>
      <c r="B52" s="220"/>
      <c r="C52" s="78"/>
      <c r="D52" s="42">
        <f>SUM(D30:D51)</f>
        <v>2786116.5</v>
      </c>
      <c r="E52" s="42">
        <f t="shared" ref="E52:G52" si="3">SUM(E30:E51)</f>
        <v>1683044</v>
      </c>
      <c r="F52" s="42">
        <f t="shared" si="3"/>
        <v>1527198</v>
      </c>
      <c r="G52" s="42">
        <f t="shared" si="3"/>
        <v>283998.33333333337</v>
      </c>
      <c r="H52" s="42">
        <f>SUM(H30:H51)</f>
        <v>-1101000</v>
      </c>
      <c r="I52" s="42">
        <f>SUM(I30:I51)</f>
        <v>0</v>
      </c>
      <c r="J52" s="26"/>
      <c r="K52" s="27"/>
      <c r="L52" s="28"/>
    </row>
    <row r="53" spans="1:16" s="6" customFormat="1" ht="13">
      <c r="A53" s="43"/>
      <c r="B53" s="30"/>
      <c r="C53" s="40"/>
      <c r="D53" s="31"/>
      <c r="E53" s="31"/>
      <c r="F53" s="31"/>
      <c r="G53" s="31"/>
      <c r="J53" s="32"/>
      <c r="L53" s="33"/>
    </row>
    <row r="54" spans="1:16" s="6" customFormat="1" ht="25">
      <c r="A54" s="44" t="s">
        <v>346</v>
      </c>
      <c r="B54" s="18" t="s">
        <v>347</v>
      </c>
      <c r="C54" s="34" t="s">
        <v>348</v>
      </c>
      <c r="D54" s="45">
        <f>57300+16235+24830+35908+18718+15280+1023+3820+38190+14600+14057+14700+5255+3820+3850+6415+4598+1526+21010+3548+22702+2630+3450+8660+8400+4870+32470</f>
        <v>387865</v>
      </c>
      <c r="E54" s="45">
        <f>D54</f>
        <v>387865</v>
      </c>
      <c r="F54" s="45">
        <f>E54/2</f>
        <v>193932.5</v>
      </c>
      <c r="G54" s="20">
        <v>0</v>
      </c>
      <c r="J54" s="32"/>
      <c r="K54" s="126">
        <v>40791</v>
      </c>
      <c r="L54" s="127">
        <v>42618</v>
      </c>
      <c r="M54" s="90" t="s">
        <v>303</v>
      </c>
    </row>
    <row r="55" spans="1:16" s="6" customFormat="1" ht="25">
      <c r="A55" s="46" t="s">
        <v>346</v>
      </c>
      <c r="B55" s="30" t="s">
        <v>347</v>
      </c>
      <c r="C55" s="40" t="s">
        <v>349</v>
      </c>
      <c r="D55" s="47">
        <f>700000/12*5</f>
        <v>291666.66666666669</v>
      </c>
      <c r="E55" s="21">
        <v>0</v>
      </c>
      <c r="F55" s="21">
        <v>0</v>
      </c>
      <c r="G55" s="1">
        <v>0</v>
      </c>
      <c r="J55" s="32"/>
      <c r="K55" s="126">
        <v>40057</v>
      </c>
      <c r="L55" s="127">
        <v>41882</v>
      </c>
      <c r="M55" s="90" t="s">
        <v>303</v>
      </c>
    </row>
    <row r="56" spans="1:16" s="6" customFormat="1" ht="25">
      <c r="A56" s="46" t="s">
        <v>346</v>
      </c>
      <c r="B56" s="30" t="s">
        <v>347</v>
      </c>
      <c r="C56" s="40" t="s">
        <v>350</v>
      </c>
      <c r="D56" s="47">
        <v>200000</v>
      </c>
      <c r="E56" s="47">
        <f>D56/12*5</f>
        <v>83333.333333333343</v>
      </c>
      <c r="F56" s="21">
        <v>0</v>
      </c>
      <c r="G56" s="1">
        <v>0</v>
      </c>
      <c r="J56" s="32"/>
      <c r="K56" s="126">
        <v>40422</v>
      </c>
      <c r="L56" s="127">
        <v>42247</v>
      </c>
      <c r="M56" s="90" t="s">
        <v>303</v>
      </c>
    </row>
    <row r="57" spans="1:16" s="6" customFormat="1" ht="25">
      <c r="A57" s="46" t="s">
        <v>346</v>
      </c>
      <c r="B57" s="30" t="s">
        <v>347</v>
      </c>
      <c r="C57" s="40" t="s">
        <v>351</v>
      </c>
      <c r="D57" s="47">
        <f>24768+8470+32000+16100+19616+20016+12567+17604+16750+11731+7140+4950+1650+18213+11540+14802+19600</f>
        <v>257517</v>
      </c>
      <c r="E57" s="47">
        <f>D57/12*4</f>
        <v>85839</v>
      </c>
      <c r="F57" s="21">
        <v>0</v>
      </c>
      <c r="G57" s="1">
        <v>0</v>
      </c>
      <c r="J57" s="32"/>
      <c r="K57" s="126">
        <v>40422</v>
      </c>
      <c r="L57" s="127">
        <v>42216</v>
      </c>
      <c r="M57" s="90" t="s">
        <v>303</v>
      </c>
    </row>
    <row r="58" spans="1:16" s="6" customFormat="1" ht="25">
      <c r="A58" s="46" t="s">
        <v>346</v>
      </c>
      <c r="B58" s="30" t="s">
        <v>347</v>
      </c>
      <c r="C58" s="40" t="s">
        <v>352</v>
      </c>
      <c r="D58" s="47">
        <f>20003+4775+3000+16235+16770+4584+19750+22375+14690+6112+19815+24066+19860+6900+19450+25026+9675+16250+7640+6700+6280+16277+16277+18998+1250+9664+2101+5800+10000+3056+14880+9690+9030+10983+6112+7650+6096+2392+7095+15625+12372+18905+11250+10750+14122+15000+13045+10000+14915+14462+5580+9300+7300+12415+8022+13970+13970+13970+14478+16510+14605+16510+13970+13840+12700+13355+21965+14375+13433+16375+13870</f>
        <v>878266</v>
      </c>
      <c r="E58" s="47">
        <f>D58</f>
        <v>878266</v>
      </c>
      <c r="F58" s="47">
        <f>E58</f>
        <v>878266</v>
      </c>
      <c r="G58" s="48">
        <f>F58/2</f>
        <v>439133</v>
      </c>
      <c r="J58" s="32"/>
      <c r="K58" s="126">
        <v>41155</v>
      </c>
      <c r="L58" s="127">
        <v>42980</v>
      </c>
      <c r="M58" s="90" t="s">
        <v>303</v>
      </c>
    </row>
    <row r="59" spans="1:16" s="6" customFormat="1" ht="25">
      <c r="A59" s="46" t="s">
        <v>346</v>
      </c>
      <c r="B59" s="30" t="s">
        <v>353</v>
      </c>
      <c r="C59" s="40" t="s">
        <v>354</v>
      </c>
      <c r="D59" s="47">
        <v>20900</v>
      </c>
      <c r="E59" s="47">
        <f>D59</f>
        <v>20900</v>
      </c>
      <c r="F59" s="47">
        <f>E59</f>
        <v>20900</v>
      </c>
      <c r="G59" s="48">
        <f>F59</f>
        <v>20900</v>
      </c>
      <c r="J59" s="32"/>
      <c r="K59" s="126">
        <v>41518</v>
      </c>
      <c r="L59" s="127">
        <v>43312</v>
      </c>
      <c r="M59" s="90" t="s">
        <v>303</v>
      </c>
    </row>
    <row r="60" spans="1:16" s="6" customFormat="1" ht="25">
      <c r="A60" s="46" t="s">
        <v>346</v>
      </c>
      <c r="B60" s="30" t="s">
        <v>355</v>
      </c>
      <c r="C60" s="40" t="s">
        <v>356</v>
      </c>
      <c r="D60" s="47">
        <v>13300</v>
      </c>
      <c r="E60" s="47">
        <f>D60</f>
        <v>13300</v>
      </c>
      <c r="F60" s="7">
        <f>E60/12*5</f>
        <v>5541.6666666666661</v>
      </c>
      <c r="G60" s="1">
        <v>0</v>
      </c>
      <c r="J60" s="32"/>
      <c r="K60" s="126">
        <v>41883</v>
      </c>
      <c r="L60" s="127">
        <v>42613</v>
      </c>
      <c r="M60" s="90" t="s">
        <v>303</v>
      </c>
    </row>
    <row r="61" spans="1:16" s="6" customFormat="1" ht="25">
      <c r="A61" s="46" t="s">
        <v>346</v>
      </c>
      <c r="B61" s="30" t="s">
        <v>357</v>
      </c>
      <c r="C61" s="40" t="s">
        <v>358</v>
      </c>
      <c r="D61" s="47">
        <v>14000</v>
      </c>
      <c r="E61" s="47">
        <f>D61/12*5</f>
        <v>5833.3333333333339</v>
      </c>
      <c r="F61" s="21">
        <v>0</v>
      </c>
      <c r="G61" s="1">
        <v>0</v>
      </c>
      <c r="J61" s="32"/>
      <c r="K61" s="126">
        <v>41153</v>
      </c>
      <c r="L61" s="127">
        <v>42247</v>
      </c>
      <c r="M61" s="90" t="s">
        <v>303</v>
      </c>
    </row>
    <row r="62" spans="1:16" s="6" customFormat="1" ht="25">
      <c r="A62" s="49" t="s">
        <v>346</v>
      </c>
      <c r="B62" s="24" t="s">
        <v>359</v>
      </c>
      <c r="C62" s="77" t="s">
        <v>360</v>
      </c>
      <c r="D62" s="50">
        <v>12250</v>
      </c>
      <c r="E62" s="50">
        <f>D62/12*2</f>
        <v>2041.6666666666667</v>
      </c>
      <c r="F62" s="22">
        <v>0</v>
      </c>
      <c r="G62" s="23">
        <v>0</v>
      </c>
      <c r="J62" s="32"/>
      <c r="K62" s="126">
        <v>41061</v>
      </c>
      <c r="L62" s="127">
        <v>42155</v>
      </c>
      <c r="M62" s="90" t="s">
        <v>361</v>
      </c>
    </row>
    <row r="63" spans="1:16" s="6" customFormat="1" ht="13">
      <c r="A63" s="223" t="s">
        <v>362</v>
      </c>
      <c r="B63" s="224"/>
      <c r="C63" s="77"/>
      <c r="D63" s="25">
        <f>SUM(D54:D62)</f>
        <v>2075764.6666666667</v>
      </c>
      <c r="E63" s="25">
        <f t="shared" ref="E63:I63" si="4">SUM(E54:E62)</f>
        <v>1477378.3333333335</v>
      </c>
      <c r="F63" s="25">
        <f t="shared" si="4"/>
        <v>1098640.1666666667</v>
      </c>
      <c r="G63" s="25">
        <f t="shared" si="4"/>
        <v>460033</v>
      </c>
      <c r="H63" s="25">
        <f t="shared" si="4"/>
        <v>0</v>
      </c>
      <c r="I63" s="25">
        <f t="shared" si="4"/>
        <v>0</v>
      </c>
      <c r="J63" s="26"/>
      <c r="K63" s="27"/>
      <c r="L63" s="28"/>
    </row>
    <row r="64" spans="1:16">
      <c r="C64" s="40"/>
      <c r="D64" s="8"/>
      <c r="E64" s="8"/>
      <c r="F64" s="8"/>
      <c r="G64" s="8"/>
      <c r="K64" s="6"/>
      <c r="L64" s="6"/>
    </row>
    <row r="65" spans="1:12" s="6" customFormat="1" ht="25">
      <c r="A65" s="44" t="s">
        <v>363</v>
      </c>
      <c r="B65" s="18" t="s">
        <v>364</v>
      </c>
      <c r="C65" s="34" t="s">
        <v>365</v>
      </c>
      <c r="D65" s="45">
        <v>213527</v>
      </c>
      <c r="E65" s="45">
        <f>D65</f>
        <v>213527</v>
      </c>
      <c r="F65" s="45">
        <f>E65</f>
        <v>213527</v>
      </c>
      <c r="G65" s="51">
        <f>F65</f>
        <v>213527</v>
      </c>
      <c r="H65" s="35"/>
      <c r="I65" s="35"/>
      <c r="J65" s="85"/>
      <c r="K65" s="136">
        <v>39995</v>
      </c>
      <c r="L65" s="137">
        <v>45473</v>
      </c>
    </row>
    <row r="66" spans="1:12" s="6" customFormat="1" ht="25">
      <c r="A66" s="46" t="s">
        <v>363</v>
      </c>
      <c r="B66" s="30" t="s">
        <v>366</v>
      </c>
      <c r="C66" s="40" t="s">
        <v>367</v>
      </c>
      <c r="D66" s="47">
        <f>129825/12*7</f>
        <v>75731.25</v>
      </c>
      <c r="E66" s="21">
        <v>0</v>
      </c>
      <c r="F66" s="21">
        <v>0</v>
      </c>
      <c r="G66" s="1">
        <v>0</v>
      </c>
      <c r="J66" s="86"/>
      <c r="K66" s="138">
        <v>40452</v>
      </c>
      <c r="L66" s="127">
        <v>41913</v>
      </c>
    </row>
    <row r="67" spans="1:12" s="6" customFormat="1" ht="25">
      <c r="A67" s="46" t="s">
        <v>363</v>
      </c>
      <c r="B67" s="30" t="s">
        <v>364</v>
      </c>
      <c r="C67" s="40" t="s">
        <v>368</v>
      </c>
      <c r="D67" s="47">
        <v>132190</v>
      </c>
      <c r="E67" s="47">
        <f>D67/12*7</f>
        <v>77110.833333333343</v>
      </c>
      <c r="F67" s="21">
        <v>0</v>
      </c>
      <c r="G67" s="1">
        <v>0</v>
      </c>
      <c r="J67" s="86"/>
      <c r="K67" s="138">
        <v>38672</v>
      </c>
      <c r="L67" s="127">
        <v>42307</v>
      </c>
    </row>
    <row r="68" spans="1:12" s="6" customFormat="1" ht="25">
      <c r="A68" s="46" t="s">
        <v>363</v>
      </c>
      <c r="B68" s="84" t="s">
        <v>369</v>
      </c>
      <c r="C68" s="83" t="s">
        <v>370</v>
      </c>
      <c r="D68" s="47">
        <v>4400000</v>
      </c>
      <c r="E68" s="47">
        <f>D68</f>
        <v>4400000</v>
      </c>
      <c r="F68" s="21">
        <f>E68/12*3</f>
        <v>1100000</v>
      </c>
      <c r="G68" s="1">
        <v>0</v>
      </c>
      <c r="K68" s="138">
        <v>41791</v>
      </c>
      <c r="L68" s="127">
        <v>42522</v>
      </c>
    </row>
    <row r="69" spans="1:12" s="6" customFormat="1" ht="25">
      <c r="A69" s="46" t="s">
        <v>363</v>
      </c>
      <c r="B69" s="30" t="s">
        <v>371</v>
      </c>
      <c r="C69" s="83" t="s">
        <v>372</v>
      </c>
      <c r="D69" s="21">
        <v>0</v>
      </c>
      <c r="E69" s="21">
        <v>0</v>
      </c>
      <c r="F69" s="21">
        <v>0</v>
      </c>
      <c r="G69" s="1">
        <v>0</v>
      </c>
      <c r="K69" s="138">
        <v>41791</v>
      </c>
      <c r="L69" s="127">
        <v>41699</v>
      </c>
    </row>
    <row r="70" spans="1:12" s="6" customFormat="1" ht="25">
      <c r="A70" s="46" t="s">
        <v>363</v>
      </c>
      <c r="B70" s="30" t="s">
        <v>373</v>
      </c>
      <c r="C70" s="83" t="s">
        <v>374</v>
      </c>
      <c r="D70" s="47">
        <v>2500000</v>
      </c>
      <c r="E70" s="47">
        <f>D70</f>
        <v>2500000</v>
      </c>
      <c r="F70" s="21">
        <f>E70/12*2</f>
        <v>416666.66666666669</v>
      </c>
      <c r="G70" s="1">
        <v>0</v>
      </c>
      <c r="K70" s="138">
        <v>41791</v>
      </c>
      <c r="L70" s="127">
        <v>42522</v>
      </c>
    </row>
    <row r="71" spans="1:12" s="6" customFormat="1" ht="25">
      <c r="A71" s="46" t="s">
        <v>363</v>
      </c>
      <c r="B71" s="30" t="s">
        <v>375</v>
      </c>
      <c r="C71" s="83" t="s">
        <v>376</v>
      </c>
      <c r="D71" s="47">
        <v>186000</v>
      </c>
      <c r="E71" s="47">
        <f>D71/12*4</f>
        <v>62000</v>
      </c>
      <c r="F71" s="21">
        <v>0</v>
      </c>
      <c r="G71" s="1">
        <v>0</v>
      </c>
      <c r="K71" s="138">
        <v>41852</v>
      </c>
      <c r="L71" s="127">
        <v>42217</v>
      </c>
    </row>
    <row r="72" spans="1:12" s="6" customFormat="1" ht="37.5">
      <c r="A72" s="46" t="s">
        <v>363</v>
      </c>
      <c r="B72" s="30" t="s">
        <v>377</v>
      </c>
      <c r="C72" s="83" t="s">
        <v>378</v>
      </c>
      <c r="D72" s="47">
        <v>92569</v>
      </c>
      <c r="E72" s="47">
        <f>D72</f>
        <v>92569</v>
      </c>
      <c r="F72" s="21">
        <f>E72</f>
        <v>92569</v>
      </c>
      <c r="G72" s="1">
        <f>F72</f>
        <v>92569</v>
      </c>
      <c r="K72" s="138">
        <v>42308</v>
      </c>
      <c r="L72" s="127">
        <v>45961</v>
      </c>
    </row>
    <row r="73" spans="1:12" s="6" customFormat="1" ht="25">
      <c r="A73" s="46" t="s">
        <v>363</v>
      </c>
      <c r="B73" s="84" t="s">
        <v>379</v>
      </c>
      <c r="C73" s="83" t="s">
        <v>380</v>
      </c>
      <c r="D73" s="47" t="s">
        <v>381</v>
      </c>
      <c r="E73" s="47" t="s">
        <v>381</v>
      </c>
      <c r="F73" s="47" t="s">
        <v>381</v>
      </c>
      <c r="G73" s="48" t="s">
        <v>381</v>
      </c>
      <c r="K73" s="138">
        <v>42405</v>
      </c>
      <c r="L73" s="127">
        <v>43866</v>
      </c>
    </row>
    <row r="74" spans="1:12" s="6" customFormat="1" ht="25">
      <c r="A74" s="46" t="s">
        <v>363</v>
      </c>
      <c r="B74" s="84" t="s">
        <v>382</v>
      </c>
      <c r="C74" s="83" t="s">
        <v>383</v>
      </c>
      <c r="D74" s="47">
        <v>284000</v>
      </c>
      <c r="E74" s="47">
        <f>D74</f>
        <v>284000</v>
      </c>
      <c r="F74" s="21">
        <f>E74</f>
        <v>284000</v>
      </c>
      <c r="G74" s="87">
        <f>F74</f>
        <v>284000</v>
      </c>
      <c r="K74" s="138">
        <v>45444</v>
      </c>
      <c r="L74" s="127">
        <v>50922</v>
      </c>
    </row>
    <row r="75" spans="1:12" s="6" customFormat="1">
      <c r="A75" s="46" t="s">
        <v>363</v>
      </c>
      <c r="B75" s="83" t="s">
        <v>384</v>
      </c>
      <c r="C75" s="84" t="s">
        <v>385</v>
      </c>
      <c r="D75" s="47">
        <f>13455/12*5</f>
        <v>5606.25</v>
      </c>
      <c r="E75" s="21">
        <v>0</v>
      </c>
      <c r="F75" s="21">
        <v>0</v>
      </c>
      <c r="G75" s="1">
        <v>0</v>
      </c>
      <c r="K75" s="138">
        <v>41852</v>
      </c>
      <c r="L75" s="127">
        <v>41877</v>
      </c>
    </row>
    <row r="76" spans="1:12" s="6" customFormat="1" ht="25">
      <c r="A76" s="46" t="s">
        <v>363</v>
      </c>
      <c r="B76" s="83" t="s">
        <v>386</v>
      </c>
      <c r="C76" s="84" t="s">
        <v>387</v>
      </c>
      <c r="D76" s="7">
        <v>43850</v>
      </c>
      <c r="E76" s="21">
        <f>D76/12*9</f>
        <v>32887.5</v>
      </c>
      <c r="F76" s="21">
        <v>0</v>
      </c>
      <c r="G76" s="1">
        <v>0</v>
      </c>
      <c r="K76" s="138">
        <v>41791</v>
      </c>
      <c r="L76" s="127">
        <v>42369</v>
      </c>
    </row>
    <row r="77" spans="1:12" s="6" customFormat="1" ht="25">
      <c r="A77" s="46" t="s">
        <v>363</v>
      </c>
      <c r="B77" s="83" t="s">
        <v>388</v>
      </c>
      <c r="C77" s="84" t="s">
        <v>389</v>
      </c>
      <c r="D77" s="7">
        <v>6200</v>
      </c>
      <c r="E77" s="21">
        <f>D77/12*9</f>
        <v>4650</v>
      </c>
      <c r="F77" s="21">
        <v>0</v>
      </c>
      <c r="G77" s="1">
        <v>0</v>
      </c>
      <c r="K77" s="138">
        <v>41791</v>
      </c>
      <c r="L77" s="127">
        <v>42369</v>
      </c>
    </row>
    <row r="78" spans="1:12" s="6" customFormat="1">
      <c r="A78" s="46" t="s">
        <v>363</v>
      </c>
      <c r="B78" s="84" t="s">
        <v>390</v>
      </c>
      <c r="C78" s="83" t="s">
        <v>391</v>
      </c>
      <c r="D78" s="7">
        <f>611423/12*7</f>
        <v>356663.41666666663</v>
      </c>
      <c r="E78" s="7">
        <v>0</v>
      </c>
      <c r="F78" s="21">
        <v>0</v>
      </c>
      <c r="G78" s="1">
        <v>0</v>
      </c>
      <c r="K78" s="138">
        <v>41740</v>
      </c>
      <c r="L78" s="127">
        <v>41908</v>
      </c>
    </row>
    <row r="79" spans="1:12" s="6" customFormat="1" ht="25">
      <c r="A79" s="46" t="s">
        <v>363</v>
      </c>
      <c r="B79" s="83" t="s">
        <v>392</v>
      </c>
      <c r="C79" s="30" t="s">
        <v>393</v>
      </c>
      <c r="D79" s="7">
        <v>18173</v>
      </c>
      <c r="E79" s="7">
        <f>D79/12*5</f>
        <v>7572.0833333333339</v>
      </c>
      <c r="F79" s="21">
        <v>0</v>
      </c>
      <c r="G79" s="1">
        <v>0</v>
      </c>
      <c r="K79" s="138">
        <v>41730</v>
      </c>
      <c r="L79" s="127">
        <v>42247</v>
      </c>
    </row>
    <row r="80" spans="1:12" s="6" customFormat="1" ht="25">
      <c r="A80" s="46" t="s">
        <v>363</v>
      </c>
      <c r="B80" s="30" t="s">
        <v>394</v>
      </c>
      <c r="C80" s="40" t="s">
        <v>395</v>
      </c>
      <c r="D80" s="7">
        <f>24000/12*5</f>
        <v>10000</v>
      </c>
      <c r="E80" s="7">
        <v>0</v>
      </c>
      <c r="F80" s="21">
        <v>0</v>
      </c>
      <c r="G80" s="1">
        <v>0</v>
      </c>
      <c r="K80" s="138">
        <v>41323</v>
      </c>
      <c r="L80" s="127">
        <v>41869</v>
      </c>
    </row>
    <row r="81" spans="1:12" s="6" customFormat="1" ht="25">
      <c r="A81" s="46" t="s">
        <v>363</v>
      </c>
      <c r="B81" s="30" t="s">
        <v>396</v>
      </c>
      <c r="C81" s="40" t="s">
        <v>397</v>
      </c>
      <c r="D81" s="7">
        <f>8000/12*9</f>
        <v>6000</v>
      </c>
      <c r="E81" s="7">
        <v>0</v>
      </c>
      <c r="F81" s="21">
        <v>0</v>
      </c>
      <c r="G81" s="1">
        <v>0</v>
      </c>
      <c r="K81" s="138">
        <v>40330</v>
      </c>
      <c r="L81" s="127">
        <v>42004</v>
      </c>
    </row>
    <row r="82" spans="1:12" s="6" customFormat="1" ht="25">
      <c r="A82" s="46" t="s">
        <v>363</v>
      </c>
      <c r="B82" s="30" t="s">
        <v>398</v>
      </c>
      <c r="C82" s="40" t="s">
        <v>399</v>
      </c>
      <c r="D82" s="7">
        <v>15000</v>
      </c>
      <c r="E82" s="7">
        <v>0</v>
      </c>
      <c r="F82" s="21">
        <v>0</v>
      </c>
      <c r="G82" s="1">
        <v>0</v>
      </c>
      <c r="K82" s="138">
        <v>41822</v>
      </c>
      <c r="L82" s="127">
        <v>42096</v>
      </c>
    </row>
    <row r="83" spans="1:12" s="6" customFormat="1">
      <c r="A83" s="46" t="s">
        <v>363</v>
      </c>
      <c r="B83" s="30" t="s">
        <v>400</v>
      </c>
      <c r="C83" s="6" t="s">
        <v>401</v>
      </c>
      <c r="D83" s="7">
        <f>13000/12*8</f>
        <v>8666.6666666666661</v>
      </c>
      <c r="E83" s="7">
        <v>0</v>
      </c>
      <c r="F83" s="21">
        <v>0</v>
      </c>
      <c r="G83" s="1">
        <v>0</v>
      </c>
      <c r="K83" s="138">
        <v>41617</v>
      </c>
      <c r="L83" s="127">
        <v>41953</v>
      </c>
    </row>
    <row r="84" spans="1:12" s="6" customFormat="1">
      <c r="A84" s="46" t="s">
        <v>363</v>
      </c>
      <c r="B84" s="30" t="s">
        <v>402</v>
      </c>
      <c r="C84" s="6" t="s">
        <v>401</v>
      </c>
      <c r="D84" s="7">
        <f>11620/12*8</f>
        <v>7746.666666666667</v>
      </c>
      <c r="E84" s="7">
        <v>0</v>
      </c>
      <c r="F84" s="21">
        <v>0</v>
      </c>
      <c r="G84" s="1">
        <v>0</v>
      </c>
      <c r="K84" s="138">
        <v>41656</v>
      </c>
      <c r="L84" s="127">
        <v>41964</v>
      </c>
    </row>
    <row r="85" spans="1:12" s="6" customFormat="1" ht="25">
      <c r="A85" s="46" t="s">
        <v>363</v>
      </c>
      <c r="B85" s="6" t="s">
        <v>403</v>
      </c>
      <c r="C85" s="30" t="s">
        <v>404</v>
      </c>
      <c r="D85" s="7">
        <f>72270/12*7</f>
        <v>42157.5</v>
      </c>
      <c r="E85" s="21">
        <v>0</v>
      </c>
      <c r="F85" s="21">
        <v>0</v>
      </c>
      <c r="G85" s="1">
        <v>0</v>
      </c>
      <c r="K85" s="138">
        <v>41792</v>
      </c>
      <c r="L85" s="127">
        <v>41943</v>
      </c>
    </row>
    <row r="86" spans="1:12" s="6" customFormat="1">
      <c r="A86" s="46" t="s">
        <v>363</v>
      </c>
      <c r="B86" s="6" t="s">
        <v>384</v>
      </c>
      <c r="C86" s="30" t="s">
        <v>405</v>
      </c>
      <c r="D86" s="7">
        <f>2745/12*5</f>
        <v>1143.75</v>
      </c>
      <c r="E86" s="21">
        <v>0</v>
      </c>
      <c r="F86" s="21">
        <v>0</v>
      </c>
      <c r="G86" s="1">
        <v>0</v>
      </c>
      <c r="K86" s="138">
        <v>41852</v>
      </c>
      <c r="L86" s="127">
        <v>41877</v>
      </c>
    </row>
    <row r="87" spans="1:12" s="6" customFormat="1">
      <c r="A87" s="49" t="s">
        <v>363</v>
      </c>
      <c r="B87" s="24" t="s">
        <v>406</v>
      </c>
      <c r="C87" s="77" t="s">
        <v>407</v>
      </c>
      <c r="D87" s="88">
        <v>515000</v>
      </c>
      <c r="E87" s="88">
        <f>D87/12*11</f>
        <v>472083.33333333331</v>
      </c>
      <c r="F87" s="22">
        <v>0</v>
      </c>
      <c r="G87" s="23">
        <v>0</v>
      </c>
      <c r="K87" s="139">
        <v>41310</v>
      </c>
      <c r="L87" s="140">
        <v>42404</v>
      </c>
    </row>
    <row r="88" spans="1:12" s="6" customFormat="1" ht="13">
      <c r="A88" s="223" t="s">
        <v>408</v>
      </c>
      <c r="B88" s="224"/>
      <c r="C88" s="77"/>
      <c r="D88" s="25">
        <f>SUM(D65:D87)</f>
        <v>8920224.5</v>
      </c>
      <c r="E88" s="25">
        <f t="shared" ref="E88:G88" si="5">SUM(E65:E87)</f>
        <v>8146399.7499999991</v>
      </c>
      <c r="F88" s="25">
        <f t="shared" si="5"/>
        <v>2106762.666666667</v>
      </c>
      <c r="G88" s="25">
        <f t="shared" si="5"/>
        <v>590096</v>
      </c>
      <c r="H88" s="80"/>
      <c r="I88" s="80"/>
      <c r="J88" s="81"/>
      <c r="K88" s="80"/>
      <c r="L88" s="82"/>
    </row>
    <row r="89" spans="1:12">
      <c r="C89" s="40"/>
      <c r="D89" s="8"/>
      <c r="E89" s="8"/>
      <c r="F89" s="8"/>
      <c r="G89" s="8"/>
      <c r="K89" s="6"/>
      <c r="L89" s="6"/>
    </row>
    <row r="90" spans="1:12" ht="25">
      <c r="A90" s="52" t="s">
        <v>409</v>
      </c>
      <c r="B90" s="53" t="s">
        <v>410</v>
      </c>
      <c r="C90" s="78" t="s">
        <v>411</v>
      </c>
      <c r="D90" s="54">
        <v>26650</v>
      </c>
      <c r="E90" s="54">
        <f>D90</f>
        <v>26650</v>
      </c>
      <c r="F90" s="54">
        <f>E90/12*7</f>
        <v>15545.833333333334</v>
      </c>
      <c r="G90" s="55">
        <v>0</v>
      </c>
      <c r="H90" s="56"/>
      <c r="I90" s="56"/>
      <c r="J90" s="57"/>
      <c r="K90" s="141">
        <v>41579</v>
      </c>
      <c r="L90" s="137">
        <v>42674</v>
      </c>
    </row>
    <row r="91" spans="1:12" s="6" customFormat="1" ht="13">
      <c r="A91" s="219" t="s">
        <v>412</v>
      </c>
      <c r="B91" s="220"/>
      <c r="C91" s="78"/>
      <c r="D91" s="42">
        <f>SUM(D90)</f>
        <v>26650</v>
      </c>
      <c r="E91" s="42">
        <f t="shared" ref="E91:F91" si="6">SUM(E90)</f>
        <v>26650</v>
      </c>
      <c r="F91" s="42">
        <f t="shared" si="6"/>
        <v>15545.833333333334</v>
      </c>
      <c r="G91" s="58">
        <f>SUM(G90)</f>
        <v>0</v>
      </c>
      <c r="H91" s="27"/>
      <c r="I91" s="27"/>
      <c r="J91" s="26"/>
      <c r="K91" s="27"/>
      <c r="L91" s="28"/>
    </row>
    <row r="92" spans="1:12">
      <c r="C92" s="40"/>
      <c r="D92" s="8"/>
      <c r="E92" s="8"/>
      <c r="F92" s="8"/>
      <c r="G92" s="8"/>
      <c r="K92" s="6"/>
      <c r="L92" s="6"/>
    </row>
    <row r="93" spans="1:12" ht="12.75" customHeight="1">
      <c r="A93" s="52" t="s">
        <v>413</v>
      </c>
      <c r="B93" s="53" t="s">
        <v>414</v>
      </c>
      <c r="C93" s="78" t="s">
        <v>415</v>
      </c>
      <c r="D93" s="54">
        <f>2000/12*8</f>
        <v>1333.3333333333333</v>
      </c>
      <c r="E93" s="59">
        <v>0</v>
      </c>
      <c r="F93" s="59">
        <v>0</v>
      </c>
      <c r="G93" s="55">
        <v>0</v>
      </c>
      <c r="H93" s="60"/>
      <c r="I93" s="60"/>
      <c r="J93" s="57"/>
      <c r="K93" s="142">
        <v>41699</v>
      </c>
      <c r="L93" s="143">
        <v>41973</v>
      </c>
    </row>
    <row r="94" spans="1:12" s="6" customFormat="1" ht="13">
      <c r="A94" s="219" t="s">
        <v>416</v>
      </c>
      <c r="B94" s="220"/>
      <c r="C94" s="78"/>
      <c r="D94" s="42">
        <f>SUM(D93)</f>
        <v>1333.3333333333333</v>
      </c>
      <c r="E94" s="58">
        <f>SUM(E93)</f>
        <v>0</v>
      </c>
      <c r="F94" s="58">
        <f>SUM(F93)</f>
        <v>0</v>
      </c>
      <c r="G94" s="58">
        <f>SUM(G93)</f>
        <v>0</v>
      </c>
      <c r="H94" s="27"/>
      <c r="I94" s="27"/>
      <c r="J94" s="26"/>
      <c r="K94" s="27"/>
      <c r="L94" s="28"/>
    </row>
    <row r="95" spans="1:12">
      <c r="C95" s="40"/>
      <c r="D95" s="8"/>
      <c r="E95" s="8"/>
      <c r="F95" s="8"/>
      <c r="G95" s="8"/>
      <c r="K95" s="6"/>
      <c r="L95" s="6"/>
    </row>
    <row r="96" spans="1:12">
      <c r="A96" s="61" t="s">
        <v>131</v>
      </c>
      <c r="B96" s="62" t="s">
        <v>417</v>
      </c>
      <c r="C96" s="34" t="s">
        <v>418</v>
      </c>
      <c r="D96" s="45">
        <v>46000</v>
      </c>
      <c r="E96" s="45">
        <f>D96/12*8</f>
        <v>30666.666666666668</v>
      </c>
      <c r="F96" s="19">
        <v>0</v>
      </c>
      <c r="G96" s="20">
        <v>0</v>
      </c>
      <c r="H96" s="56"/>
      <c r="I96" s="56"/>
      <c r="J96" s="63"/>
      <c r="K96" s="136">
        <v>39398</v>
      </c>
      <c r="L96" s="137">
        <v>42319</v>
      </c>
    </row>
    <row r="97" spans="1:12">
      <c r="A97" s="64" t="s">
        <v>131</v>
      </c>
      <c r="B97" s="3" t="s">
        <v>419</v>
      </c>
      <c r="C97" s="40" t="s">
        <v>420</v>
      </c>
      <c r="D97" s="47">
        <v>53251</v>
      </c>
      <c r="E97" s="47">
        <f>D97/12*8</f>
        <v>35500.666666666664</v>
      </c>
      <c r="F97" s="21">
        <v>0</v>
      </c>
      <c r="G97" s="1">
        <v>0</v>
      </c>
      <c r="J97" s="65"/>
      <c r="K97" s="138">
        <v>40513</v>
      </c>
      <c r="L97" s="127">
        <v>42338</v>
      </c>
    </row>
    <row r="98" spans="1:12" ht="25">
      <c r="A98" s="64" t="s">
        <v>131</v>
      </c>
      <c r="B98" s="3" t="s">
        <v>421</v>
      </c>
      <c r="C98" s="40" t="s">
        <v>422</v>
      </c>
      <c r="D98" s="47">
        <v>4200000</v>
      </c>
      <c r="E98" s="47">
        <f>D98</f>
        <v>4200000</v>
      </c>
      <c r="F98" s="21">
        <v>0</v>
      </c>
      <c r="G98" s="1">
        <v>0</v>
      </c>
      <c r="J98" s="65"/>
      <c r="K98" s="138">
        <v>38808</v>
      </c>
      <c r="L98" s="127">
        <v>42460</v>
      </c>
    </row>
    <row r="99" spans="1:12" ht="25">
      <c r="A99" s="64" t="s">
        <v>131</v>
      </c>
      <c r="B99" s="3" t="s">
        <v>423</v>
      </c>
      <c r="C99" s="40" t="s">
        <v>424</v>
      </c>
      <c r="D99" s="47">
        <v>1700000</v>
      </c>
      <c r="E99" s="47">
        <f>D99</f>
        <v>1700000</v>
      </c>
      <c r="F99" s="47">
        <f>E99</f>
        <v>1700000</v>
      </c>
      <c r="G99" s="1">
        <v>0</v>
      </c>
      <c r="J99" s="65"/>
      <c r="K99" s="138">
        <v>39173</v>
      </c>
      <c r="L99" s="127">
        <v>42825</v>
      </c>
    </row>
    <row r="100" spans="1:12" ht="25">
      <c r="A100" s="64" t="s">
        <v>131</v>
      </c>
      <c r="B100" s="3" t="s">
        <v>425</v>
      </c>
      <c r="C100" s="40" t="s">
        <v>426</v>
      </c>
      <c r="D100" s="47">
        <f>102414/12*9</f>
        <v>76810.5</v>
      </c>
      <c r="E100" s="21">
        <v>0</v>
      </c>
      <c r="F100" s="21">
        <v>0</v>
      </c>
      <c r="G100" s="1">
        <v>0</v>
      </c>
      <c r="J100" s="65"/>
      <c r="K100" s="138">
        <v>40544</v>
      </c>
      <c r="L100" s="127">
        <v>42004</v>
      </c>
    </row>
    <row r="101" spans="1:12" ht="25">
      <c r="A101" s="64" t="s">
        <v>131</v>
      </c>
      <c r="B101" s="3" t="s">
        <v>427</v>
      </c>
      <c r="C101" s="40" t="s">
        <v>428</v>
      </c>
      <c r="D101" s="47">
        <v>109440</v>
      </c>
      <c r="E101" s="21">
        <v>0</v>
      </c>
      <c r="F101" s="21">
        <v>0</v>
      </c>
      <c r="G101" s="1">
        <v>0</v>
      </c>
      <c r="J101" s="65"/>
      <c r="K101" s="138">
        <v>41351</v>
      </c>
      <c r="L101" s="127">
        <v>42080</v>
      </c>
    </row>
    <row r="102" spans="1:12" ht="25">
      <c r="A102" s="64" t="s">
        <v>131</v>
      </c>
      <c r="B102" s="3" t="s">
        <v>429</v>
      </c>
      <c r="C102" s="40" t="s">
        <v>430</v>
      </c>
      <c r="D102" s="47">
        <f>250000/12*7</f>
        <v>145833.33333333331</v>
      </c>
      <c r="E102" s="21">
        <v>0</v>
      </c>
      <c r="F102" s="21">
        <v>0</v>
      </c>
      <c r="G102" s="1">
        <v>0</v>
      </c>
      <c r="J102" s="65"/>
      <c r="K102" s="138">
        <v>41184</v>
      </c>
      <c r="L102" s="127">
        <v>41913</v>
      </c>
    </row>
    <row r="103" spans="1:12" ht="37.5">
      <c r="A103" s="64" t="s">
        <v>131</v>
      </c>
      <c r="B103" s="3" t="s">
        <v>431</v>
      </c>
      <c r="C103" s="40" t="s">
        <v>432</v>
      </c>
      <c r="D103" s="47">
        <f>21548/12*8</f>
        <v>14365.333333333334</v>
      </c>
      <c r="E103" s="21">
        <v>0</v>
      </c>
      <c r="F103" s="21">
        <v>0</v>
      </c>
      <c r="G103" s="1">
        <v>0</v>
      </c>
      <c r="J103" s="65"/>
      <c r="K103" s="138">
        <v>41456</v>
      </c>
      <c r="L103" s="127">
        <v>41971</v>
      </c>
    </row>
    <row r="104" spans="1:12">
      <c r="A104" s="64" t="s">
        <v>131</v>
      </c>
      <c r="B104" s="3" t="s">
        <v>433</v>
      </c>
      <c r="C104" s="40" t="s">
        <v>434</v>
      </c>
      <c r="D104" s="47">
        <v>15000</v>
      </c>
      <c r="E104" s="47">
        <f>D104</f>
        <v>15000</v>
      </c>
      <c r="F104" s="47">
        <f>E104</f>
        <v>15000</v>
      </c>
      <c r="G104" s="48">
        <f>F104/12*8</f>
        <v>10000</v>
      </c>
      <c r="J104" s="65"/>
      <c r="K104" s="138">
        <v>41582</v>
      </c>
      <c r="L104" s="127">
        <v>43042</v>
      </c>
    </row>
    <row r="105" spans="1:12">
      <c r="A105" s="64" t="s">
        <v>131</v>
      </c>
      <c r="B105" s="3" t="s">
        <v>435</v>
      </c>
      <c r="C105" s="40" t="s">
        <v>436</v>
      </c>
      <c r="D105" s="47">
        <v>75000</v>
      </c>
      <c r="E105" s="21">
        <v>0</v>
      </c>
      <c r="F105" s="21">
        <v>0</v>
      </c>
      <c r="G105" s="1">
        <v>0</v>
      </c>
      <c r="J105" s="65"/>
      <c r="K105" s="138">
        <v>41730</v>
      </c>
      <c r="L105" s="127">
        <v>42094</v>
      </c>
    </row>
    <row r="106" spans="1:12" ht="25">
      <c r="A106" s="64" t="s">
        <v>131</v>
      </c>
      <c r="B106" s="40" t="s">
        <v>437</v>
      </c>
      <c r="C106" s="40" t="s">
        <v>438</v>
      </c>
      <c r="D106" s="47">
        <f>10000+50000+6000+6000</f>
        <v>72000</v>
      </c>
      <c r="E106" s="21">
        <v>0</v>
      </c>
      <c r="F106" s="21">
        <v>0</v>
      </c>
      <c r="G106" s="1">
        <v>0</v>
      </c>
      <c r="J106" s="65"/>
      <c r="K106" s="138">
        <v>41730</v>
      </c>
      <c r="L106" s="127">
        <v>42094</v>
      </c>
    </row>
    <row r="107" spans="1:12" s="6" customFormat="1" ht="36" customHeight="1">
      <c r="A107" s="66" t="s">
        <v>131</v>
      </c>
      <c r="B107" s="73" t="s">
        <v>329</v>
      </c>
      <c r="C107" s="79" t="s">
        <v>331</v>
      </c>
      <c r="D107" s="50">
        <v>88000</v>
      </c>
      <c r="E107" s="50">
        <v>44000</v>
      </c>
      <c r="F107" s="22">
        <v>0</v>
      </c>
      <c r="G107" s="23">
        <v>0</v>
      </c>
      <c r="I107" s="6" t="s">
        <v>439</v>
      </c>
      <c r="J107" s="32"/>
      <c r="K107" s="126">
        <v>41000</v>
      </c>
      <c r="L107" s="127">
        <v>42277</v>
      </c>
    </row>
    <row r="108" spans="1:12" s="6" customFormat="1" ht="13">
      <c r="A108" s="223" t="s">
        <v>440</v>
      </c>
      <c r="B108" s="224"/>
      <c r="C108" s="77"/>
      <c r="D108" s="25">
        <f>SUM(D96:D107)</f>
        <v>6595700.166666666</v>
      </c>
      <c r="E108" s="25">
        <f t="shared" ref="E108:G108" si="7">SUM(E96:E107)</f>
        <v>6025167.333333333</v>
      </c>
      <c r="F108" s="25">
        <f t="shared" si="7"/>
        <v>1715000</v>
      </c>
      <c r="G108" s="25">
        <f t="shared" si="7"/>
        <v>10000</v>
      </c>
      <c r="H108" s="27"/>
      <c r="I108" s="27"/>
      <c r="J108" s="26"/>
      <c r="K108" s="67"/>
      <c r="L108" s="28"/>
    </row>
    <row r="109" spans="1:12">
      <c r="C109" s="40"/>
      <c r="D109" s="8"/>
      <c r="E109" s="68"/>
      <c r="F109" s="68"/>
      <c r="G109" s="68"/>
      <c r="K109" s="6"/>
      <c r="L109" s="6"/>
    </row>
    <row r="110" spans="1:12">
      <c r="A110" s="61" t="s">
        <v>441</v>
      </c>
      <c r="B110" s="62" t="s">
        <v>442</v>
      </c>
      <c r="C110" s="34" t="s">
        <v>443</v>
      </c>
      <c r="D110" s="45">
        <v>1273000</v>
      </c>
      <c r="E110" s="19">
        <v>0</v>
      </c>
      <c r="F110" s="19">
        <v>0</v>
      </c>
      <c r="G110" s="20">
        <v>0</v>
      </c>
      <c r="H110" s="56"/>
      <c r="I110" s="56"/>
      <c r="J110" s="63"/>
      <c r="K110" s="136">
        <v>40634</v>
      </c>
      <c r="L110" s="137">
        <v>42094</v>
      </c>
    </row>
    <row r="111" spans="1:12">
      <c r="A111" s="64" t="s">
        <v>441</v>
      </c>
      <c r="B111" s="3" t="s">
        <v>308</v>
      </c>
      <c r="C111" s="40" t="s">
        <v>444</v>
      </c>
      <c r="D111" s="47">
        <v>38000</v>
      </c>
      <c r="E111" s="7">
        <f>D111/12*4</f>
        <v>12666.666666666666</v>
      </c>
      <c r="F111" s="21">
        <v>0</v>
      </c>
      <c r="G111" s="1">
        <v>0</v>
      </c>
      <c r="J111" s="65"/>
      <c r="K111" s="138">
        <v>40634</v>
      </c>
      <c r="L111" s="127">
        <v>42247</v>
      </c>
    </row>
    <row r="112" spans="1:12">
      <c r="A112" s="64" t="s">
        <v>441</v>
      </c>
      <c r="B112" s="3" t="s">
        <v>445</v>
      </c>
      <c r="C112" s="40" t="s">
        <v>446</v>
      </c>
      <c r="D112" s="47">
        <v>1700000</v>
      </c>
      <c r="E112" s="21">
        <v>0</v>
      </c>
      <c r="F112" s="21">
        <v>0</v>
      </c>
      <c r="G112" s="1">
        <v>0</v>
      </c>
      <c r="J112" s="65"/>
      <c r="K112" s="138">
        <v>41000</v>
      </c>
      <c r="L112" s="127">
        <v>42094</v>
      </c>
    </row>
    <row r="113" spans="1:12" ht="25">
      <c r="A113" s="64" t="s">
        <v>441</v>
      </c>
      <c r="B113" s="3" t="s">
        <v>447</v>
      </c>
      <c r="C113" s="40" t="s">
        <v>448</v>
      </c>
      <c r="D113" s="47">
        <v>20000</v>
      </c>
      <c r="E113" s="7">
        <f>D113/12*10</f>
        <v>16666.666666666668</v>
      </c>
      <c r="F113" s="21">
        <v>0</v>
      </c>
      <c r="G113" s="1">
        <v>0</v>
      </c>
      <c r="J113" s="65"/>
      <c r="K113" s="138">
        <v>41288</v>
      </c>
      <c r="L113" s="127">
        <v>42400</v>
      </c>
    </row>
    <row r="114" spans="1:12" ht="25">
      <c r="A114" s="64" t="s">
        <v>441</v>
      </c>
      <c r="B114" s="3" t="s">
        <v>449</v>
      </c>
      <c r="C114" s="40" t="s">
        <v>450</v>
      </c>
      <c r="D114" s="47">
        <v>638000</v>
      </c>
      <c r="E114" s="21">
        <v>0</v>
      </c>
      <c r="F114" s="21">
        <v>0</v>
      </c>
      <c r="G114" s="1">
        <v>0</v>
      </c>
      <c r="J114" s="65"/>
      <c r="K114" s="138">
        <v>40269</v>
      </c>
      <c r="L114" s="127">
        <v>42094</v>
      </c>
    </row>
    <row r="115" spans="1:12" ht="25">
      <c r="A115" s="66" t="s">
        <v>441</v>
      </c>
      <c r="B115" s="69" t="s">
        <v>451</v>
      </c>
      <c r="C115" s="77" t="s">
        <v>452</v>
      </c>
      <c r="D115" s="50">
        <v>180000</v>
      </c>
      <c r="E115" s="22">
        <v>0</v>
      </c>
      <c r="F115" s="22">
        <v>0</v>
      </c>
      <c r="G115" s="23">
        <v>0</v>
      </c>
      <c r="J115" s="70"/>
      <c r="K115" s="138">
        <v>40634</v>
      </c>
      <c r="L115" s="127">
        <v>42094</v>
      </c>
    </row>
    <row r="116" spans="1:12" s="6" customFormat="1" ht="13">
      <c r="A116" s="223" t="s">
        <v>453</v>
      </c>
      <c r="B116" s="224"/>
      <c r="C116" s="77"/>
      <c r="D116" s="25">
        <f>SUM(D110:D115)</f>
        <v>3849000</v>
      </c>
      <c r="E116" s="25">
        <f t="shared" ref="E116:G116" si="8">SUM(E110:E115)</f>
        <v>29333.333333333336</v>
      </c>
      <c r="F116" s="58">
        <f t="shared" si="8"/>
        <v>0</v>
      </c>
      <c r="G116" s="58">
        <f t="shared" si="8"/>
        <v>0</v>
      </c>
      <c r="H116" s="27"/>
      <c r="I116" s="27"/>
      <c r="J116" s="67"/>
      <c r="K116" s="67"/>
      <c r="L116" s="28"/>
    </row>
    <row r="117" spans="1:12">
      <c r="C117" s="40"/>
      <c r="D117" s="8"/>
      <c r="E117" s="68"/>
      <c r="F117" s="68"/>
      <c r="G117" s="68"/>
      <c r="K117" s="6"/>
      <c r="L117" s="6"/>
    </row>
    <row r="118" spans="1:12">
      <c r="A118" s="61" t="s">
        <v>454</v>
      </c>
      <c r="B118" s="62" t="s">
        <v>347</v>
      </c>
      <c r="C118" s="34" t="s">
        <v>455</v>
      </c>
      <c r="D118" s="45">
        <v>1300000</v>
      </c>
      <c r="E118" s="19">
        <v>0</v>
      </c>
      <c r="F118" s="19">
        <v>0</v>
      </c>
      <c r="G118" s="20">
        <v>0</v>
      </c>
      <c r="J118" s="63"/>
      <c r="K118" s="136">
        <v>40077</v>
      </c>
      <c r="L118" s="137">
        <v>41902</v>
      </c>
    </row>
    <row r="119" spans="1:12">
      <c r="A119" s="64" t="s">
        <v>454</v>
      </c>
      <c r="B119" s="3" t="s">
        <v>456</v>
      </c>
      <c r="C119" s="40" t="s">
        <v>457</v>
      </c>
      <c r="D119" s="47">
        <v>565600</v>
      </c>
      <c r="E119" s="47">
        <f>D119</f>
        <v>565600</v>
      </c>
      <c r="F119" s="47">
        <f>E119</f>
        <v>565600</v>
      </c>
      <c r="G119" s="1">
        <v>0</v>
      </c>
      <c r="J119" s="65"/>
      <c r="K119" s="138">
        <v>39922</v>
      </c>
      <c r="L119" s="127">
        <v>42826</v>
      </c>
    </row>
    <row r="120" spans="1:12">
      <c r="A120" s="64" t="s">
        <v>454</v>
      </c>
      <c r="B120" s="3" t="s">
        <v>458</v>
      </c>
      <c r="C120" s="40" t="s">
        <v>459</v>
      </c>
      <c r="D120" s="47">
        <v>258776</v>
      </c>
      <c r="E120" s="47">
        <f>D120/12*8</f>
        <v>172517.33333333334</v>
      </c>
      <c r="F120" s="21">
        <v>0</v>
      </c>
      <c r="G120" s="1">
        <v>0</v>
      </c>
      <c r="J120" s="65"/>
      <c r="K120" s="138">
        <v>40580</v>
      </c>
      <c r="L120" s="127">
        <v>42329</v>
      </c>
    </row>
    <row r="121" spans="1:12" ht="12.75" customHeight="1">
      <c r="A121" s="64" t="s">
        <v>454</v>
      </c>
      <c r="B121" s="3" t="s">
        <v>460</v>
      </c>
      <c r="C121" s="40" t="s">
        <v>461</v>
      </c>
      <c r="D121" s="47">
        <v>858135</v>
      </c>
      <c r="E121" s="47">
        <f>D121/12*6</f>
        <v>429067.5</v>
      </c>
      <c r="F121" s="21">
        <v>0</v>
      </c>
      <c r="G121" s="1">
        <v>0</v>
      </c>
      <c r="J121" s="65"/>
      <c r="K121" s="138">
        <v>40457</v>
      </c>
      <c r="L121" s="127">
        <v>42282</v>
      </c>
    </row>
    <row r="122" spans="1:12" ht="25">
      <c r="A122" s="64" t="s">
        <v>454</v>
      </c>
      <c r="B122" s="3" t="s">
        <v>347</v>
      </c>
      <c r="C122" s="40" t="s">
        <v>462</v>
      </c>
      <c r="D122" s="47">
        <v>1599513</v>
      </c>
      <c r="E122" s="47">
        <f>D122/12*7</f>
        <v>933049.25</v>
      </c>
      <c r="F122" s="21">
        <v>0</v>
      </c>
      <c r="G122" s="1">
        <v>0</v>
      </c>
      <c r="J122" s="65"/>
      <c r="K122" s="138">
        <v>40685</v>
      </c>
      <c r="L122" s="127">
        <v>42301</v>
      </c>
    </row>
    <row r="123" spans="1:12" ht="25">
      <c r="A123" s="64" t="s">
        <v>454</v>
      </c>
      <c r="B123" s="3" t="s">
        <v>414</v>
      </c>
      <c r="C123" s="40" t="s">
        <v>463</v>
      </c>
      <c r="D123" s="47">
        <v>2500</v>
      </c>
      <c r="E123" s="21">
        <v>0</v>
      </c>
      <c r="F123" s="21">
        <v>0</v>
      </c>
      <c r="G123" s="1">
        <v>0</v>
      </c>
      <c r="J123" s="65"/>
      <c r="K123" s="138">
        <v>41699</v>
      </c>
      <c r="L123" s="127">
        <v>41973</v>
      </c>
    </row>
    <row r="124" spans="1:12">
      <c r="A124" s="64" t="s">
        <v>454</v>
      </c>
      <c r="B124" s="3" t="s">
        <v>464</v>
      </c>
      <c r="C124" s="40" t="s">
        <v>465</v>
      </c>
      <c r="D124" s="47">
        <v>13431</v>
      </c>
      <c r="E124" s="21">
        <v>0</v>
      </c>
      <c r="F124" s="21">
        <v>0</v>
      </c>
      <c r="G124" s="1">
        <v>0</v>
      </c>
      <c r="J124" s="65"/>
      <c r="K124" s="138">
        <v>41699</v>
      </c>
      <c r="L124" s="127">
        <v>41973</v>
      </c>
    </row>
    <row r="125" spans="1:12" ht="25">
      <c r="A125" s="64" t="s">
        <v>454</v>
      </c>
      <c r="B125" s="3" t="s">
        <v>466</v>
      </c>
      <c r="C125" s="40" t="s">
        <v>467</v>
      </c>
      <c r="D125" s="47">
        <f>16560+28080+4800+2280+14328+1116</f>
        <v>67164</v>
      </c>
      <c r="E125" s="21">
        <v>0</v>
      </c>
      <c r="F125" s="21">
        <v>0</v>
      </c>
      <c r="G125" s="1">
        <v>0</v>
      </c>
      <c r="J125" s="65"/>
      <c r="K125" s="138">
        <v>41791</v>
      </c>
      <c r="L125" s="127">
        <v>41973</v>
      </c>
    </row>
    <row r="126" spans="1:12">
      <c r="A126" s="64" t="s">
        <v>454</v>
      </c>
      <c r="B126" s="3" t="s">
        <v>468</v>
      </c>
      <c r="C126" s="40" t="s">
        <v>469</v>
      </c>
      <c r="D126" s="47">
        <v>29170</v>
      </c>
      <c r="E126" s="47">
        <f>D126/12*9</f>
        <v>21877.5</v>
      </c>
      <c r="F126" s="21">
        <v>0</v>
      </c>
      <c r="G126" s="1">
        <v>0</v>
      </c>
      <c r="J126" s="65"/>
      <c r="K126" s="138">
        <v>41277</v>
      </c>
      <c r="L126" s="127">
        <v>42371</v>
      </c>
    </row>
    <row r="127" spans="1:12" ht="25">
      <c r="A127" s="64" t="s">
        <v>454</v>
      </c>
      <c r="B127" s="3" t="s">
        <v>468</v>
      </c>
      <c r="C127" s="40" t="s">
        <v>470</v>
      </c>
      <c r="D127" s="47">
        <v>17680</v>
      </c>
      <c r="E127" s="21">
        <v>0</v>
      </c>
      <c r="F127" s="21">
        <v>0</v>
      </c>
      <c r="G127" s="1">
        <v>0</v>
      </c>
      <c r="J127" s="65"/>
      <c r="K127" s="138">
        <v>41281</v>
      </c>
      <c r="L127" s="127">
        <v>42094</v>
      </c>
    </row>
    <row r="128" spans="1:12" ht="25">
      <c r="A128" s="64" t="s">
        <v>454</v>
      </c>
      <c r="B128" s="3" t="s">
        <v>471</v>
      </c>
      <c r="C128" s="40" t="s">
        <v>472</v>
      </c>
      <c r="D128" s="47">
        <v>850000</v>
      </c>
      <c r="E128" s="47">
        <f>D128</f>
        <v>850000</v>
      </c>
      <c r="F128" s="21">
        <v>0</v>
      </c>
      <c r="G128" s="1">
        <v>0</v>
      </c>
      <c r="J128" s="65"/>
      <c r="K128" s="138">
        <v>41365</v>
      </c>
      <c r="L128" s="127">
        <v>42460</v>
      </c>
    </row>
    <row r="129" spans="1:12">
      <c r="A129" s="64" t="s">
        <v>454</v>
      </c>
      <c r="B129" s="3" t="s">
        <v>473</v>
      </c>
      <c r="C129" s="40" t="s">
        <v>474</v>
      </c>
      <c r="D129" s="47">
        <v>20000</v>
      </c>
      <c r="E129" s="47">
        <f>D129</f>
        <v>20000</v>
      </c>
      <c r="F129" s="47">
        <f>D129/12*6.5</f>
        <v>10833.333333333334</v>
      </c>
      <c r="G129" s="1">
        <v>0</v>
      </c>
      <c r="J129" s="65"/>
      <c r="K129" s="138">
        <v>41561</v>
      </c>
      <c r="L129" s="127">
        <v>42656</v>
      </c>
    </row>
    <row r="130" spans="1:12" ht="13.5" customHeight="1">
      <c r="A130" s="64" t="s">
        <v>454</v>
      </c>
      <c r="B130" s="3" t="s">
        <v>475</v>
      </c>
      <c r="C130" s="40" t="s">
        <v>476</v>
      </c>
      <c r="D130" s="47">
        <v>43971</v>
      </c>
      <c r="E130" s="47">
        <f>D130/12*11</f>
        <v>40306.75</v>
      </c>
      <c r="F130" s="21">
        <v>0</v>
      </c>
      <c r="G130" s="1">
        <v>0</v>
      </c>
      <c r="J130" s="65"/>
      <c r="K130" s="138">
        <v>41699</v>
      </c>
      <c r="L130" s="127">
        <v>42429</v>
      </c>
    </row>
    <row r="131" spans="1:12" ht="26.25" customHeight="1">
      <c r="A131" s="66" t="s">
        <v>454</v>
      </c>
      <c r="B131" s="73" t="s">
        <v>329</v>
      </c>
      <c r="C131" s="79" t="s">
        <v>331</v>
      </c>
      <c r="D131" s="50">
        <v>75000</v>
      </c>
      <c r="E131" s="22">
        <v>0</v>
      </c>
      <c r="F131" s="22">
        <v>0</v>
      </c>
      <c r="G131" s="23">
        <v>0</v>
      </c>
      <c r="I131" s="4" t="s">
        <v>477</v>
      </c>
      <c r="J131" s="65"/>
      <c r="K131" s="138"/>
      <c r="L131" s="127">
        <v>42094</v>
      </c>
    </row>
    <row r="132" spans="1:12" s="6" customFormat="1" ht="13">
      <c r="A132" s="223" t="s">
        <v>478</v>
      </c>
      <c r="B132" s="224"/>
      <c r="C132" s="77"/>
      <c r="D132" s="25">
        <f>SUM(D118:D131)</f>
        <v>5700940</v>
      </c>
      <c r="E132" s="25">
        <f t="shared" ref="E132:G132" si="9">SUM(E118:E131)</f>
        <v>3032418.3333333335</v>
      </c>
      <c r="F132" s="25">
        <f t="shared" si="9"/>
        <v>576433.33333333337</v>
      </c>
      <c r="G132" s="58">
        <f t="shared" si="9"/>
        <v>0</v>
      </c>
      <c r="H132" s="27"/>
      <c r="I132" s="27"/>
      <c r="J132" s="26"/>
      <c r="K132" s="67"/>
      <c r="L132" s="28"/>
    </row>
    <row r="133" spans="1:12">
      <c r="C133" s="40"/>
      <c r="D133" s="8"/>
      <c r="E133" s="68"/>
      <c r="F133" s="68"/>
      <c r="G133" s="68"/>
      <c r="K133" s="6"/>
      <c r="L133" s="6"/>
    </row>
    <row r="134" spans="1:12">
      <c r="A134" s="61" t="s">
        <v>479</v>
      </c>
      <c r="B134" s="62" t="s">
        <v>480</v>
      </c>
      <c r="C134" s="34" t="s">
        <v>481</v>
      </c>
      <c r="D134" s="45">
        <v>66666</v>
      </c>
      <c r="E134" s="19">
        <v>0</v>
      </c>
      <c r="F134" s="19">
        <v>0</v>
      </c>
      <c r="G134" s="20">
        <v>0</v>
      </c>
      <c r="H134" s="56"/>
      <c r="I134" s="56"/>
      <c r="J134" s="63"/>
      <c r="K134" s="136">
        <v>40399</v>
      </c>
      <c r="L134" s="137">
        <v>41859</v>
      </c>
    </row>
    <row r="135" spans="1:12">
      <c r="A135" s="64" t="s">
        <v>479</v>
      </c>
      <c r="B135" s="3" t="s">
        <v>482</v>
      </c>
      <c r="C135" s="40" t="s">
        <v>483</v>
      </c>
      <c r="D135" s="47">
        <v>19437</v>
      </c>
      <c r="E135" s="21">
        <v>0</v>
      </c>
      <c r="F135" s="21">
        <v>0</v>
      </c>
      <c r="G135" s="1">
        <v>0</v>
      </c>
      <c r="J135" s="65"/>
      <c r="K135" s="138">
        <v>40350</v>
      </c>
      <c r="L135" s="127">
        <v>42094</v>
      </c>
    </row>
    <row r="136" spans="1:12">
      <c r="A136" s="64" t="s">
        <v>479</v>
      </c>
      <c r="B136" s="3" t="s">
        <v>484</v>
      </c>
      <c r="C136" s="40" t="s">
        <v>485</v>
      </c>
      <c r="D136" s="47">
        <v>4500000</v>
      </c>
      <c r="E136" s="21">
        <v>0</v>
      </c>
      <c r="F136" s="21">
        <v>0</v>
      </c>
      <c r="G136" s="1">
        <v>0</v>
      </c>
      <c r="J136" s="65"/>
      <c r="K136" s="138">
        <v>40588</v>
      </c>
      <c r="L136" s="127">
        <v>42048</v>
      </c>
    </row>
    <row r="137" spans="1:12" ht="12.75" customHeight="1">
      <c r="A137" s="64" t="s">
        <v>479</v>
      </c>
      <c r="B137" s="3" t="s">
        <v>486</v>
      </c>
      <c r="C137" s="40" t="s">
        <v>487</v>
      </c>
      <c r="D137" s="47">
        <v>248884</v>
      </c>
      <c r="E137" s="21">
        <v>0</v>
      </c>
      <c r="F137" s="21">
        <v>0</v>
      </c>
      <c r="G137" s="1">
        <v>0</v>
      </c>
      <c r="J137" s="65"/>
      <c r="K137" s="138">
        <v>41365</v>
      </c>
      <c r="L137" s="127">
        <v>42094</v>
      </c>
    </row>
    <row r="138" spans="1:12" ht="25">
      <c r="A138" s="64" t="s">
        <v>479</v>
      </c>
      <c r="B138" s="3" t="s">
        <v>353</v>
      </c>
      <c r="C138" s="40" t="s">
        <v>488</v>
      </c>
      <c r="D138" s="47">
        <v>32000</v>
      </c>
      <c r="E138" s="47">
        <f>D138/12*2</f>
        <v>5333.333333333333</v>
      </c>
      <c r="F138" s="8">
        <v>0</v>
      </c>
      <c r="G138" s="71">
        <v>0</v>
      </c>
      <c r="J138" s="65"/>
      <c r="K138" s="138">
        <v>41791</v>
      </c>
      <c r="L138" s="127">
        <v>42155</v>
      </c>
    </row>
    <row r="139" spans="1:12">
      <c r="A139" s="64" t="s">
        <v>479</v>
      </c>
      <c r="B139" s="3" t="s">
        <v>489</v>
      </c>
      <c r="C139" s="40" t="s">
        <v>490</v>
      </c>
      <c r="D139" s="47">
        <v>56000</v>
      </c>
      <c r="E139" s="47">
        <f>D139/12*2</f>
        <v>9333.3333333333339</v>
      </c>
      <c r="F139" s="8">
        <v>0</v>
      </c>
      <c r="G139" s="71">
        <v>0</v>
      </c>
      <c r="J139" s="65"/>
      <c r="K139" s="138">
        <v>41426</v>
      </c>
      <c r="L139" s="127">
        <v>42155</v>
      </c>
    </row>
    <row r="140" spans="1:12">
      <c r="A140" s="64" t="s">
        <v>479</v>
      </c>
      <c r="B140" s="3" t="s">
        <v>491</v>
      </c>
      <c r="C140" s="40" t="s">
        <v>492</v>
      </c>
      <c r="D140" s="47">
        <v>18000</v>
      </c>
      <c r="E140" s="47">
        <f>D140</f>
        <v>18000</v>
      </c>
      <c r="F140" s="47">
        <f>D140/12*2</f>
        <v>3000</v>
      </c>
      <c r="G140" s="71">
        <v>0</v>
      </c>
      <c r="J140" s="65"/>
      <c r="K140" s="138">
        <v>40695</v>
      </c>
      <c r="L140" s="127">
        <v>42520</v>
      </c>
    </row>
    <row r="141" spans="1:12" ht="25">
      <c r="A141" s="64" t="s">
        <v>479</v>
      </c>
      <c r="B141" s="3" t="s">
        <v>493</v>
      </c>
      <c r="C141" s="40" t="s">
        <v>494</v>
      </c>
      <c r="D141" s="47">
        <v>12500</v>
      </c>
      <c r="E141" s="21">
        <v>0</v>
      </c>
      <c r="F141" s="21">
        <v>0</v>
      </c>
      <c r="G141" s="1">
        <v>0</v>
      </c>
      <c r="J141" s="65"/>
      <c r="K141" s="138">
        <v>40483</v>
      </c>
      <c r="L141" s="127">
        <v>41943</v>
      </c>
    </row>
    <row r="142" spans="1:12" ht="25">
      <c r="A142" s="64" t="s">
        <v>479</v>
      </c>
      <c r="B142" s="3" t="s">
        <v>495</v>
      </c>
      <c r="C142" s="40" t="s">
        <v>496</v>
      </c>
      <c r="D142" s="47">
        <v>11880</v>
      </c>
      <c r="E142" s="47">
        <f>D142/12*6</f>
        <v>5940</v>
      </c>
      <c r="F142" s="21">
        <v>0</v>
      </c>
      <c r="G142" s="1">
        <v>0</v>
      </c>
      <c r="J142" s="65"/>
      <c r="K142" s="138">
        <v>41579</v>
      </c>
      <c r="L142" s="127">
        <v>42280</v>
      </c>
    </row>
    <row r="143" spans="1:12" ht="25">
      <c r="A143" s="64" t="s">
        <v>479</v>
      </c>
      <c r="B143" s="3" t="s">
        <v>497</v>
      </c>
      <c r="C143" s="40" t="s">
        <v>498</v>
      </c>
      <c r="D143" s="47">
        <v>298141</v>
      </c>
      <c r="E143" s="21">
        <v>0</v>
      </c>
      <c r="F143" s="21">
        <v>0</v>
      </c>
      <c r="G143" s="1">
        <v>0</v>
      </c>
      <c r="J143" s="65"/>
      <c r="K143" s="138">
        <v>41518</v>
      </c>
      <c r="L143" s="127">
        <v>41882</v>
      </c>
    </row>
    <row r="144" spans="1:12">
      <c r="A144" s="66" t="s">
        <v>479</v>
      </c>
      <c r="B144" s="69" t="s">
        <v>499</v>
      </c>
      <c r="C144" s="77" t="s">
        <v>500</v>
      </c>
      <c r="D144" s="50">
        <v>48065</v>
      </c>
      <c r="E144" s="50">
        <f>D144</f>
        <v>48065</v>
      </c>
      <c r="F144" s="22">
        <v>0</v>
      </c>
      <c r="G144" s="23">
        <v>0</v>
      </c>
      <c r="J144" s="70"/>
      <c r="K144" s="138">
        <v>41000</v>
      </c>
      <c r="L144" s="127">
        <v>42460</v>
      </c>
    </row>
    <row r="145" spans="1:12" s="6" customFormat="1" ht="13">
      <c r="A145" s="223" t="s">
        <v>501</v>
      </c>
      <c r="B145" s="224"/>
      <c r="C145" s="77"/>
      <c r="D145" s="25">
        <f>SUM(D134:D144)</f>
        <v>5311573</v>
      </c>
      <c r="E145" s="25">
        <f t="shared" ref="E145:G145" si="10">SUM(E134:E144)</f>
        <v>86671.666666666672</v>
      </c>
      <c r="F145" s="25">
        <f t="shared" si="10"/>
        <v>3000</v>
      </c>
      <c r="G145" s="58">
        <f t="shared" si="10"/>
        <v>0</v>
      </c>
      <c r="H145" s="27"/>
      <c r="I145" s="27"/>
      <c r="J145" s="26"/>
      <c r="K145" s="67"/>
      <c r="L145" s="28"/>
    </row>
    <row r="146" spans="1:12">
      <c r="C146" s="40"/>
      <c r="D146" s="18"/>
      <c r="E146" s="18"/>
      <c r="F146" s="18"/>
      <c r="G146" s="18"/>
      <c r="K146" s="6"/>
      <c r="L146" s="6"/>
    </row>
    <row r="147" spans="1:12" ht="25">
      <c r="A147" s="61" t="s">
        <v>502</v>
      </c>
      <c r="B147" s="62" t="s">
        <v>503</v>
      </c>
      <c r="C147" s="34" t="s">
        <v>504</v>
      </c>
      <c r="D147" s="45">
        <v>221000</v>
      </c>
      <c r="E147" s="19">
        <v>0</v>
      </c>
      <c r="F147" s="19">
        <v>0</v>
      </c>
      <c r="G147" s="20">
        <v>0</v>
      </c>
      <c r="H147" s="56"/>
      <c r="I147" s="56"/>
      <c r="J147" s="63"/>
      <c r="K147" s="136">
        <v>40459</v>
      </c>
      <c r="L147" s="137">
        <v>41919</v>
      </c>
    </row>
    <row r="148" spans="1:12">
      <c r="A148" s="64" t="s">
        <v>502</v>
      </c>
      <c r="B148" s="3" t="s">
        <v>505</v>
      </c>
      <c r="C148" s="40" t="s">
        <v>506</v>
      </c>
      <c r="D148" s="47">
        <v>449794</v>
      </c>
      <c r="E148" s="21">
        <v>0</v>
      </c>
      <c r="F148" s="21">
        <v>0</v>
      </c>
      <c r="G148" s="1">
        <v>0</v>
      </c>
      <c r="J148" s="65"/>
      <c r="K148" s="138">
        <v>40269</v>
      </c>
      <c r="L148" s="127">
        <v>42094</v>
      </c>
    </row>
    <row r="149" spans="1:12" ht="37.5">
      <c r="A149" s="64" t="s">
        <v>502</v>
      </c>
      <c r="B149" s="3" t="s">
        <v>507</v>
      </c>
      <c r="C149" s="40" t="s">
        <v>508</v>
      </c>
      <c r="D149" s="47">
        <v>33874</v>
      </c>
      <c r="E149" s="47">
        <f>D149/12*3</f>
        <v>8468.5</v>
      </c>
      <c r="F149" s="21">
        <v>0</v>
      </c>
      <c r="G149" s="1">
        <v>0</v>
      </c>
      <c r="J149" s="65"/>
      <c r="K149" s="138">
        <v>40350</v>
      </c>
      <c r="L149" s="127">
        <v>42175</v>
      </c>
    </row>
    <row r="150" spans="1:12">
      <c r="A150" s="64" t="s">
        <v>502</v>
      </c>
      <c r="B150" s="3" t="s">
        <v>509</v>
      </c>
      <c r="C150" s="40" t="s">
        <v>510</v>
      </c>
      <c r="D150" s="47">
        <v>18000</v>
      </c>
      <c r="E150" s="8">
        <v>0</v>
      </c>
      <c r="F150" s="21">
        <v>0</v>
      </c>
      <c r="G150" s="1">
        <v>0</v>
      </c>
      <c r="J150" s="65"/>
      <c r="K150" s="138">
        <v>40940</v>
      </c>
      <c r="L150" s="127">
        <v>42035</v>
      </c>
    </row>
    <row r="151" spans="1:12">
      <c r="A151" s="64" t="s">
        <v>502</v>
      </c>
      <c r="B151" s="3" t="s">
        <v>511</v>
      </c>
      <c r="C151" s="40" t="s">
        <v>512</v>
      </c>
      <c r="D151" s="47">
        <v>10744</v>
      </c>
      <c r="E151" s="47">
        <f>D151/12*9</f>
        <v>8058</v>
      </c>
      <c r="F151" s="21">
        <v>0</v>
      </c>
      <c r="G151" s="1">
        <v>0</v>
      </c>
      <c r="J151" s="65"/>
      <c r="K151" s="138">
        <v>41291</v>
      </c>
      <c r="L151" s="127">
        <v>42385</v>
      </c>
    </row>
    <row r="152" spans="1:12">
      <c r="A152" s="64" t="s">
        <v>502</v>
      </c>
      <c r="B152" s="3" t="s">
        <v>513</v>
      </c>
      <c r="C152" s="40" t="s">
        <v>514</v>
      </c>
      <c r="D152" s="47">
        <v>17500</v>
      </c>
      <c r="E152" s="47">
        <f>D152</f>
        <v>17500</v>
      </c>
      <c r="F152" s="47">
        <f>E152/12*6</f>
        <v>8750</v>
      </c>
      <c r="G152" s="1">
        <v>0</v>
      </c>
      <c r="J152" s="65"/>
      <c r="K152" s="138">
        <v>41548</v>
      </c>
      <c r="L152" s="127">
        <v>42643</v>
      </c>
    </row>
    <row r="153" spans="1:12" ht="25">
      <c r="A153" s="64" t="s">
        <v>502</v>
      </c>
      <c r="B153" s="3" t="s">
        <v>515</v>
      </c>
      <c r="C153" s="40" t="s">
        <v>516</v>
      </c>
      <c r="D153" s="47">
        <v>41285</v>
      </c>
      <c r="E153" s="47">
        <f>D153</f>
        <v>41285</v>
      </c>
      <c r="F153" s="47">
        <f>D153</f>
        <v>41285</v>
      </c>
      <c r="G153" s="48">
        <f>D153</f>
        <v>41285</v>
      </c>
      <c r="J153" s="65"/>
      <c r="K153" s="138">
        <v>41500</v>
      </c>
      <c r="L153" s="127">
        <v>44056</v>
      </c>
    </row>
    <row r="154" spans="1:12" ht="25">
      <c r="A154" s="64" t="s">
        <v>502</v>
      </c>
      <c r="B154" s="3" t="s">
        <v>517</v>
      </c>
      <c r="C154" s="40" t="s">
        <v>518</v>
      </c>
      <c r="D154" s="47">
        <v>6634</v>
      </c>
      <c r="E154" s="47">
        <f>D154</f>
        <v>6634</v>
      </c>
      <c r="F154" s="47">
        <f>D154</f>
        <v>6634</v>
      </c>
      <c r="G154" s="48">
        <f>E154/12*2</f>
        <v>1105.6666666666667</v>
      </c>
      <c r="J154" s="65"/>
      <c r="K154" s="138">
        <v>41407</v>
      </c>
      <c r="L154" s="127">
        <v>42886</v>
      </c>
    </row>
    <row r="155" spans="1:12">
      <c r="A155" s="64" t="s">
        <v>502</v>
      </c>
      <c r="B155" s="3" t="s">
        <v>519</v>
      </c>
      <c r="C155" s="40" t="s">
        <v>520</v>
      </c>
      <c r="D155" s="47">
        <v>17000</v>
      </c>
      <c r="E155" s="47">
        <f>D155/12*7</f>
        <v>9916.6666666666679</v>
      </c>
      <c r="F155" s="21">
        <v>0</v>
      </c>
      <c r="G155" s="1">
        <v>0</v>
      </c>
      <c r="J155" s="65"/>
      <c r="K155" s="138">
        <v>40848</v>
      </c>
      <c r="L155" s="127">
        <v>42308</v>
      </c>
    </row>
    <row r="156" spans="1:12">
      <c r="A156" s="64" t="s">
        <v>502</v>
      </c>
      <c r="B156" s="3" t="s">
        <v>521</v>
      </c>
      <c r="C156" s="40" t="s">
        <v>522</v>
      </c>
      <c r="D156" s="47">
        <v>45506</v>
      </c>
      <c r="E156" s="47">
        <f>D156/12*3</f>
        <v>11376.5</v>
      </c>
      <c r="F156" s="21">
        <v>0</v>
      </c>
      <c r="G156" s="1">
        <v>0</v>
      </c>
      <c r="J156" s="65"/>
      <c r="K156" s="138">
        <v>40724</v>
      </c>
      <c r="L156" s="127">
        <v>42184</v>
      </c>
    </row>
    <row r="157" spans="1:12">
      <c r="A157" s="64" t="s">
        <v>502</v>
      </c>
      <c r="B157" s="3" t="s">
        <v>523</v>
      </c>
      <c r="C157" s="40" t="s">
        <v>524</v>
      </c>
      <c r="D157" s="47">
        <v>27500</v>
      </c>
      <c r="E157" s="47">
        <f>D157</f>
        <v>27500</v>
      </c>
      <c r="F157" s="47">
        <f>D157</f>
        <v>27500</v>
      </c>
      <c r="G157" s="48">
        <f>D157</f>
        <v>27500</v>
      </c>
      <c r="J157" s="65"/>
      <c r="K157" s="138">
        <v>41518</v>
      </c>
      <c r="L157" s="127">
        <v>43342</v>
      </c>
    </row>
    <row r="158" spans="1:12">
      <c r="A158" s="64" t="s">
        <v>502</v>
      </c>
      <c r="B158" s="3" t="s">
        <v>525</v>
      </c>
      <c r="C158" s="40" t="s">
        <v>526</v>
      </c>
      <c r="D158" s="47">
        <v>155000</v>
      </c>
      <c r="E158" s="21">
        <v>0</v>
      </c>
      <c r="F158" s="21">
        <v>0</v>
      </c>
      <c r="G158" s="1">
        <v>0</v>
      </c>
      <c r="J158" s="65"/>
      <c r="K158" s="138">
        <v>41365</v>
      </c>
      <c r="L158" s="127">
        <v>42094</v>
      </c>
    </row>
    <row r="159" spans="1:12" ht="25">
      <c r="A159" s="64" t="s">
        <v>502</v>
      </c>
      <c r="B159" s="3" t="s">
        <v>527</v>
      </c>
      <c r="C159" s="40" t="s">
        <v>528</v>
      </c>
      <c r="D159" s="47">
        <v>75371</v>
      </c>
      <c r="E159" s="47">
        <f>D159</f>
        <v>75371</v>
      </c>
      <c r="F159" s="47">
        <f>D159</f>
        <v>75371</v>
      </c>
      <c r="G159" s="48">
        <f>D159/12*4</f>
        <v>25123.666666666668</v>
      </c>
      <c r="J159" s="65"/>
      <c r="K159" s="138">
        <v>41487</v>
      </c>
      <c r="L159" s="127">
        <v>42947</v>
      </c>
    </row>
    <row r="160" spans="1:12">
      <c r="A160" s="64" t="s">
        <v>502</v>
      </c>
      <c r="B160" s="3" t="s">
        <v>521</v>
      </c>
      <c r="C160" s="40" t="s">
        <v>529</v>
      </c>
      <c r="D160" s="47">
        <v>7761</v>
      </c>
      <c r="E160" s="21">
        <v>0</v>
      </c>
      <c r="F160" s="21">
        <v>0</v>
      </c>
      <c r="G160" s="1">
        <v>0</v>
      </c>
      <c r="J160" s="65"/>
      <c r="K160" s="138">
        <v>41138</v>
      </c>
      <c r="L160" s="127">
        <v>41874</v>
      </c>
    </row>
    <row r="161" spans="1:12">
      <c r="A161" s="64" t="s">
        <v>502</v>
      </c>
      <c r="B161" s="3" t="s">
        <v>509</v>
      </c>
      <c r="C161" s="40" t="s">
        <v>530</v>
      </c>
      <c r="D161" s="47">
        <v>14940</v>
      </c>
      <c r="E161" s="47">
        <f>D161</f>
        <v>14940</v>
      </c>
      <c r="F161" s="8">
        <f>D161/12*8</f>
        <v>9960</v>
      </c>
      <c r="G161" s="1">
        <v>0</v>
      </c>
      <c r="J161" s="65"/>
      <c r="K161" s="138">
        <v>41611</v>
      </c>
      <c r="L161" s="127">
        <v>42706</v>
      </c>
    </row>
    <row r="162" spans="1:12" ht="25">
      <c r="A162" s="64" t="s">
        <v>502</v>
      </c>
      <c r="B162" s="3" t="s">
        <v>531</v>
      </c>
      <c r="C162" s="40" t="s">
        <v>532</v>
      </c>
      <c r="D162" s="47">
        <v>27648</v>
      </c>
      <c r="E162" s="21">
        <v>0</v>
      </c>
      <c r="F162" s="21">
        <v>0</v>
      </c>
      <c r="G162" s="1">
        <v>0</v>
      </c>
      <c r="J162" s="65"/>
      <c r="K162" s="138">
        <v>41640</v>
      </c>
      <c r="L162" s="127">
        <v>42004</v>
      </c>
    </row>
    <row r="163" spans="1:12">
      <c r="A163" s="66" t="s">
        <v>502</v>
      </c>
      <c r="B163" s="69" t="s">
        <v>533</v>
      </c>
      <c r="C163" s="77" t="s">
        <v>534</v>
      </c>
      <c r="D163" s="50">
        <v>195800</v>
      </c>
      <c r="E163" s="50">
        <f>D163</f>
        <v>195800</v>
      </c>
      <c r="F163" s="50">
        <f>D163/12*5</f>
        <v>81583.333333333328</v>
      </c>
      <c r="G163" s="23">
        <v>0</v>
      </c>
      <c r="J163" s="70"/>
      <c r="K163" s="138">
        <v>41519</v>
      </c>
      <c r="L163" s="127">
        <v>42614</v>
      </c>
    </row>
    <row r="164" spans="1:12" s="6" customFormat="1" ht="13">
      <c r="A164" s="219" t="s">
        <v>535</v>
      </c>
      <c r="B164" s="220"/>
      <c r="C164" s="78"/>
      <c r="D164" s="42">
        <f>SUM(D147:D163)</f>
        <v>1365357</v>
      </c>
      <c r="E164" s="42">
        <f t="shared" ref="E164:G164" si="11">SUM(E147:E163)</f>
        <v>416849.66666666669</v>
      </c>
      <c r="F164" s="42">
        <f t="shared" si="11"/>
        <v>251083.33333333331</v>
      </c>
      <c r="G164" s="42">
        <f t="shared" si="11"/>
        <v>95014.333333333328</v>
      </c>
      <c r="H164" s="27"/>
      <c r="I164" s="27"/>
      <c r="J164" s="26"/>
      <c r="K164" s="67"/>
      <c r="L164" s="28"/>
    </row>
    <row r="165" spans="1:12">
      <c r="C165" s="40"/>
      <c r="D165" s="8"/>
      <c r="E165" s="8"/>
      <c r="F165" s="8"/>
      <c r="G165" s="8"/>
    </row>
    <row r="166" spans="1:12" ht="13.5" thickBot="1">
      <c r="A166" s="225" t="s">
        <v>536</v>
      </c>
      <c r="B166" s="226"/>
      <c r="C166" s="226"/>
      <c r="D166" s="72">
        <f>D164+D145+D132+D116+D108+D94+D91+D88+D63+D52+D28</f>
        <v>50822832.5</v>
      </c>
      <c r="E166" s="72">
        <f>E164+E145+E132+E116+E108+E94+E91+E88+E63+E52+E28</f>
        <v>33534581.083333332</v>
      </c>
      <c r="F166" s="72">
        <f>F164+F145+F132+F116+F108+F94+F91+F88+F63+F52+F28</f>
        <v>17994181.833333336</v>
      </c>
      <c r="G166" s="72">
        <f>G164+G145+G132+G116+G108+G94+G91+G88+G63+G52+G28</f>
        <v>10640624.083333336</v>
      </c>
    </row>
    <row r="167" spans="1:12" ht="13" thickTop="1"/>
  </sheetData>
  <customSheetViews>
    <customSheetView guid="{6B4526F4-F903-4347-9BAB-BC81BB281495}" scale="85" fitToPage="1" hiddenColumns="1">
      <pane ySplit="4" topLeftCell="A104" activePane="bottomLeft" state="frozen"/>
      <selection pane="bottomLeft" activeCell="A119" sqref="A119"/>
      <pageMargins left="0" right="0" top="0" bottom="0" header="0" footer="0"/>
      <pageSetup paperSize="9" scale="41" orientation="landscape" r:id="rId1"/>
    </customSheetView>
    <customSheetView guid="{90362B46-B06A-4E6C-9981-A1293A7810A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2"/>
    </customSheetView>
    <customSheetView guid="{D5FD720F-285C-4CB2-A72D-E52B7F403E45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3"/>
    </customSheetView>
    <customSheetView guid="{9A623C62-63B8-4DD3-8DFE-FA6BD484E512}" scale="85" fitToPage="1" hiddenColumns="1">
      <pane ySplit="4" topLeftCell="A5" activePane="bottomLeft" state="frozen"/>
      <selection pane="bottomLeft" activeCell="O14" sqref="O14"/>
      <pageMargins left="0" right="0" top="0" bottom="0" header="0" footer="0"/>
      <pageSetup paperSize="9" scale="41" orientation="landscape" r:id="rId4"/>
    </customSheetView>
    <customSheetView guid="{5131A815-DE57-4859-8A73-A9032A3FE50D}" scale="85" fitToPage="1" hiddenColumns="1">
      <pane ySplit="4" topLeftCell="A134" activePane="bottomLeft" state="frozen"/>
      <selection pane="bottomLeft" activeCell="A159" sqref="A159:XFD159"/>
      <pageMargins left="0" right="0" top="0" bottom="0" header="0" footer="0"/>
      <pageSetup paperSize="9" scale="41" orientation="landscape" r:id="rId5"/>
    </customSheetView>
    <customSheetView guid="{E54AD01A-EF8A-4CD0-AD3C-70B039EF58CE}" scale="85" fitToPage="1" hiddenColumns="1">
      <pane ySplit="4" topLeftCell="A5" activePane="bottomLeft" state="frozen"/>
      <selection pane="bottomLeft" activeCell="C1" sqref="C1:C1048576"/>
      <pageMargins left="0" right="0" top="0" bottom="0" header="0" footer="0"/>
      <pageSetup paperSize="9" scale="41" orientation="landscape" r:id="rId6"/>
    </customSheetView>
    <customSheetView guid="{E1BB54EF-CD5F-43AD-834E-DD6D9764954F}" scale="85" fitToPage="1" hiddenColumns="1">
      <pane ySplit="4" topLeftCell="A95" activePane="bottomLeft" state="frozen"/>
      <selection pane="bottomLeft" activeCell="K124" sqref="K124"/>
      <pageMargins left="0" right="0" top="0" bottom="0" header="0" footer="0"/>
      <pageSetup paperSize="9" scale="41" orientation="landscape" r:id="rId7"/>
    </customSheetView>
    <customSheetView guid="{ED5FF4CA-BF50-4538-B3A7-88345F2EFF8F}" scale="85" fitToPage="1" hiddenColumns="1">
      <pane ySplit="4" topLeftCell="A23" activePane="bottomLeft" state="frozen"/>
      <selection pane="bottomLeft" activeCell="M31" sqref="M31"/>
      <pageMargins left="0" right="0" top="0" bottom="0" header="0" footer="0"/>
      <pageSetup paperSize="9" scale="41" orientation="landscape" r:id="rId8"/>
    </customSheetView>
    <customSheetView guid="{F6937C6A-B4E6-40FD-A3EE-A37423C116CF}" scale="85" fitToPage="1" hiddenColumns="1">
      <pane ySplit="4" topLeftCell="A5" activePane="bottomLeft" state="frozen"/>
      <selection pane="bottomLeft" activeCell="A159" sqref="A159:XFD159"/>
      <pageMargins left="0" right="0" top="0" bottom="0" header="0" footer="0"/>
      <pageSetup paperSize="9" scale="41" orientation="landscape" r:id="rId9"/>
    </customSheetView>
    <customSheetView guid="{8AF4C8A2-BF20-4591-9AED-42959CC23F32}" scale="85" fitToPage="1" hiddenColumns="1">
      <pane ySplit="4" topLeftCell="A134" activePane="bottomLeft" state="frozen"/>
      <selection pane="bottomLeft" activeCell="A159" sqref="A159:XFD159"/>
      <pageMargins left="0" right="0" top="0" bottom="0" header="0" footer="0"/>
      <pageSetup paperSize="9" scale="41" orientation="landscape" r:id="rId10"/>
    </customSheetView>
    <customSheetView guid="{3DBE43D9-93DE-4365-8E44-548F97A28FAE}" scale="85" fitToPage="1" hiddenColumns="1" topLeftCell="B1">
      <pane ySplit="4" topLeftCell="A29" activePane="bottomLeft" state="frozen"/>
      <selection pane="bottomLeft" activeCell="L37" sqref="L37"/>
      <pageMargins left="0" right="0" top="0" bottom="0" header="0" footer="0"/>
      <pageSetup paperSize="9" scale="41" orientation="landscape" r:id="rId11"/>
    </customSheetView>
    <customSheetView guid="{1EDCC7DB-EA00-425C-A232-2B947213F1FE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12"/>
    </customSheetView>
    <customSheetView guid="{8FBE7404-30EC-4BE0-BE5C-B8883D73C55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13"/>
    </customSheetView>
    <customSheetView guid="{0DAE2956-B1BF-4A41-BEE2-3874FE1978D4}" scale="85" fitToPage="1" hiddenColumns="1">
      <pane ySplit="4" topLeftCell="A5" activePane="bottomLeft" state="frozen"/>
      <selection pane="bottomLeft" activeCell="B111" sqref="B111"/>
      <pageMargins left="0" right="0" top="0" bottom="0" header="0" footer="0"/>
      <pageSetup paperSize="9" scale="41" orientation="landscape" r:id="rId14"/>
    </customSheetView>
    <customSheetView guid="{C8817622-5016-4969-BE02-B029E94511B8}" scale="85" fitToPage="1" hiddenColumns="1">
      <pane ySplit="4" topLeftCell="A98" activePane="bottomLeft" state="frozen"/>
      <selection pane="bottomLeft" activeCell="A102" sqref="A102"/>
      <pageMargins left="0" right="0" top="0" bottom="0" header="0" footer="0"/>
      <pageSetup paperSize="9" scale="41" orientation="landscape" r:id="rId15"/>
    </customSheetView>
    <customSheetView guid="{F1353556-8513-4163-AB0F-45A4CD4C33F3}" scale="85" fitToPage="1" hiddenColumns="1">
      <pane ySplit="4" topLeftCell="A86" activePane="bottomLeft" state="frozen"/>
      <selection pane="bottomLeft" activeCell="O99" sqref="O99"/>
      <pageMargins left="0" right="0" top="0" bottom="0" header="0" footer="0"/>
      <pageSetup paperSize="9" scale="41" orientation="landscape" r:id="rId16"/>
    </customSheetView>
    <customSheetView guid="{65E72D89-F408-47E9-A76D-42DDA8AA2BAF}" scale="85" fitToPage="1" hiddenColumns="1">
      <pane ySplit="4" topLeftCell="A95" activePane="bottomLeft" state="frozen"/>
      <selection pane="bottomLeft" activeCell="A159" sqref="A159:XFD159"/>
      <pageMargins left="0" right="0" top="0" bottom="0" header="0" footer="0"/>
      <pageSetup paperSize="9" scale="41" orientation="landscape" r:id="rId17"/>
    </customSheetView>
  </customSheetViews>
  <mergeCells count="13">
    <mergeCell ref="A166:C166"/>
    <mergeCell ref="A94:B94"/>
    <mergeCell ref="A108:B108"/>
    <mergeCell ref="A116:B116"/>
    <mergeCell ref="A132:B132"/>
    <mergeCell ref="A145:B145"/>
    <mergeCell ref="A164:B164"/>
    <mergeCell ref="A91:B91"/>
    <mergeCell ref="M6:M7"/>
    <mergeCell ref="A28:B28"/>
    <mergeCell ref="A52:B52"/>
    <mergeCell ref="A63:B63"/>
    <mergeCell ref="A88:B88"/>
  </mergeCells>
  <pageMargins left="0.70866141732283472" right="0.70866141732283472" top="0.74803149606299213" bottom="0.74803149606299213" header="0.31496062992125984" footer="0.31496062992125984"/>
  <pageSetup paperSize="9" scale="41" orientation="landscape" r:id="rId18"/>
  <ignoredErrors>
    <ignoredError sqref="E10 E2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KC Spreadsheet" ma:contentTypeID="0x01010054A39C6B0182D84CB6645B035BA02E08003E4D35FB2501444EB86090164CA3013F" ma:contentTypeVersion="7" ma:contentTypeDescription="MKC Branded Excel Template Document" ma:contentTypeScope="" ma:versionID="ef89130baa5ffd30c39e039c96eb9b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032f31bce0c27f7c959937df3a44a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ee73f336-9c49-41ab-9427-d263034a0100" ContentTypeId="0x01010054A39C6B0182D84CB6645B035BA02E08" PreviousValue="false" LastSyncTimeStamp="2021-10-01T14:39:30.94Z"/>
</file>

<file path=customXml/itemProps1.xml><?xml version="1.0" encoding="utf-8"?>
<ds:datastoreItem xmlns:ds="http://schemas.openxmlformats.org/officeDocument/2006/customXml" ds:itemID="{E227B5A0-265B-4B50-8E86-07DF23C6F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8B7338-7635-41E3-95FC-6AACCFAC9943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35824E1-54D0-4D15-89B8-8EF1D053C1F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B61EF8-DB07-4BA4-8C0B-5146702CEAF8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Voluntary Grants</vt:lpstr>
      <vt:lpstr>Commissioned</vt:lpstr>
      <vt:lpstr>'Voluntary Grants'!Print_Area</vt:lpstr>
    </vt:vector>
  </TitlesOfParts>
  <Manager/>
  <Company>Milton Keynes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sholnes</dc:creator>
  <cp:keywords/>
  <dc:description/>
  <cp:lastModifiedBy>Webb, Amy</cp:lastModifiedBy>
  <cp:revision/>
  <cp:lastPrinted>2022-03-29T10:41:40Z</cp:lastPrinted>
  <dcterms:created xsi:type="dcterms:W3CDTF">2014-11-06T10:14:17Z</dcterms:created>
  <dcterms:modified xsi:type="dcterms:W3CDTF">2022-03-29T10:42:46Z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0x01010054A39C6B0182D84CB6645B035BA02E08003E4D35FB2501444EB86090164CA3013F</vt:lpwstr>
  </property>
  <property fmtid="{D5CDD505-2E9C-101B-9397-08002B2CF9AE}" pid="3" name="Order">
    <vt:r8>3000</vt:r8>
  </property>
</Properties>
</file>