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43659\Desktop\"/>
    </mc:Choice>
  </mc:AlternateContent>
  <xr:revisionPtr revIDLastSave="0" documentId="8_{483F7EE4-0B94-4AB1-A4A3-785A4CF2497B}" xr6:coauthVersionLast="47" xr6:coauthVersionMax="47" xr10:uidLastSave="{00000000-0000-0000-0000-000000000000}"/>
  <bookViews>
    <workbookView xWindow="-108" yWindow="-108" windowWidth="30936" windowHeight="12576" activeTab="6" xr2:uid="{A4ADAD17-A45F-437C-B976-09DBED07CB5B}"/>
  </bookViews>
  <sheets>
    <sheet name="Stock" sheetId="1" r:id="rId1"/>
    <sheet name="Caretaking" sheetId="3" r:id="rId2"/>
    <sheet name="Cleaning" sheetId="4" r:id="rId3"/>
    <sheet name="Gas" sheetId="12" r:id="rId4"/>
    <sheet name="Electricity" sheetId="2" r:id="rId5"/>
    <sheet name="Electricity usage" sheetId="10" r:id="rId6"/>
    <sheet name="Gas usage" sheetId="11" r:id="rId7"/>
  </sheets>
  <definedNames>
    <definedName name="_xlnm._FilterDatabase" localSheetId="5" hidden="1">'Electricity usage'!$A$7:$AM$595</definedName>
    <definedName name="_xlnm._FilterDatabase" localSheetId="3" hidden="1">Gas!$A$4:$M$666</definedName>
    <definedName name="_xlnm._FilterDatabase" localSheetId="6" hidden="1">'Gas usage'!$A$6:$AL$69</definedName>
    <definedName name="_xlnm._FilterDatabase" localSheetId="0" hidden="1">Stock!$B$8:$I$2352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6" i="12" l="1"/>
  <c r="I665" i="12"/>
  <c r="H661" i="12"/>
  <c r="H668" i="12" s="1"/>
  <c r="K659" i="12"/>
  <c r="G659" i="12"/>
  <c r="H656" i="12" s="1"/>
  <c r="I656" i="12" s="1"/>
  <c r="H658" i="12"/>
  <c r="I658" i="12" s="1"/>
  <c r="H657" i="12"/>
  <c r="I657" i="12" s="1"/>
  <c r="H655" i="12"/>
  <c r="I655" i="12" s="1"/>
  <c r="I654" i="12"/>
  <c r="H654" i="12"/>
  <c r="I652" i="12"/>
  <c r="H652" i="12"/>
  <c r="H651" i="12"/>
  <c r="I651" i="12" s="1"/>
  <c r="H650" i="12"/>
  <c r="I650" i="12" s="1"/>
  <c r="H649" i="12"/>
  <c r="I649" i="12" s="1"/>
  <c r="H647" i="12"/>
  <c r="I647" i="12" s="1"/>
  <c r="I646" i="12"/>
  <c r="H646" i="12"/>
  <c r="I644" i="12"/>
  <c r="H644" i="12"/>
  <c r="H643" i="12"/>
  <c r="I643" i="12" s="1"/>
  <c r="H642" i="12"/>
  <c r="I642" i="12" s="1"/>
  <c r="H641" i="12"/>
  <c r="I641" i="12" s="1"/>
  <c r="H639" i="12"/>
  <c r="I639" i="12" s="1"/>
  <c r="I638" i="12"/>
  <c r="H638" i="12"/>
  <c r="I636" i="12"/>
  <c r="H636" i="12"/>
  <c r="H635" i="12"/>
  <c r="I635" i="12" s="1"/>
  <c r="H633" i="12"/>
  <c r="I633" i="12" s="1"/>
  <c r="H632" i="12"/>
  <c r="I632" i="12" s="1"/>
  <c r="H631" i="12"/>
  <c r="I631" i="12" s="1"/>
  <c r="H630" i="12"/>
  <c r="I630" i="12" s="1"/>
  <c r="H629" i="12"/>
  <c r="I629" i="12" s="1"/>
  <c r="H627" i="12"/>
  <c r="I627" i="12" s="1"/>
  <c r="H626" i="12"/>
  <c r="I626" i="12" s="1"/>
  <c r="H625" i="12"/>
  <c r="I625" i="12" s="1"/>
  <c r="H623" i="12"/>
  <c r="I623" i="12" s="1"/>
  <c r="I622" i="12"/>
  <c r="H622" i="12"/>
  <c r="I620" i="12"/>
  <c r="H620" i="12"/>
  <c r="H619" i="12"/>
  <c r="I619" i="12" s="1"/>
  <c r="H617" i="12"/>
  <c r="I617" i="12" s="1"/>
  <c r="H616" i="12"/>
  <c r="I616" i="12" s="1"/>
  <c r="H615" i="12"/>
  <c r="I615" i="12" s="1"/>
  <c r="H614" i="12"/>
  <c r="I614" i="12" s="1"/>
  <c r="H613" i="12"/>
  <c r="I613" i="12" s="1"/>
  <c r="H611" i="12"/>
  <c r="I611" i="12" s="1"/>
  <c r="H610" i="12"/>
  <c r="I610" i="12" s="1"/>
  <c r="H609" i="12"/>
  <c r="I609" i="12" s="1"/>
  <c r="H607" i="12"/>
  <c r="I607" i="12" s="1"/>
  <c r="I606" i="12"/>
  <c r="H606" i="12"/>
  <c r="I604" i="12"/>
  <c r="H604" i="12"/>
  <c r="H603" i="12"/>
  <c r="I603" i="12" s="1"/>
  <c r="H601" i="12"/>
  <c r="I601" i="12" s="1"/>
  <c r="H600" i="12"/>
  <c r="I600" i="12" s="1"/>
  <c r="H599" i="12"/>
  <c r="I599" i="12" s="1"/>
  <c r="H598" i="12"/>
  <c r="I598" i="12" s="1"/>
  <c r="H597" i="12"/>
  <c r="I597" i="12" s="1"/>
  <c r="H596" i="12"/>
  <c r="I596" i="12" s="1"/>
  <c r="H594" i="12"/>
  <c r="I594" i="12" s="1"/>
  <c r="H593" i="12"/>
  <c r="I593" i="12" s="1"/>
  <c r="H592" i="12"/>
  <c r="I592" i="12" s="1"/>
  <c r="I590" i="12"/>
  <c r="H590" i="12"/>
  <c r="H589" i="12"/>
  <c r="I589" i="12" s="1"/>
  <c r="H588" i="12"/>
  <c r="I588" i="12" s="1"/>
  <c r="H587" i="12"/>
  <c r="I587" i="12" s="1"/>
  <c r="H586" i="12"/>
  <c r="I586" i="12" s="1"/>
  <c r="H584" i="12"/>
  <c r="I584" i="12" s="1"/>
  <c r="H583" i="12"/>
  <c r="I583" i="12" s="1"/>
  <c r="H581" i="12"/>
  <c r="I581" i="12" s="1"/>
  <c r="H580" i="12"/>
  <c r="I580" i="12" s="1"/>
  <c r="H579" i="12"/>
  <c r="I579" i="12" s="1"/>
  <c r="H577" i="12"/>
  <c r="I577" i="12" s="1"/>
  <c r="H576" i="12"/>
  <c r="I576" i="12" s="1"/>
  <c r="H575" i="12"/>
  <c r="I575" i="12" s="1"/>
  <c r="H574" i="12"/>
  <c r="I574" i="12" s="1"/>
  <c r="H573" i="12"/>
  <c r="I573" i="12" s="1"/>
  <c r="H572" i="12"/>
  <c r="I572" i="12" s="1"/>
  <c r="H570" i="12"/>
  <c r="I570" i="12" s="1"/>
  <c r="H569" i="12"/>
  <c r="I569" i="12" s="1"/>
  <c r="H568" i="12"/>
  <c r="I568" i="12" s="1"/>
  <c r="I566" i="12"/>
  <c r="H566" i="12"/>
  <c r="H565" i="12"/>
  <c r="I565" i="12" s="1"/>
  <c r="H563" i="12"/>
  <c r="I563" i="12" s="1"/>
  <c r="H562" i="12"/>
  <c r="I562" i="12" s="1"/>
  <c r="H561" i="12"/>
  <c r="I561" i="12" s="1"/>
  <c r="H559" i="12"/>
  <c r="I559" i="12" s="1"/>
  <c r="I558" i="12"/>
  <c r="H558" i="12"/>
  <c r="H556" i="12"/>
  <c r="I556" i="12" s="1"/>
  <c r="H555" i="12"/>
  <c r="I555" i="12" s="1"/>
  <c r="H554" i="12"/>
  <c r="I554" i="12" s="1"/>
  <c r="H552" i="12"/>
  <c r="I552" i="12" s="1"/>
  <c r="H551" i="12"/>
  <c r="I551" i="12" s="1"/>
  <c r="H549" i="12"/>
  <c r="I549" i="12" s="1"/>
  <c r="H548" i="12"/>
  <c r="I548" i="12" s="1"/>
  <c r="H547" i="12"/>
  <c r="I547" i="12" s="1"/>
  <c r="H545" i="12"/>
  <c r="I545" i="12" s="1"/>
  <c r="H544" i="12"/>
  <c r="I544" i="12" s="1"/>
  <c r="H543" i="12"/>
  <c r="I543" i="12" s="1"/>
  <c r="H542" i="12"/>
  <c r="I542" i="12" s="1"/>
  <c r="H541" i="12"/>
  <c r="I541" i="12" s="1"/>
  <c r="H540" i="12"/>
  <c r="I540" i="12" s="1"/>
  <c r="H538" i="12"/>
  <c r="I538" i="12" s="1"/>
  <c r="H537" i="12"/>
  <c r="I537" i="12" s="1"/>
  <c r="H536" i="12"/>
  <c r="I536" i="12" s="1"/>
  <c r="I534" i="12"/>
  <c r="H534" i="12"/>
  <c r="H533" i="12"/>
  <c r="I533" i="12" s="1"/>
  <c r="H531" i="12"/>
  <c r="I531" i="12" s="1"/>
  <c r="H530" i="12"/>
  <c r="I530" i="12" s="1"/>
  <c r="H529" i="12"/>
  <c r="I529" i="12" s="1"/>
  <c r="H527" i="12"/>
  <c r="I527" i="12" s="1"/>
  <c r="I526" i="12"/>
  <c r="H526" i="12"/>
  <c r="H524" i="12"/>
  <c r="I524" i="12" s="1"/>
  <c r="H523" i="12"/>
  <c r="I523" i="12" s="1"/>
  <c r="H522" i="12"/>
  <c r="I522" i="12" s="1"/>
  <c r="H520" i="12"/>
  <c r="I520" i="12" s="1"/>
  <c r="H519" i="12"/>
  <c r="I519" i="12" s="1"/>
  <c r="H517" i="12"/>
  <c r="I517" i="12" s="1"/>
  <c r="H516" i="12"/>
  <c r="I516" i="12" s="1"/>
  <c r="H515" i="12"/>
  <c r="I515" i="12" s="1"/>
  <c r="H513" i="12"/>
  <c r="I513" i="12" s="1"/>
  <c r="H512" i="12"/>
  <c r="I512" i="12" s="1"/>
  <c r="H511" i="12"/>
  <c r="I511" i="12" s="1"/>
  <c r="H510" i="12"/>
  <c r="I510" i="12" s="1"/>
  <c r="H509" i="12"/>
  <c r="I509" i="12" s="1"/>
  <c r="H508" i="12"/>
  <c r="I508" i="12" s="1"/>
  <c r="H506" i="12"/>
  <c r="I506" i="12" s="1"/>
  <c r="H505" i="12"/>
  <c r="I505" i="12" s="1"/>
  <c r="H504" i="12"/>
  <c r="I504" i="12" s="1"/>
  <c r="I502" i="12"/>
  <c r="H502" i="12"/>
  <c r="H501" i="12"/>
  <c r="I501" i="12" s="1"/>
  <c r="H499" i="12"/>
  <c r="I499" i="12" s="1"/>
  <c r="H498" i="12"/>
  <c r="I498" i="12" s="1"/>
  <c r="H497" i="12"/>
  <c r="I497" i="12" s="1"/>
  <c r="H495" i="12"/>
  <c r="I495" i="12" s="1"/>
  <c r="I494" i="12"/>
  <c r="H494" i="12"/>
  <c r="I492" i="12"/>
  <c r="H492" i="12"/>
  <c r="H491" i="12"/>
  <c r="I491" i="12" s="1"/>
  <c r="H490" i="12"/>
  <c r="I490" i="12" s="1"/>
  <c r="H489" i="12"/>
  <c r="I489" i="12" s="1"/>
  <c r="H487" i="12"/>
  <c r="I487" i="12" s="1"/>
  <c r="I486" i="12"/>
  <c r="H486" i="12"/>
  <c r="I484" i="12"/>
  <c r="H484" i="12"/>
  <c r="H483" i="12"/>
  <c r="I483" i="12" s="1"/>
  <c r="H482" i="12"/>
  <c r="I482" i="12" s="1"/>
  <c r="H481" i="12"/>
  <c r="I481" i="12" s="1"/>
  <c r="H479" i="12"/>
  <c r="I479" i="12" s="1"/>
  <c r="I478" i="12"/>
  <c r="H478" i="12"/>
  <c r="I476" i="12"/>
  <c r="H476" i="12"/>
  <c r="H475" i="12"/>
  <c r="I475" i="12" s="1"/>
  <c r="H474" i="12"/>
  <c r="I474" i="12" s="1"/>
  <c r="H473" i="12"/>
  <c r="I473" i="12" s="1"/>
  <c r="H471" i="12"/>
  <c r="I471" i="12" s="1"/>
  <c r="I470" i="12"/>
  <c r="H470" i="12"/>
  <c r="H468" i="12"/>
  <c r="I468" i="12" s="1"/>
  <c r="H467" i="12"/>
  <c r="I467" i="12" s="1"/>
  <c r="H466" i="12"/>
  <c r="I466" i="12" s="1"/>
  <c r="H465" i="12"/>
  <c r="I465" i="12" s="1"/>
  <c r="H463" i="12"/>
  <c r="I463" i="12" s="1"/>
  <c r="I462" i="12"/>
  <c r="H462" i="12"/>
  <c r="H460" i="12"/>
  <c r="I460" i="12" s="1"/>
  <c r="H459" i="12"/>
  <c r="I459" i="12" s="1"/>
  <c r="H458" i="12"/>
  <c r="I458" i="12" s="1"/>
  <c r="H457" i="12"/>
  <c r="I457" i="12" s="1"/>
  <c r="H455" i="12"/>
  <c r="I455" i="12" s="1"/>
  <c r="I454" i="12"/>
  <c r="H454" i="12"/>
  <c r="H452" i="12"/>
  <c r="I452" i="12" s="1"/>
  <c r="H451" i="12"/>
  <c r="I451" i="12" s="1"/>
  <c r="H450" i="12"/>
  <c r="I450" i="12" s="1"/>
  <c r="H449" i="12"/>
  <c r="I449" i="12" s="1"/>
  <c r="H447" i="12"/>
  <c r="I447" i="12" s="1"/>
  <c r="I446" i="12"/>
  <c r="H446" i="12"/>
  <c r="H444" i="12"/>
  <c r="I444" i="12" s="1"/>
  <c r="H443" i="12"/>
  <c r="I443" i="12" s="1"/>
  <c r="H442" i="12"/>
  <c r="I442" i="12" s="1"/>
  <c r="H441" i="12"/>
  <c r="I441" i="12" s="1"/>
  <c r="H439" i="12"/>
  <c r="I439" i="12" s="1"/>
  <c r="I438" i="12"/>
  <c r="H438" i="12"/>
  <c r="H436" i="12"/>
  <c r="I436" i="12" s="1"/>
  <c r="H435" i="12"/>
  <c r="I435" i="12" s="1"/>
  <c r="H434" i="12"/>
  <c r="I434" i="12" s="1"/>
  <c r="H433" i="12"/>
  <c r="I433" i="12" s="1"/>
  <c r="H431" i="12"/>
  <c r="I431" i="12" s="1"/>
  <c r="I430" i="12"/>
  <c r="H430" i="12"/>
  <c r="H428" i="12"/>
  <c r="I428" i="12" s="1"/>
  <c r="K427" i="12"/>
  <c r="G427" i="12"/>
  <c r="H425" i="12" s="1"/>
  <c r="I425" i="12" s="1"/>
  <c r="H419" i="12"/>
  <c r="I419" i="12" s="1"/>
  <c r="H415" i="12"/>
  <c r="I415" i="12" s="1"/>
  <c r="H411" i="12"/>
  <c r="I411" i="12" s="1"/>
  <c r="H407" i="12"/>
  <c r="I407" i="12" s="1"/>
  <c r="H403" i="12"/>
  <c r="I403" i="12" s="1"/>
  <c r="H399" i="12"/>
  <c r="I399" i="12" s="1"/>
  <c r="H395" i="12"/>
  <c r="I395" i="12" s="1"/>
  <c r="H391" i="12"/>
  <c r="I391" i="12" s="1"/>
  <c r="H387" i="12"/>
  <c r="I387" i="12" s="1"/>
  <c r="H383" i="12"/>
  <c r="I383" i="12" s="1"/>
  <c r="H379" i="12"/>
  <c r="I379" i="12" s="1"/>
  <c r="H375" i="12"/>
  <c r="I375" i="12" s="1"/>
  <c r="H371" i="12"/>
  <c r="I371" i="12" s="1"/>
  <c r="H367" i="12"/>
  <c r="I367" i="12" s="1"/>
  <c r="H363" i="12"/>
  <c r="I363" i="12" s="1"/>
  <c r="H359" i="12"/>
  <c r="I359" i="12" s="1"/>
  <c r="H356" i="12"/>
  <c r="I356" i="12" s="1"/>
  <c r="H351" i="12"/>
  <c r="I351" i="12" s="1"/>
  <c r="H348" i="12"/>
  <c r="I348" i="12" s="1"/>
  <c r="H343" i="12"/>
  <c r="I343" i="12" s="1"/>
  <c r="H340" i="12"/>
  <c r="I340" i="12" s="1"/>
  <c r="H335" i="12"/>
  <c r="I335" i="12" s="1"/>
  <c r="H332" i="12"/>
  <c r="I332" i="12" s="1"/>
  <c r="H330" i="12"/>
  <c r="I330" i="12" s="1"/>
  <c r="H327" i="12"/>
  <c r="I327" i="12" s="1"/>
  <c r="H325" i="12"/>
  <c r="I325" i="12" s="1"/>
  <c r="H324" i="12"/>
  <c r="I324" i="12" s="1"/>
  <c r="H322" i="12"/>
  <c r="I322" i="12" s="1"/>
  <c r="H320" i="12"/>
  <c r="I320" i="12" s="1"/>
  <c r="H318" i="12"/>
  <c r="I318" i="12" s="1"/>
  <c r="H316" i="12"/>
  <c r="I316" i="12" s="1"/>
  <c r="H314" i="12"/>
  <c r="I314" i="12" s="1"/>
  <c r="H312" i="12"/>
  <c r="I312" i="12" s="1"/>
  <c r="H310" i="12"/>
  <c r="I310" i="12" s="1"/>
  <c r="H308" i="12"/>
  <c r="I308" i="12" s="1"/>
  <c r="H306" i="12"/>
  <c r="I306" i="12" s="1"/>
  <c r="H305" i="12"/>
  <c r="I305" i="12" s="1"/>
  <c r="H304" i="12"/>
  <c r="I304" i="12" s="1"/>
  <c r="H303" i="12"/>
  <c r="I303" i="12" s="1"/>
  <c r="H302" i="12"/>
  <c r="I302" i="12" s="1"/>
  <c r="H301" i="12"/>
  <c r="I301" i="12" s="1"/>
  <c r="H300" i="12"/>
  <c r="I300" i="12" s="1"/>
  <c r="H299" i="12"/>
  <c r="I299" i="12" s="1"/>
  <c r="H298" i="12"/>
  <c r="I298" i="12" s="1"/>
  <c r="H297" i="12"/>
  <c r="I297" i="12" s="1"/>
  <c r="H296" i="12"/>
  <c r="I296" i="12" s="1"/>
  <c r="H295" i="12"/>
  <c r="I295" i="12" s="1"/>
  <c r="H294" i="12"/>
  <c r="I294" i="12" s="1"/>
  <c r="H293" i="12"/>
  <c r="I293" i="12" s="1"/>
  <c r="H292" i="12"/>
  <c r="I292" i="12" s="1"/>
  <c r="H291" i="12"/>
  <c r="I291" i="12" s="1"/>
  <c r="H290" i="12"/>
  <c r="I290" i="12" s="1"/>
  <c r="H289" i="12"/>
  <c r="I289" i="12" s="1"/>
  <c r="H288" i="12"/>
  <c r="I288" i="12" s="1"/>
  <c r="H287" i="12"/>
  <c r="I287" i="12" s="1"/>
  <c r="H286" i="12"/>
  <c r="I286" i="12" s="1"/>
  <c r="H285" i="12"/>
  <c r="I285" i="12" s="1"/>
  <c r="H284" i="12"/>
  <c r="I284" i="12" s="1"/>
  <c r="H283" i="12"/>
  <c r="I283" i="12" s="1"/>
  <c r="H282" i="12"/>
  <c r="I282" i="12" s="1"/>
  <c r="H281" i="12"/>
  <c r="I281" i="12" s="1"/>
  <c r="H280" i="12"/>
  <c r="I280" i="12" s="1"/>
  <c r="H279" i="12"/>
  <c r="I279" i="12" s="1"/>
  <c r="H278" i="12"/>
  <c r="I278" i="12" s="1"/>
  <c r="H277" i="12"/>
  <c r="I277" i="12" s="1"/>
  <c r="H276" i="12"/>
  <c r="I276" i="12" s="1"/>
  <c r="H275" i="12"/>
  <c r="I275" i="12" s="1"/>
  <c r="H274" i="12"/>
  <c r="I274" i="12" s="1"/>
  <c r="H273" i="12"/>
  <c r="I273" i="12" s="1"/>
  <c r="H272" i="12"/>
  <c r="I272" i="12" s="1"/>
  <c r="H271" i="12"/>
  <c r="I271" i="12" s="1"/>
  <c r="H270" i="12"/>
  <c r="I270" i="12" s="1"/>
  <c r="H269" i="12"/>
  <c r="I269" i="12" s="1"/>
  <c r="H268" i="12"/>
  <c r="I268" i="12" s="1"/>
  <c r="H267" i="12"/>
  <c r="I267" i="12" s="1"/>
  <c r="H266" i="12"/>
  <c r="I266" i="12" s="1"/>
  <c r="H265" i="12"/>
  <c r="I265" i="12" s="1"/>
  <c r="H264" i="12"/>
  <c r="I264" i="12" s="1"/>
  <c r="H263" i="12"/>
  <c r="I263" i="12" s="1"/>
  <c r="H262" i="12"/>
  <c r="I262" i="12" s="1"/>
  <c r="H261" i="12"/>
  <c r="I261" i="12" s="1"/>
  <c r="H260" i="12"/>
  <c r="I260" i="12" s="1"/>
  <c r="H259" i="12"/>
  <c r="I259" i="12" s="1"/>
  <c r="H258" i="12"/>
  <c r="I258" i="12" s="1"/>
  <c r="H257" i="12"/>
  <c r="I257" i="12" s="1"/>
  <c r="H256" i="12"/>
  <c r="I256" i="12" s="1"/>
  <c r="H255" i="12"/>
  <c r="I255" i="12" s="1"/>
  <c r="H254" i="12"/>
  <c r="I254" i="12" s="1"/>
  <c r="H253" i="12"/>
  <c r="I253" i="12" s="1"/>
  <c r="H252" i="12"/>
  <c r="I252" i="12" s="1"/>
  <c r="H251" i="12"/>
  <c r="I251" i="12" s="1"/>
  <c r="H250" i="12"/>
  <c r="I250" i="12" s="1"/>
  <c r="H249" i="12"/>
  <c r="I249" i="12" s="1"/>
  <c r="H248" i="12"/>
  <c r="I248" i="12" s="1"/>
  <c r="H247" i="12"/>
  <c r="I247" i="12" s="1"/>
  <c r="H246" i="12"/>
  <c r="I246" i="12" s="1"/>
  <c r="H245" i="12"/>
  <c r="I245" i="12" s="1"/>
  <c r="H244" i="12"/>
  <c r="I244" i="12" s="1"/>
  <c r="H243" i="12"/>
  <c r="I243" i="12" s="1"/>
  <c r="H242" i="12"/>
  <c r="I242" i="12" s="1"/>
  <c r="H241" i="12"/>
  <c r="I241" i="12" s="1"/>
  <c r="H240" i="12"/>
  <c r="I240" i="12" s="1"/>
  <c r="H239" i="12"/>
  <c r="I239" i="12" s="1"/>
  <c r="H238" i="12"/>
  <c r="I238" i="12" s="1"/>
  <c r="H237" i="12"/>
  <c r="I237" i="12" s="1"/>
  <c r="H236" i="12"/>
  <c r="I236" i="12" s="1"/>
  <c r="H235" i="12"/>
  <c r="I235" i="12" s="1"/>
  <c r="H234" i="12"/>
  <c r="I234" i="12" s="1"/>
  <c r="H233" i="12"/>
  <c r="I233" i="12" s="1"/>
  <c r="H232" i="12"/>
  <c r="I232" i="12" s="1"/>
  <c r="H231" i="12"/>
  <c r="I231" i="12" s="1"/>
  <c r="H230" i="12"/>
  <c r="I230" i="12" s="1"/>
  <c r="H229" i="12"/>
  <c r="I229" i="12" s="1"/>
  <c r="H228" i="12"/>
  <c r="I228" i="12" s="1"/>
  <c r="H227" i="12"/>
  <c r="I227" i="12" s="1"/>
  <c r="H226" i="12"/>
  <c r="I226" i="12" s="1"/>
  <c r="H225" i="12"/>
  <c r="I225" i="12" s="1"/>
  <c r="H224" i="12"/>
  <c r="I224" i="12" s="1"/>
  <c r="H223" i="12"/>
  <c r="I223" i="12" s="1"/>
  <c r="H222" i="12"/>
  <c r="I222" i="12" s="1"/>
  <c r="H221" i="12"/>
  <c r="I221" i="12" s="1"/>
  <c r="H220" i="12"/>
  <c r="I220" i="12" s="1"/>
  <c r="H219" i="12"/>
  <c r="I219" i="12" s="1"/>
  <c r="H218" i="12"/>
  <c r="I218" i="12" s="1"/>
  <c r="H217" i="12"/>
  <c r="I217" i="12" s="1"/>
  <c r="H216" i="12"/>
  <c r="I216" i="12" s="1"/>
  <c r="H215" i="12"/>
  <c r="I215" i="12" s="1"/>
  <c r="H214" i="12"/>
  <c r="I214" i="12" s="1"/>
  <c r="H213" i="12"/>
  <c r="I213" i="12" s="1"/>
  <c r="H212" i="12"/>
  <c r="I212" i="12" s="1"/>
  <c r="H211" i="12"/>
  <c r="I211" i="12" s="1"/>
  <c r="H210" i="12"/>
  <c r="I210" i="12" s="1"/>
  <c r="H209" i="12"/>
  <c r="I209" i="12" s="1"/>
  <c r="H208" i="12"/>
  <c r="I208" i="12" s="1"/>
  <c r="H207" i="12"/>
  <c r="I207" i="12" s="1"/>
  <c r="H206" i="12"/>
  <c r="I206" i="12" s="1"/>
  <c r="H205" i="12"/>
  <c r="I205" i="12" s="1"/>
  <c r="H204" i="12"/>
  <c r="I204" i="12" s="1"/>
  <c r="H203" i="12"/>
  <c r="I203" i="12" s="1"/>
  <c r="I202" i="12"/>
  <c r="H202" i="12"/>
  <c r="H201" i="12"/>
  <c r="I201" i="12" s="1"/>
  <c r="H200" i="12"/>
  <c r="I200" i="12" s="1"/>
  <c r="H199" i="12"/>
  <c r="I199" i="12" s="1"/>
  <c r="H198" i="12"/>
  <c r="I198" i="12" s="1"/>
  <c r="H197" i="12"/>
  <c r="I197" i="12" s="1"/>
  <c r="H196" i="12"/>
  <c r="I196" i="12" s="1"/>
  <c r="H195" i="12"/>
  <c r="I195" i="12" s="1"/>
  <c r="I194" i="12"/>
  <c r="H194" i="12"/>
  <c r="H193" i="12"/>
  <c r="I193" i="12" s="1"/>
  <c r="H192" i="12"/>
  <c r="I192" i="12" s="1"/>
  <c r="H191" i="12"/>
  <c r="I191" i="12" s="1"/>
  <c r="H190" i="12"/>
  <c r="I190" i="12" s="1"/>
  <c r="H189" i="12"/>
  <c r="I189" i="12" s="1"/>
  <c r="H188" i="12"/>
  <c r="I188" i="12" s="1"/>
  <c r="H187" i="12"/>
  <c r="I187" i="12" s="1"/>
  <c r="H186" i="12"/>
  <c r="I186" i="12" s="1"/>
  <c r="H185" i="12"/>
  <c r="I185" i="12" s="1"/>
  <c r="H184" i="12"/>
  <c r="I184" i="12" s="1"/>
  <c r="H183" i="12"/>
  <c r="I183" i="12" s="1"/>
  <c r="I182" i="12"/>
  <c r="H182" i="12"/>
  <c r="H181" i="12"/>
  <c r="I181" i="12" s="1"/>
  <c r="H180" i="12"/>
  <c r="I180" i="12" s="1"/>
  <c r="H179" i="12"/>
  <c r="I179" i="12" s="1"/>
  <c r="I178" i="12"/>
  <c r="H178" i="12"/>
  <c r="H177" i="12"/>
  <c r="I177" i="12" s="1"/>
  <c r="H176" i="12"/>
  <c r="I176" i="12" s="1"/>
  <c r="H175" i="12"/>
  <c r="I175" i="12" s="1"/>
  <c r="H174" i="12"/>
  <c r="I174" i="12" s="1"/>
  <c r="H173" i="12"/>
  <c r="I173" i="12" s="1"/>
  <c r="H172" i="12"/>
  <c r="I172" i="12" s="1"/>
  <c r="H171" i="12"/>
  <c r="I171" i="12" s="1"/>
  <c r="I170" i="12"/>
  <c r="H170" i="12"/>
  <c r="H169" i="12"/>
  <c r="I169" i="12" s="1"/>
  <c r="H168" i="12"/>
  <c r="I168" i="12" s="1"/>
  <c r="H167" i="12"/>
  <c r="I167" i="12" s="1"/>
  <c r="H166" i="12"/>
  <c r="I166" i="12" s="1"/>
  <c r="K165" i="12"/>
  <c r="G165" i="12"/>
  <c r="H164" i="12" s="1"/>
  <c r="I164" i="12" s="1"/>
  <c r="K158" i="12"/>
  <c r="G158" i="12"/>
  <c r="H155" i="12" s="1"/>
  <c r="I155" i="12" s="1"/>
  <c r="K151" i="12"/>
  <c r="G151" i="12"/>
  <c r="H149" i="12" s="1"/>
  <c r="I149" i="12" s="1"/>
  <c r="H148" i="12"/>
  <c r="I148" i="12" s="1"/>
  <c r="H147" i="12"/>
  <c r="I147" i="12" s="1"/>
  <c r="K144" i="12"/>
  <c r="G144" i="12"/>
  <c r="H140" i="12" s="1"/>
  <c r="I140" i="12" s="1"/>
  <c r="H142" i="12"/>
  <c r="I142" i="12" s="1"/>
  <c r="K137" i="12"/>
  <c r="G137" i="12"/>
  <c r="H133" i="12"/>
  <c r="I133" i="12" s="1"/>
  <c r="H132" i="12"/>
  <c r="I132" i="12" s="1"/>
  <c r="H131" i="12"/>
  <c r="I131" i="12" s="1"/>
  <c r="K130" i="12"/>
  <c r="G130" i="12"/>
  <c r="H127" i="12" s="1"/>
  <c r="I127" i="12" s="1"/>
  <c r="H128" i="12"/>
  <c r="I128" i="12" s="1"/>
  <c r="H126" i="12"/>
  <c r="I126" i="12" s="1"/>
  <c r="H124" i="12"/>
  <c r="I124" i="12" s="1"/>
  <c r="K123" i="12"/>
  <c r="G123" i="12"/>
  <c r="H122" i="12"/>
  <c r="I122" i="12" s="1"/>
  <c r="H121" i="12"/>
  <c r="I121" i="12" s="1"/>
  <c r="H120" i="12"/>
  <c r="I120" i="12" s="1"/>
  <c r="H119" i="12"/>
  <c r="I119" i="12" s="1"/>
  <c r="H118" i="12"/>
  <c r="I118" i="12" s="1"/>
  <c r="H117" i="12"/>
  <c r="I117" i="12" s="1"/>
  <c r="H116" i="12"/>
  <c r="I116" i="12" s="1"/>
  <c r="H115" i="12"/>
  <c r="I115" i="12" s="1"/>
  <c r="H114" i="12"/>
  <c r="I114" i="12" s="1"/>
  <c r="H113" i="12"/>
  <c r="I113" i="12" s="1"/>
  <c r="H112" i="12"/>
  <c r="I112" i="12" s="1"/>
  <c r="H111" i="12"/>
  <c r="I111" i="12" s="1"/>
  <c r="K110" i="12"/>
  <c r="G110" i="12"/>
  <c r="H109" i="12" s="1"/>
  <c r="I109" i="12" s="1"/>
  <c r="K97" i="12"/>
  <c r="G97" i="12"/>
  <c r="H96" i="12" s="1"/>
  <c r="I96" i="12" s="1"/>
  <c r="H93" i="12"/>
  <c r="I93" i="12" s="1"/>
  <c r="H91" i="12"/>
  <c r="I91" i="12" s="1"/>
  <c r="H89" i="12"/>
  <c r="I89" i="12" s="1"/>
  <c r="H87" i="12"/>
  <c r="I87" i="12" s="1"/>
  <c r="H85" i="12"/>
  <c r="I85" i="12" s="1"/>
  <c r="K84" i="12"/>
  <c r="G84" i="12"/>
  <c r="H81" i="12" s="1"/>
  <c r="I81" i="12" s="1"/>
  <c r="H82" i="12"/>
  <c r="I82" i="12" s="1"/>
  <c r="H80" i="12"/>
  <c r="I80" i="12" s="1"/>
  <c r="H78" i="12"/>
  <c r="I78" i="12" s="1"/>
  <c r="H76" i="12"/>
  <c r="I76" i="12" s="1"/>
  <c r="H74" i="12"/>
  <c r="I74" i="12" s="1"/>
  <c r="H72" i="12"/>
  <c r="I72" i="12" s="1"/>
  <c r="K71" i="12"/>
  <c r="G71" i="12"/>
  <c r="H70" i="12" s="1"/>
  <c r="I70" i="12" s="1"/>
  <c r="H69" i="12"/>
  <c r="I69" i="12" s="1"/>
  <c r="H67" i="12"/>
  <c r="I67" i="12" s="1"/>
  <c r="H65" i="12"/>
  <c r="I65" i="12" s="1"/>
  <c r="H63" i="12"/>
  <c r="I63" i="12" s="1"/>
  <c r="H61" i="12"/>
  <c r="I61" i="12" s="1"/>
  <c r="H59" i="12"/>
  <c r="I59" i="12" s="1"/>
  <c r="K58" i="12"/>
  <c r="G58" i="12"/>
  <c r="H57" i="12" s="1"/>
  <c r="I57" i="12" s="1"/>
  <c r="K51" i="12"/>
  <c r="G51" i="12"/>
  <c r="H50" i="12" s="1"/>
  <c r="I50" i="12" s="1"/>
  <c r="I48" i="12"/>
  <c r="H48" i="12"/>
  <c r="I46" i="12"/>
  <c r="H46" i="12"/>
  <c r="K44" i="12"/>
  <c r="G44" i="12"/>
  <c r="H43" i="12" s="1"/>
  <c r="I43" i="12" s="1"/>
  <c r="H42" i="12"/>
  <c r="I42" i="12" s="1"/>
  <c r="H38" i="12"/>
  <c r="I38" i="12" s="1"/>
  <c r="H36" i="12"/>
  <c r="I36" i="12" s="1"/>
  <c r="H34" i="12"/>
  <c r="I34" i="12" s="1"/>
  <c r="K31" i="12"/>
  <c r="G31" i="12"/>
  <c r="H30" i="12" s="1"/>
  <c r="I30" i="12" s="1"/>
  <c r="I29" i="12"/>
  <c r="H29" i="12"/>
  <c r="I27" i="12"/>
  <c r="H27" i="12"/>
  <c r="I25" i="12"/>
  <c r="H25" i="12"/>
  <c r="K24" i="12"/>
  <c r="G24" i="12"/>
  <c r="H22" i="12" s="1"/>
  <c r="I22" i="12" s="1"/>
  <c r="H23" i="12"/>
  <c r="I23" i="12" s="1"/>
  <c r="H21" i="12"/>
  <c r="I21" i="12" s="1"/>
  <c r="H20" i="12"/>
  <c r="I20" i="12" s="1"/>
  <c r="H19" i="12"/>
  <c r="I19" i="12" s="1"/>
  <c r="H18" i="12"/>
  <c r="I18" i="12" s="1"/>
  <c r="K17" i="12"/>
  <c r="G17" i="12"/>
  <c r="H16" i="12" s="1"/>
  <c r="I16" i="12" s="1"/>
  <c r="H15" i="12"/>
  <c r="I15" i="12" s="1"/>
  <c r="H13" i="12"/>
  <c r="I13" i="12" s="1"/>
  <c r="K11" i="12"/>
  <c r="J11" i="12"/>
  <c r="G11" i="12"/>
  <c r="H10" i="12" s="1"/>
  <c r="I10" i="12" s="1"/>
  <c r="I123" i="12" l="1"/>
  <c r="H26" i="12"/>
  <c r="I26" i="12" s="1"/>
  <c r="I31" i="12" s="1"/>
  <c r="H28" i="12"/>
  <c r="I28" i="12" s="1"/>
  <c r="H32" i="12"/>
  <c r="I32" i="12" s="1"/>
  <c r="H40" i="12"/>
  <c r="I40" i="12" s="1"/>
  <c r="H45" i="12"/>
  <c r="I45" i="12" s="1"/>
  <c r="H47" i="12"/>
  <c r="I47" i="12" s="1"/>
  <c r="H49" i="12"/>
  <c r="I49" i="12" s="1"/>
  <c r="H52" i="12"/>
  <c r="I52" i="12" s="1"/>
  <c r="H75" i="12"/>
  <c r="I75" i="12" s="1"/>
  <c r="H79" i="12"/>
  <c r="I79" i="12" s="1"/>
  <c r="I84" i="12" s="1"/>
  <c r="H83" i="12"/>
  <c r="I83" i="12" s="1"/>
  <c r="H104" i="12"/>
  <c r="I104" i="12" s="1"/>
  <c r="H125" i="12"/>
  <c r="I125" i="12" s="1"/>
  <c r="H129" i="12"/>
  <c r="I129" i="12" s="1"/>
  <c r="I130" i="12" s="1"/>
  <c r="H145" i="12"/>
  <c r="I145" i="12" s="1"/>
  <c r="H150" i="12"/>
  <c r="I150" i="12" s="1"/>
  <c r="H154" i="12"/>
  <c r="I154" i="12" s="1"/>
  <c r="H102" i="12"/>
  <c r="I102" i="12" s="1"/>
  <c r="H152" i="12"/>
  <c r="I152" i="12" s="1"/>
  <c r="H60" i="12"/>
  <c r="I60" i="12" s="1"/>
  <c r="I71" i="12" s="1"/>
  <c r="H62" i="12"/>
  <c r="I62" i="12" s="1"/>
  <c r="H64" i="12"/>
  <c r="I64" i="12" s="1"/>
  <c r="H66" i="12"/>
  <c r="I66" i="12" s="1"/>
  <c r="H68" i="12"/>
  <c r="I68" i="12" s="1"/>
  <c r="H86" i="12"/>
  <c r="I86" i="12" s="1"/>
  <c r="H88" i="12"/>
  <c r="I88" i="12" s="1"/>
  <c r="H90" i="12"/>
  <c r="I90" i="12" s="1"/>
  <c r="H92" i="12"/>
  <c r="I92" i="12" s="1"/>
  <c r="H95" i="12"/>
  <c r="I95" i="12" s="1"/>
  <c r="H98" i="12"/>
  <c r="I98" i="12" s="1"/>
  <c r="H106" i="12"/>
  <c r="I106" i="12" s="1"/>
  <c r="H157" i="12"/>
  <c r="I157" i="12" s="1"/>
  <c r="H153" i="12"/>
  <c r="I153" i="12" s="1"/>
  <c r="H5" i="12"/>
  <c r="H14" i="12"/>
  <c r="H7" i="12"/>
  <c r="I7" i="12" s="1"/>
  <c r="H12" i="12"/>
  <c r="I12" i="12" s="1"/>
  <c r="H73" i="12"/>
  <c r="I73" i="12" s="1"/>
  <c r="H77" i="12"/>
  <c r="I77" i="12" s="1"/>
  <c r="H100" i="12"/>
  <c r="I100" i="12" s="1"/>
  <c r="H108" i="12"/>
  <c r="I108" i="12" s="1"/>
  <c r="H136" i="12"/>
  <c r="I136" i="12" s="1"/>
  <c r="H135" i="12"/>
  <c r="I135" i="12" s="1"/>
  <c r="H143" i="12"/>
  <c r="I143" i="12" s="1"/>
  <c r="H138" i="12"/>
  <c r="I138" i="12" s="1"/>
  <c r="H146" i="12"/>
  <c r="I146" i="12" s="1"/>
  <c r="H156" i="12"/>
  <c r="I156" i="12" s="1"/>
  <c r="H429" i="12"/>
  <c r="I429" i="12" s="1"/>
  <c r="H432" i="12"/>
  <c r="I432" i="12" s="1"/>
  <c r="I659" i="12" s="1"/>
  <c r="H437" i="12"/>
  <c r="I437" i="12" s="1"/>
  <c r="H440" i="12"/>
  <c r="I440" i="12" s="1"/>
  <c r="H445" i="12"/>
  <c r="I445" i="12" s="1"/>
  <c r="H448" i="12"/>
  <c r="I448" i="12" s="1"/>
  <c r="H453" i="12"/>
  <c r="I453" i="12" s="1"/>
  <c r="H456" i="12"/>
  <c r="I456" i="12" s="1"/>
  <c r="H461" i="12"/>
  <c r="I461" i="12" s="1"/>
  <c r="H464" i="12"/>
  <c r="I464" i="12" s="1"/>
  <c r="H469" i="12"/>
  <c r="I469" i="12" s="1"/>
  <c r="H472" i="12"/>
  <c r="I472" i="12" s="1"/>
  <c r="H477" i="12"/>
  <c r="I477" i="12" s="1"/>
  <c r="H480" i="12"/>
  <c r="I480" i="12" s="1"/>
  <c r="H485" i="12"/>
  <c r="I485" i="12" s="1"/>
  <c r="H488" i="12"/>
  <c r="I488" i="12" s="1"/>
  <c r="H493" i="12"/>
  <c r="I493" i="12" s="1"/>
  <c r="H496" i="12"/>
  <c r="I496" i="12" s="1"/>
  <c r="H500" i="12"/>
  <c r="I500" i="12" s="1"/>
  <c r="H503" i="12"/>
  <c r="I503" i="12" s="1"/>
  <c r="H507" i="12"/>
  <c r="I507" i="12" s="1"/>
  <c r="H514" i="12"/>
  <c r="I514" i="12" s="1"/>
  <c r="H518" i="12"/>
  <c r="I518" i="12" s="1"/>
  <c r="H521" i="12"/>
  <c r="I521" i="12" s="1"/>
  <c r="H525" i="12"/>
  <c r="I525" i="12" s="1"/>
  <c r="H528" i="12"/>
  <c r="I528" i="12" s="1"/>
  <c r="H532" i="12"/>
  <c r="I532" i="12" s="1"/>
  <c r="H535" i="12"/>
  <c r="I535" i="12" s="1"/>
  <c r="H539" i="12"/>
  <c r="I539" i="12" s="1"/>
  <c r="H546" i="12"/>
  <c r="I546" i="12" s="1"/>
  <c r="H550" i="12"/>
  <c r="I550" i="12" s="1"/>
  <c r="H553" i="12"/>
  <c r="I553" i="12" s="1"/>
  <c r="H557" i="12"/>
  <c r="I557" i="12" s="1"/>
  <c r="H560" i="12"/>
  <c r="I560" i="12" s="1"/>
  <c r="H564" i="12"/>
  <c r="I564" i="12" s="1"/>
  <c r="H567" i="12"/>
  <c r="I567" i="12" s="1"/>
  <c r="H571" i="12"/>
  <c r="I571" i="12" s="1"/>
  <c r="H578" i="12"/>
  <c r="I578" i="12" s="1"/>
  <c r="H582" i="12"/>
  <c r="I582" i="12" s="1"/>
  <c r="H585" i="12"/>
  <c r="I585" i="12" s="1"/>
  <c r="H591" i="12"/>
  <c r="I591" i="12" s="1"/>
  <c r="H595" i="12"/>
  <c r="I595" i="12" s="1"/>
  <c r="H602" i="12"/>
  <c r="I602" i="12" s="1"/>
  <c r="H605" i="12"/>
  <c r="I605" i="12" s="1"/>
  <c r="H608" i="12"/>
  <c r="I608" i="12" s="1"/>
  <c r="H612" i="12"/>
  <c r="I612" i="12" s="1"/>
  <c r="H618" i="12"/>
  <c r="I618" i="12" s="1"/>
  <c r="H621" i="12"/>
  <c r="I621" i="12" s="1"/>
  <c r="H624" i="12"/>
  <c r="I624" i="12" s="1"/>
  <c r="H628" i="12"/>
  <c r="I628" i="12" s="1"/>
  <c r="H634" i="12"/>
  <c r="I634" i="12" s="1"/>
  <c r="H637" i="12"/>
  <c r="I637" i="12" s="1"/>
  <c r="H640" i="12"/>
  <c r="I640" i="12" s="1"/>
  <c r="H645" i="12"/>
  <c r="I645" i="12" s="1"/>
  <c r="H648" i="12"/>
  <c r="I648" i="12" s="1"/>
  <c r="H653" i="12"/>
  <c r="I653" i="12" s="1"/>
  <c r="I24" i="12"/>
  <c r="H94" i="12"/>
  <c r="I94" i="12" s="1"/>
  <c r="H134" i="12"/>
  <c r="I134" i="12" s="1"/>
  <c r="I137" i="12" s="1"/>
  <c r="H160" i="12"/>
  <c r="I160" i="12" s="1"/>
  <c r="H162" i="12"/>
  <c r="I162" i="12" s="1"/>
  <c r="H9" i="12"/>
  <c r="I9" i="12" s="1"/>
  <c r="H33" i="12"/>
  <c r="H39" i="12"/>
  <c r="I39" i="12" s="1"/>
  <c r="H54" i="12"/>
  <c r="I54" i="12" s="1"/>
  <c r="H56" i="12"/>
  <c r="I56" i="12" s="1"/>
  <c r="I5" i="12"/>
  <c r="H35" i="12"/>
  <c r="I35" i="12" s="1"/>
  <c r="H37" i="12"/>
  <c r="I37" i="12" s="1"/>
  <c r="H41" i="12"/>
  <c r="I41" i="12" s="1"/>
  <c r="H6" i="12"/>
  <c r="I6" i="12" s="1"/>
  <c r="H8" i="12"/>
  <c r="I8" i="12" s="1"/>
  <c r="H159" i="12"/>
  <c r="I159" i="12" s="1"/>
  <c r="H161" i="12"/>
  <c r="I161" i="12" s="1"/>
  <c r="H163" i="12"/>
  <c r="I163" i="12" s="1"/>
  <c r="H53" i="12"/>
  <c r="I53" i="12" s="1"/>
  <c r="H55" i="12"/>
  <c r="I55" i="12" s="1"/>
  <c r="H99" i="12"/>
  <c r="I99" i="12" s="1"/>
  <c r="H101" i="12"/>
  <c r="I101" i="12" s="1"/>
  <c r="H103" i="12"/>
  <c r="I103" i="12" s="1"/>
  <c r="H105" i="12"/>
  <c r="I105" i="12" s="1"/>
  <c r="H107" i="12"/>
  <c r="I107" i="12" s="1"/>
  <c r="H139" i="12"/>
  <c r="I139" i="12" s="1"/>
  <c r="I144" i="12" s="1"/>
  <c r="H141" i="12"/>
  <c r="I141" i="12" s="1"/>
  <c r="H326" i="12"/>
  <c r="I326" i="12" s="1"/>
  <c r="H329" i="12"/>
  <c r="I329" i="12" s="1"/>
  <c r="H334" i="12"/>
  <c r="I334" i="12" s="1"/>
  <c r="H337" i="12"/>
  <c r="I337" i="12" s="1"/>
  <c r="H342" i="12"/>
  <c r="I342" i="12" s="1"/>
  <c r="H345" i="12"/>
  <c r="I345" i="12" s="1"/>
  <c r="H350" i="12"/>
  <c r="I350" i="12" s="1"/>
  <c r="H353" i="12"/>
  <c r="I353" i="12" s="1"/>
  <c r="H358" i="12"/>
  <c r="I358" i="12" s="1"/>
  <c r="H426" i="12"/>
  <c r="I426" i="12" s="1"/>
  <c r="H424" i="12"/>
  <c r="I424" i="12" s="1"/>
  <c r="H422" i="12"/>
  <c r="I422" i="12" s="1"/>
  <c r="H420" i="12"/>
  <c r="I420" i="12" s="1"/>
  <c r="H418" i="12"/>
  <c r="I418" i="12" s="1"/>
  <c r="H416" i="12"/>
  <c r="I416" i="12" s="1"/>
  <c r="H414" i="12"/>
  <c r="I414" i="12" s="1"/>
  <c r="H412" i="12"/>
  <c r="I412" i="12" s="1"/>
  <c r="H410" i="12"/>
  <c r="I410" i="12" s="1"/>
  <c r="H408" i="12"/>
  <c r="I408" i="12" s="1"/>
  <c r="H406" i="12"/>
  <c r="I406" i="12" s="1"/>
  <c r="H404" i="12"/>
  <c r="I404" i="12" s="1"/>
  <c r="H402" i="12"/>
  <c r="I402" i="12" s="1"/>
  <c r="H400" i="12"/>
  <c r="I400" i="12" s="1"/>
  <c r="H398" i="12"/>
  <c r="I398" i="12" s="1"/>
  <c r="H396" i="12"/>
  <c r="I396" i="12" s="1"/>
  <c r="H394" i="12"/>
  <c r="I394" i="12" s="1"/>
  <c r="H392" i="12"/>
  <c r="I392" i="12" s="1"/>
  <c r="H390" i="12"/>
  <c r="I390" i="12" s="1"/>
  <c r="H388" i="12"/>
  <c r="I388" i="12" s="1"/>
  <c r="H386" i="12"/>
  <c r="I386" i="12" s="1"/>
  <c r="H384" i="12"/>
  <c r="I384" i="12" s="1"/>
  <c r="H382" i="12"/>
  <c r="I382" i="12" s="1"/>
  <c r="H380" i="12"/>
  <c r="I380" i="12" s="1"/>
  <c r="H378" i="12"/>
  <c r="I378" i="12" s="1"/>
  <c r="H376" i="12"/>
  <c r="I376" i="12" s="1"/>
  <c r="H374" i="12"/>
  <c r="I374" i="12" s="1"/>
  <c r="H372" i="12"/>
  <c r="I372" i="12" s="1"/>
  <c r="H370" i="12"/>
  <c r="I370" i="12" s="1"/>
  <c r="H368" i="12"/>
  <c r="I368" i="12" s="1"/>
  <c r="H366" i="12"/>
  <c r="I366" i="12" s="1"/>
  <c r="H364" i="12"/>
  <c r="I364" i="12" s="1"/>
  <c r="H362" i="12"/>
  <c r="I362" i="12" s="1"/>
  <c r="H360" i="12"/>
  <c r="I360" i="12" s="1"/>
  <c r="H333" i="12"/>
  <c r="I333" i="12" s="1"/>
  <c r="H338" i="12"/>
  <c r="I338" i="12" s="1"/>
  <c r="H341" i="12"/>
  <c r="I341" i="12" s="1"/>
  <c r="H346" i="12"/>
  <c r="I346" i="12" s="1"/>
  <c r="H349" i="12"/>
  <c r="I349" i="12" s="1"/>
  <c r="H354" i="12"/>
  <c r="I354" i="12" s="1"/>
  <c r="H357" i="12"/>
  <c r="I357" i="12" s="1"/>
  <c r="H421" i="12"/>
  <c r="I421" i="12" s="1"/>
  <c r="H307" i="12"/>
  <c r="I307" i="12" s="1"/>
  <c r="H309" i="12"/>
  <c r="I309" i="12" s="1"/>
  <c r="H311" i="12"/>
  <c r="I311" i="12" s="1"/>
  <c r="H313" i="12"/>
  <c r="I313" i="12" s="1"/>
  <c r="H315" i="12"/>
  <c r="I315" i="12" s="1"/>
  <c r="H317" i="12"/>
  <c r="I317" i="12" s="1"/>
  <c r="H319" i="12"/>
  <c r="I319" i="12" s="1"/>
  <c r="H321" i="12"/>
  <c r="I321" i="12" s="1"/>
  <c r="H323" i="12"/>
  <c r="I323" i="12" s="1"/>
  <c r="H328" i="12"/>
  <c r="I328" i="12" s="1"/>
  <c r="H331" i="12"/>
  <c r="I331" i="12" s="1"/>
  <c r="H336" i="12"/>
  <c r="I336" i="12" s="1"/>
  <c r="H339" i="12"/>
  <c r="I339" i="12" s="1"/>
  <c r="H344" i="12"/>
  <c r="I344" i="12" s="1"/>
  <c r="H347" i="12"/>
  <c r="I347" i="12" s="1"/>
  <c r="H352" i="12"/>
  <c r="I352" i="12" s="1"/>
  <c r="H355" i="12"/>
  <c r="I355" i="12" s="1"/>
  <c r="H361" i="12"/>
  <c r="I361" i="12" s="1"/>
  <c r="H365" i="12"/>
  <c r="I365" i="12" s="1"/>
  <c r="H369" i="12"/>
  <c r="I369" i="12" s="1"/>
  <c r="H373" i="12"/>
  <c r="I373" i="12" s="1"/>
  <c r="H377" i="12"/>
  <c r="I377" i="12" s="1"/>
  <c r="H381" i="12"/>
  <c r="I381" i="12" s="1"/>
  <c r="H385" i="12"/>
  <c r="I385" i="12" s="1"/>
  <c r="H389" i="12"/>
  <c r="I389" i="12" s="1"/>
  <c r="H393" i="12"/>
  <c r="I393" i="12" s="1"/>
  <c r="H397" i="12"/>
  <c r="I397" i="12" s="1"/>
  <c r="H401" i="12"/>
  <c r="I401" i="12" s="1"/>
  <c r="H405" i="12"/>
  <c r="I405" i="12" s="1"/>
  <c r="H409" i="12"/>
  <c r="I409" i="12" s="1"/>
  <c r="H413" i="12"/>
  <c r="I413" i="12" s="1"/>
  <c r="H417" i="12"/>
  <c r="I417" i="12" s="1"/>
  <c r="H423" i="12"/>
  <c r="I423" i="12" s="1"/>
  <c r="I110" i="12" l="1"/>
  <c r="I97" i="12"/>
  <c r="I51" i="12"/>
  <c r="I427" i="12"/>
  <c r="H670" i="12"/>
  <c r="G4" i="1" s="1"/>
  <c r="I14" i="12"/>
  <c r="I17" i="12" s="1"/>
  <c r="I58" i="12"/>
  <c r="I158" i="12"/>
  <c r="I151" i="12"/>
  <c r="H672" i="12"/>
  <c r="I11" i="12"/>
  <c r="H671" i="12"/>
  <c r="I33" i="12"/>
  <c r="I44" i="12" s="1"/>
  <c r="I165" i="12"/>
  <c r="AD69" i="11"/>
  <c r="AC69" i="11"/>
  <c r="Z69" i="11"/>
  <c r="V69" i="11"/>
  <c r="U69" i="11"/>
  <c r="AE69" i="11" s="1"/>
  <c r="N69" i="11" a="1"/>
  <c r="N69" i="11" s="1"/>
  <c r="AD68" i="11"/>
  <c r="AC68" i="11"/>
  <c r="Z68" i="11"/>
  <c r="V68" i="11"/>
  <c r="AF68" i="11" s="1"/>
  <c r="U68" i="11"/>
  <c r="AE68" i="11" s="1"/>
  <c r="N68" i="11" a="1"/>
  <c r="N68" i="11" s="1"/>
  <c r="AD67" i="11"/>
  <c r="AC67" i="11"/>
  <c r="AI67" i="11" s="1"/>
  <c r="Z67" i="11"/>
  <c r="AF67" i="11" s="1"/>
  <c r="V67" i="11"/>
  <c r="U67" i="11"/>
  <c r="AE67" i="11" s="1"/>
  <c r="N67" i="11" a="1"/>
  <c r="N67" i="11" s="1"/>
  <c r="AD66" i="11"/>
  <c r="AC66" i="11"/>
  <c r="Z66" i="11"/>
  <c r="V66" i="11"/>
  <c r="U66" i="11"/>
  <c r="AE66" i="11" s="1"/>
  <c r="N66" i="11" a="1"/>
  <c r="N66" i="11" s="1"/>
  <c r="AD65" i="11"/>
  <c r="AC65" i="11"/>
  <c r="AI65" i="11" s="1"/>
  <c r="Z65" i="11"/>
  <c r="AF65" i="11" s="1"/>
  <c r="V65" i="11"/>
  <c r="U65" i="11"/>
  <c r="AE65" i="11" s="1"/>
  <c r="N65" i="11" a="1"/>
  <c r="N65" i="11" s="1"/>
  <c r="AD64" i="11"/>
  <c r="AC64" i="11"/>
  <c r="Z64" i="11"/>
  <c r="V64" i="11"/>
  <c r="U64" i="11"/>
  <c r="AE64" i="11" s="1"/>
  <c r="N64" i="11" a="1"/>
  <c r="N64" i="11" s="1"/>
  <c r="AD63" i="11"/>
  <c r="AC63" i="11"/>
  <c r="AI63" i="11" s="1"/>
  <c r="Z63" i="11"/>
  <c r="AF63" i="11" s="1"/>
  <c r="V63" i="11"/>
  <c r="U63" i="11"/>
  <c r="AE63" i="11" s="1"/>
  <c r="N63" i="11" a="1"/>
  <c r="N63" i="11" s="1"/>
  <c r="AD62" i="11"/>
  <c r="AC62" i="11"/>
  <c r="Z62" i="11"/>
  <c r="V62" i="11"/>
  <c r="U62" i="11"/>
  <c r="AE62" i="11" s="1"/>
  <c r="N62" i="11" a="1"/>
  <c r="N62" i="11" s="1"/>
  <c r="AD61" i="11"/>
  <c r="AC61" i="11"/>
  <c r="Z61" i="11"/>
  <c r="AF61" i="11" s="1"/>
  <c r="V61" i="11"/>
  <c r="U61" i="11"/>
  <c r="AE61" i="11" s="1"/>
  <c r="N61" i="11" a="1"/>
  <c r="N61" i="11" s="1"/>
  <c r="AD60" i="11"/>
  <c r="AC60" i="11"/>
  <c r="Z60" i="11"/>
  <c r="V60" i="11"/>
  <c r="U60" i="11"/>
  <c r="AE60" i="11" s="1"/>
  <c r="N60" i="11" a="1"/>
  <c r="N60" i="11" s="1"/>
  <c r="AD59" i="11"/>
  <c r="AC59" i="11"/>
  <c r="Z59" i="11"/>
  <c r="AF59" i="11" s="1"/>
  <c r="V59" i="11"/>
  <c r="U59" i="11"/>
  <c r="AE59" i="11" s="1"/>
  <c r="N59" i="11" a="1"/>
  <c r="N59" i="11" s="1"/>
  <c r="AD58" i="11"/>
  <c r="AC58" i="11"/>
  <c r="Z58" i="11"/>
  <c r="V58" i="11"/>
  <c r="U58" i="11"/>
  <c r="AE58" i="11" s="1"/>
  <c r="N58" i="11" a="1"/>
  <c r="N58" i="11" s="1"/>
  <c r="AD57" i="11"/>
  <c r="AC57" i="11"/>
  <c r="Z57" i="11"/>
  <c r="AF57" i="11" s="1"/>
  <c r="V57" i="11"/>
  <c r="U57" i="11"/>
  <c r="AE57" i="11" s="1"/>
  <c r="N57" i="11" a="1"/>
  <c r="N57" i="11" s="1"/>
  <c r="AD56" i="11"/>
  <c r="AC56" i="11"/>
  <c r="Z56" i="11"/>
  <c r="V56" i="11"/>
  <c r="U56" i="11"/>
  <c r="AE56" i="11" s="1"/>
  <c r="N56" i="11" a="1"/>
  <c r="N56" i="11" s="1"/>
  <c r="AD55" i="11"/>
  <c r="AC55" i="11"/>
  <c r="Z55" i="11"/>
  <c r="AF55" i="11" s="1"/>
  <c r="V55" i="11"/>
  <c r="U55" i="11"/>
  <c r="AE55" i="11" s="1"/>
  <c r="N55" i="11" a="1"/>
  <c r="N55" i="11" s="1"/>
  <c r="AD54" i="11"/>
  <c r="AC54" i="11"/>
  <c r="Z54" i="11"/>
  <c r="V54" i="11"/>
  <c r="U54" i="11"/>
  <c r="AE54" i="11" s="1"/>
  <c r="N54" i="11" a="1"/>
  <c r="N54" i="11" s="1"/>
  <c r="AD53" i="11"/>
  <c r="AC53" i="11"/>
  <c r="Z53" i="11"/>
  <c r="AF53" i="11" s="1"/>
  <c r="V53" i="11"/>
  <c r="U53" i="11"/>
  <c r="AE53" i="11" s="1"/>
  <c r="N53" i="11" a="1"/>
  <c r="N53" i="11" s="1"/>
  <c r="AD52" i="11"/>
  <c r="AC52" i="11"/>
  <c r="Z52" i="11"/>
  <c r="V52" i="11"/>
  <c r="U52" i="11"/>
  <c r="AE52" i="11" s="1"/>
  <c r="N52" i="11" a="1"/>
  <c r="N52" i="11" s="1"/>
  <c r="AD51" i="11"/>
  <c r="AC51" i="11"/>
  <c r="Z51" i="11"/>
  <c r="AF51" i="11" s="1"/>
  <c r="V51" i="11"/>
  <c r="U51" i="11"/>
  <c r="AE51" i="11" s="1"/>
  <c r="N51" i="11" a="1"/>
  <c r="N51" i="11" s="1"/>
  <c r="AD50" i="11"/>
  <c r="AC50" i="11"/>
  <c r="Z50" i="11"/>
  <c r="V50" i="11"/>
  <c r="U50" i="11"/>
  <c r="AE50" i="11" s="1"/>
  <c r="N50" i="11" a="1"/>
  <c r="N50" i="11" s="1"/>
  <c r="AD49" i="11"/>
  <c r="AC49" i="11"/>
  <c r="Z49" i="11"/>
  <c r="AF49" i="11" s="1"/>
  <c r="V49" i="11"/>
  <c r="U49" i="11"/>
  <c r="AE49" i="11" s="1"/>
  <c r="N49" i="11" a="1"/>
  <c r="N49" i="11" s="1"/>
  <c r="AD48" i="11"/>
  <c r="AC48" i="11"/>
  <c r="Z48" i="11"/>
  <c r="V48" i="11"/>
  <c r="U48" i="11"/>
  <c r="AE48" i="11" s="1"/>
  <c r="N48" i="11" a="1"/>
  <c r="N48" i="11" s="1"/>
  <c r="AD47" i="11"/>
  <c r="AC47" i="11"/>
  <c r="Z47" i="11"/>
  <c r="AF47" i="11" s="1"/>
  <c r="V47" i="11"/>
  <c r="U47" i="11"/>
  <c r="AE47" i="11" s="1"/>
  <c r="N47" i="11" a="1"/>
  <c r="N47" i="11" s="1"/>
  <c r="AD46" i="11"/>
  <c r="AC46" i="11"/>
  <c r="Z46" i="11"/>
  <c r="V46" i="11"/>
  <c r="U46" i="11"/>
  <c r="AE46" i="11" s="1"/>
  <c r="N46" i="11" a="1"/>
  <c r="N46" i="11" s="1"/>
  <c r="AD45" i="11"/>
  <c r="AC45" i="11"/>
  <c r="Z45" i="11"/>
  <c r="AF45" i="11" s="1"/>
  <c r="V45" i="11"/>
  <c r="U45" i="11"/>
  <c r="AE45" i="11" s="1"/>
  <c r="N45" i="11" a="1"/>
  <c r="N45" i="11" s="1"/>
  <c r="AD44" i="11"/>
  <c r="AC44" i="11"/>
  <c r="Z44" i="11"/>
  <c r="V44" i="11"/>
  <c r="U44" i="11"/>
  <c r="AE44" i="11" s="1"/>
  <c r="N44" i="11" a="1"/>
  <c r="N44" i="11" s="1"/>
  <c r="AD43" i="11"/>
  <c r="AC43" i="11"/>
  <c r="Z43" i="11"/>
  <c r="AF43" i="11" s="1"/>
  <c r="V43" i="11"/>
  <c r="U43" i="11"/>
  <c r="AE43" i="11" s="1"/>
  <c r="N43" i="11" a="1"/>
  <c r="N43" i="11" s="1"/>
  <c r="AD42" i="11"/>
  <c r="AC42" i="11"/>
  <c r="Z42" i="11"/>
  <c r="V42" i="11"/>
  <c r="U42" i="11"/>
  <c r="AE42" i="11" s="1"/>
  <c r="N42" i="11" a="1"/>
  <c r="N42" i="11" s="1"/>
  <c r="AD41" i="11"/>
  <c r="AC41" i="11"/>
  <c r="Z41" i="11"/>
  <c r="AF41" i="11" s="1"/>
  <c r="V41" i="11"/>
  <c r="U41" i="11"/>
  <c r="AE41" i="11" s="1"/>
  <c r="N41" i="11" a="1"/>
  <c r="N41" i="11" s="1"/>
  <c r="AD40" i="11"/>
  <c r="AC40" i="11"/>
  <c r="Z40" i="11"/>
  <c r="V40" i="11"/>
  <c r="AF40" i="11" s="1"/>
  <c r="U40" i="11"/>
  <c r="AE40" i="11" s="1"/>
  <c r="N40" i="11" a="1"/>
  <c r="N40" i="11" s="1"/>
  <c r="AD39" i="11"/>
  <c r="AC39" i="11"/>
  <c r="Z39" i="11"/>
  <c r="V39" i="11"/>
  <c r="AF39" i="11" s="1"/>
  <c r="U39" i="11"/>
  <c r="AE39" i="11" s="1"/>
  <c r="N39" i="11" a="1"/>
  <c r="N39" i="11" s="1"/>
  <c r="AD38" i="11"/>
  <c r="AC38" i="11"/>
  <c r="Z38" i="11"/>
  <c r="AF38" i="11" s="1"/>
  <c r="V38" i="11"/>
  <c r="U38" i="11"/>
  <c r="AE38" i="11" s="1"/>
  <c r="N38" i="11" a="1"/>
  <c r="N38" i="11" s="1"/>
  <c r="AD37" i="11"/>
  <c r="AC37" i="11"/>
  <c r="Z37" i="11"/>
  <c r="V37" i="11"/>
  <c r="U37" i="11"/>
  <c r="AE37" i="11" s="1"/>
  <c r="N37" i="11" a="1"/>
  <c r="N37" i="11" s="1"/>
  <c r="AD36" i="11"/>
  <c r="AC36" i="11"/>
  <c r="Z36" i="11"/>
  <c r="V36" i="11"/>
  <c r="AF36" i="11" s="1"/>
  <c r="U36" i="11"/>
  <c r="AE36" i="11" s="1"/>
  <c r="N36" i="11" a="1"/>
  <c r="N36" i="11" s="1"/>
  <c r="AD35" i="11"/>
  <c r="AC35" i="11"/>
  <c r="Z35" i="11"/>
  <c r="V35" i="11"/>
  <c r="AF35" i="11" s="1"/>
  <c r="U35" i="11"/>
  <c r="AE35" i="11" s="1"/>
  <c r="N35" i="11" a="1"/>
  <c r="N35" i="11" s="1"/>
  <c r="AD34" i="11"/>
  <c r="AC34" i="11"/>
  <c r="Z34" i="11"/>
  <c r="V34" i="11"/>
  <c r="U34" i="11"/>
  <c r="AE34" i="11" s="1"/>
  <c r="N34" i="11" a="1"/>
  <c r="N34" i="11" s="1"/>
  <c r="AD33" i="11"/>
  <c r="AC33" i="11"/>
  <c r="Z33" i="11"/>
  <c r="AF33" i="11" s="1"/>
  <c r="V33" i="11"/>
  <c r="U33" i="11"/>
  <c r="AE33" i="11" s="1"/>
  <c r="N33" i="11" a="1"/>
  <c r="N33" i="11" s="1"/>
  <c r="AD32" i="11"/>
  <c r="AC32" i="11"/>
  <c r="Z32" i="11"/>
  <c r="V32" i="11"/>
  <c r="AF32" i="11" s="1"/>
  <c r="U32" i="11"/>
  <c r="AE32" i="11" s="1"/>
  <c r="N32" i="11" a="1"/>
  <c r="N32" i="11" s="1"/>
  <c r="AD31" i="11"/>
  <c r="AC31" i="11"/>
  <c r="Z31" i="11"/>
  <c r="V31" i="11"/>
  <c r="AF31" i="11" s="1"/>
  <c r="U31" i="11"/>
  <c r="AE31" i="11" s="1"/>
  <c r="N31" i="11" a="1"/>
  <c r="N31" i="11" s="1"/>
  <c r="AD30" i="11"/>
  <c r="AC30" i="11"/>
  <c r="Z30" i="11"/>
  <c r="AF30" i="11" s="1"/>
  <c r="V30" i="11"/>
  <c r="U30" i="11"/>
  <c r="AE30" i="11" s="1"/>
  <c r="N30" i="11" a="1"/>
  <c r="N30" i="11" s="1"/>
  <c r="AD29" i="11"/>
  <c r="AC29" i="11"/>
  <c r="Z29" i="11"/>
  <c r="V29" i="11"/>
  <c r="U29" i="11"/>
  <c r="AE29" i="11" s="1"/>
  <c r="N29" i="11" a="1"/>
  <c r="N29" i="11" s="1"/>
  <c r="AD28" i="11"/>
  <c r="AC28" i="11"/>
  <c r="Z28" i="11"/>
  <c r="V28" i="11"/>
  <c r="AF28" i="11" s="1"/>
  <c r="U28" i="11"/>
  <c r="AE28" i="11" s="1"/>
  <c r="N28" i="11" a="1"/>
  <c r="N28" i="11" s="1"/>
  <c r="AD27" i="11"/>
  <c r="AC27" i="11"/>
  <c r="Z27" i="11"/>
  <c r="V27" i="11"/>
  <c r="AF27" i="11" s="1"/>
  <c r="U27" i="11"/>
  <c r="AE27" i="11" s="1"/>
  <c r="N27" i="11" a="1"/>
  <c r="N27" i="11" s="1"/>
  <c r="AD26" i="11"/>
  <c r="AC26" i="11"/>
  <c r="Z26" i="11"/>
  <c r="V26" i="11"/>
  <c r="U26" i="11"/>
  <c r="AE26" i="11" s="1"/>
  <c r="N26" i="11" a="1"/>
  <c r="N26" i="11" s="1"/>
  <c r="AD25" i="11"/>
  <c r="AC25" i="11"/>
  <c r="Z25" i="11"/>
  <c r="AF25" i="11" s="1"/>
  <c r="V25" i="11"/>
  <c r="U25" i="11"/>
  <c r="AE25" i="11" s="1"/>
  <c r="N25" i="11" a="1"/>
  <c r="N25" i="11" s="1"/>
  <c r="AD24" i="11"/>
  <c r="AC24" i="11"/>
  <c r="Z24" i="11"/>
  <c r="V24" i="11"/>
  <c r="AF24" i="11" s="1"/>
  <c r="U24" i="11"/>
  <c r="AE24" i="11" s="1"/>
  <c r="N24" i="11" a="1"/>
  <c r="N24" i="11" s="1"/>
  <c r="AD23" i="11"/>
  <c r="AC23" i="11"/>
  <c r="Z23" i="11"/>
  <c r="V23" i="11"/>
  <c r="AF23" i="11" s="1"/>
  <c r="U23" i="11"/>
  <c r="AE23" i="11" s="1"/>
  <c r="N23" i="11" a="1"/>
  <c r="N23" i="11" s="1"/>
  <c r="AD22" i="11"/>
  <c r="AC22" i="11"/>
  <c r="Z22" i="11"/>
  <c r="AF22" i="11" s="1"/>
  <c r="V22" i="11"/>
  <c r="U22" i="11"/>
  <c r="AE22" i="11" s="1"/>
  <c r="N22" i="11" a="1"/>
  <c r="N22" i="11" s="1"/>
  <c r="AD21" i="11"/>
  <c r="AC21" i="11"/>
  <c r="Z21" i="11"/>
  <c r="V21" i="11"/>
  <c r="U21" i="11"/>
  <c r="AE21" i="11" s="1"/>
  <c r="N21" i="11" a="1"/>
  <c r="N21" i="11" s="1"/>
  <c r="AD20" i="11"/>
  <c r="AC20" i="11"/>
  <c r="Z20" i="11"/>
  <c r="V20" i="11"/>
  <c r="AF20" i="11" s="1"/>
  <c r="U20" i="11"/>
  <c r="AE20" i="11" s="1"/>
  <c r="N20" i="11" a="1"/>
  <c r="N20" i="11" s="1"/>
  <c r="AD19" i="11"/>
  <c r="AC19" i="11"/>
  <c r="Z19" i="11"/>
  <c r="V19" i="11"/>
  <c r="AF19" i="11" s="1"/>
  <c r="U19" i="11"/>
  <c r="AE19" i="11" s="1"/>
  <c r="N19" i="11" a="1"/>
  <c r="N19" i="11" s="1"/>
  <c r="AD18" i="11"/>
  <c r="AC18" i="11"/>
  <c r="Z18" i="11"/>
  <c r="V18" i="11"/>
  <c r="U18" i="11"/>
  <c r="AE18" i="11" s="1"/>
  <c r="N18" i="11" a="1"/>
  <c r="N18" i="11" s="1"/>
  <c r="AD17" i="11"/>
  <c r="AC17" i="11"/>
  <c r="Z17" i="11"/>
  <c r="AF17" i="11" s="1"/>
  <c r="V17" i="11"/>
  <c r="U17" i="11"/>
  <c r="AE17" i="11" s="1"/>
  <c r="N17" i="11" a="1"/>
  <c r="N17" i="11" s="1"/>
  <c r="AD16" i="11"/>
  <c r="AC16" i="11"/>
  <c r="Z16" i="11"/>
  <c r="V16" i="11"/>
  <c r="AF16" i="11" s="1"/>
  <c r="U16" i="11"/>
  <c r="AE16" i="11" s="1"/>
  <c r="N16" i="11" a="1"/>
  <c r="N16" i="11" s="1"/>
  <c r="AD15" i="11"/>
  <c r="AC15" i="11"/>
  <c r="Z15" i="11"/>
  <c r="V15" i="11"/>
  <c r="AF15" i="11" s="1"/>
  <c r="U15" i="11"/>
  <c r="AE15" i="11" s="1"/>
  <c r="N15" i="11" a="1"/>
  <c r="N15" i="11" s="1"/>
  <c r="AD14" i="11"/>
  <c r="AC14" i="11"/>
  <c r="Z14" i="11"/>
  <c r="AF14" i="11" s="1"/>
  <c r="V14" i="11"/>
  <c r="U14" i="11"/>
  <c r="AE14" i="11" s="1"/>
  <c r="N14" i="11" a="1"/>
  <c r="N14" i="11" s="1"/>
  <c r="AD13" i="11"/>
  <c r="AC13" i="11"/>
  <c r="Z13" i="11"/>
  <c r="V13" i="11"/>
  <c r="U13" i="11"/>
  <c r="AE13" i="11" s="1"/>
  <c r="N13" i="11"/>
  <c r="N13" i="11" a="1"/>
  <c r="AE12" i="11"/>
  <c r="AD12" i="11"/>
  <c r="AC12" i="11"/>
  <c r="Z12" i="11"/>
  <c r="V12" i="11"/>
  <c r="AF12" i="11" s="1"/>
  <c r="U12" i="11"/>
  <c r="N12" i="11" a="1"/>
  <c r="N12" i="11" s="1"/>
  <c r="AD11" i="11"/>
  <c r="AC11" i="11"/>
  <c r="Z11" i="11"/>
  <c r="AF11" i="11" s="1"/>
  <c r="V11" i="11"/>
  <c r="U11" i="11"/>
  <c r="AE11" i="11" s="1"/>
  <c r="N11" i="11"/>
  <c r="N11" i="11" a="1"/>
  <c r="AE10" i="11"/>
  <c r="AD10" i="11"/>
  <c r="AC10" i="11"/>
  <c r="Z10" i="11"/>
  <c r="V10" i="11"/>
  <c r="U10" i="11"/>
  <c r="N10" i="11" a="1"/>
  <c r="N10" i="11" s="1"/>
  <c r="AD9" i="11"/>
  <c r="AC9" i="11"/>
  <c r="Z9" i="11"/>
  <c r="AF9" i="11" s="1"/>
  <c r="AI9" i="11" s="1"/>
  <c r="V9" i="11"/>
  <c r="U9" i="11"/>
  <c r="AE9" i="11" s="1"/>
  <c r="N9" i="11" a="1"/>
  <c r="N9" i="11" s="1"/>
  <c r="AE8" i="11"/>
  <c r="AD8" i="11"/>
  <c r="AC8" i="11"/>
  <c r="Z8" i="11"/>
  <c r="V8" i="11"/>
  <c r="U8" i="11"/>
  <c r="N8" i="11" a="1"/>
  <c r="N8" i="11" s="1"/>
  <c r="AE491" i="10"/>
  <c r="AD491" i="10"/>
  <c r="AA491" i="10"/>
  <c r="Z491" i="10"/>
  <c r="V491" i="10"/>
  <c r="AG491" i="10" s="1"/>
  <c r="U491" i="10"/>
  <c r="N491" i="10" a="1"/>
  <c r="N491" i="10" s="1"/>
  <c r="AE490" i="10"/>
  <c r="AD490" i="10"/>
  <c r="Z490" i="10"/>
  <c r="V490" i="10"/>
  <c r="U490" i="10"/>
  <c r="N490" i="10" a="1"/>
  <c r="N490" i="10" s="1"/>
  <c r="AE489" i="10"/>
  <c r="AD489" i="10"/>
  <c r="Z489" i="10"/>
  <c r="AA489" i="10" s="1"/>
  <c r="V489" i="10"/>
  <c r="U489" i="10"/>
  <c r="AF489" i="10" s="1"/>
  <c r="N489" i="10" a="1"/>
  <c r="N489" i="10" s="1"/>
  <c r="AE487" i="10"/>
  <c r="AD487" i="10"/>
  <c r="AA487" i="10"/>
  <c r="Z487" i="10"/>
  <c r="V487" i="10"/>
  <c r="U487" i="10"/>
  <c r="AF487" i="10" s="1"/>
  <c r="N487" i="10"/>
  <c r="N487" i="10" a="1"/>
  <c r="AE486" i="10"/>
  <c r="AD486" i="10"/>
  <c r="AA486" i="10"/>
  <c r="AG486" i="10" s="1"/>
  <c r="V486" i="10"/>
  <c r="U486" i="10"/>
  <c r="AF486" i="10" s="1"/>
  <c r="N486" i="10" a="1"/>
  <c r="N486" i="10" s="1"/>
  <c r="AE485" i="10"/>
  <c r="AD485" i="10"/>
  <c r="AA485" i="10"/>
  <c r="Z485" i="10"/>
  <c r="V485" i="10"/>
  <c r="AG485" i="10" s="1"/>
  <c r="U485" i="10"/>
  <c r="AF485" i="10" s="1"/>
  <c r="N485" i="10" a="1"/>
  <c r="N485" i="10" s="1"/>
  <c r="AE484" i="10"/>
  <c r="AD484" i="10"/>
  <c r="Z484" i="10"/>
  <c r="AA484" i="10" s="1"/>
  <c r="V484" i="10"/>
  <c r="U484" i="10"/>
  <c r="N484" i="10" a="1"/>
  <c r="N484" i="10" s="1"/>
  <c r="AE483" i="10"/>
  <c r="AD483" i="10"/>
  <c r="Z483" i="10"/>
  <c r="AA483" i="10" s="1"/>
  <c r="AG483" i="10" s="1"/>
  <c r="V483" i="10"/>
  <c r="U483" i="10"/>
  <c r="N483" i="10" a="1"/>
  <c r="N483" i="10" s="1"/>
  <c r="AE482" i="10"/>
  <c r="AD482" i="10"/>
  <c r="Z482" i="10"/>
  <c r="AA482" i="10" s="1"/>
  <c r="V482" i="10"/>
  <c r="U482" i="10"/>
  <c r="AF482" i="10" s="1"/>
  <c r="N482" i="10" a="1"/>
  <c r="N482" i="10" s="1"/>
  <c r="AE481" i="10"/>
  <c r="AD481" i="10"/>
  <c r="Z481" i="10"/>
  <c r="AA481" i="10" s="1"/>
  <c r="V481" i="10"/>
  <c r="U481" i="10"/>
  <c r="AF481" i="10" s="1"/>
  <c r="N481" i="10" a="1"/>
  <c r="N481" i="10" s="1"/>
  <c r="AE480" i="10"/>
  <c r="AD480" i="10"/>
  <c r="AA480" i="10"/>
  <c r="Z480" i="10"/>
  <c r="V480" i="10"/>
  <c r="U480" i="10"/>
  <c r="AF480" i="10" s="1"/>
  <c r="N480" i="10"/>
  <c r="N480" i="10" a="1"/>
  <c r="AE479" i="10"/>
  <c r="AD479" i="10"/>
  <c r="AA479" i="10"/>
  <c r="AG479" i="10" s="1"/>
  <c r="Z479" i="10"/>
  <c r="V479" i="10"/>
  <c r="U479" i="10"/>
  <c r="AF479" i="10" s="1"/>
  <c r="N479" i="10"/>
  <c r="N479" i="10" a="1"/>
  <c r="AE478" i="10"/>
  <c r="AD478" i="10"/>
  <c r="Z478" i="10"/>
  <c r="AA478" i="10" s="1"/>
  <c r="V478" i="10"/>
  <c r="U478" i="10"/>
  <c r="AF478" i="10" s="1"/>
  <c r="N478" i="10" a="1"/>
  <c r="N478" i="10" s="1"/>
  <c r="AE477" i="10"/>
  <c r="AD477" i="10"/>
  <c r="Z477" i="10"/>
  <c r="AA477" i="10" s="1"/>
  <c r="V477" i="10"/>
  <c r="U477" i="10"/>
  <c r="N477" i="10" a="1"/>
  <c r="N477" i="10" s="1"/>
  <c r="AE476" i="10"/>
  <c r="AD476" i="10"/>
  <c r="Z476" i="10"/>
  <c r="AA476" i="10" s="1"/>
  <c r="V476" i="10"/>
  <c r="U476" i="10"/>
  <c r="N476" i="10" a="1"/>
  <c r="N476" i="10" s="1"/>
  <c r="AE475" i="10"/>
  <c r="AD475" i="10"/>
  <c r="Z475" i="10"/>
  <c r="AA475" i="10" s="1"/>
  <c r="AG475" i="10" s="1"/>
  <c r="V475" i="10"/>
  <c r="U475" i="10"/>
  <c r="N475" i="10" a="1"/>
  <c r="N475" i="10" s="1"/>
  <c r="AE474" i="10"/>
  <c r="AD474" i="10"/>
  <c r="Z474" i="10"/>
  <c r="AA474" i="10" s="1"/>
  <c r="V474" i="10"/>
  <c r="U474" i="10"/>
  <c r="N474" i="10" a="1"/>
  <c r="N474" i="10" s="1"/>
  <c r="AE473" i="10"/>
  <c r="AD473" i="10"/>
  <c r="Z473" i="10"/>
  <c r="AA473" i="10" s="1"/>
  <c r="V473" i="10"/>
  <c r="U473" i="10"/>
  <c r="N473" i="10" a="1"/>
  <c r="N473" i="10" s="1"/>
  <c r="AE472" i="10"/>
  <c r="AD472" i="10"/>
  <c r="Z472" i="10"/>
  <c r="AA472" i="10" s="1"/>
  <c r="V472" i="10"/>
  <c r="U472" i="10"/>
  <c r="N472" i="10" a="1"/>
  <c r="N472" i="10" s="1"/>
  <c r="AE471" i="10"/>
  <c r="AD471" i="10"/>
  <c r="AA471" i="10"/>
  <c r="AG471" i="10" s="1"/>
  <c r="Z471" i="10"/>
  <c r="V471" i="10"/>
  <c r="U471" i="10"/>
  <c r="N471" i="10" a="1"/>
  <c r="N471" i="10" s="1"/>
  <c r="AE470" i="10"/>
  <c r="AD470" i="10"/>
  <c r="Z470" i="10"/>
  <c r="V470" i="10"/>
  <c r="U470" i="10"/>
  <c r="N470" i="10" a="1"/>
  <c r="N470" i="10" s="1"/>
  <c r="AE469" i="10"/>
  <c r="AD469" i="10"/>
  <c r="Z469" i="10"/>
  <c r="AA469" i="10" s="1"/>
  <c r="V469" i="10"/>
  <c r="U469" i="10"/>
  <c r="AF469" i="10" s="1"/>
  <c r="N469" i="10" a="1"/>
  <c r="N469" i="10" s="1"/>
  <c r="AE468" i="10"/>
  <c r="AD468" i="10"/>
  <c r="AA468" i="10"/>
  <c r="V468" i="10"/>
  <c r="U468" i="10"/>
  <c r="AF468" i="10" s="1"/>
  <c r="N468" i="10" a="1"/>
  <c r="N468" i="10" s="1"/>
  <c r="AE467" i="10"/>
  <c r="AD467" i="10"/>
  <c r="Z467" i="10"/>
  <c r="AA467" i="10" s="1"/>
  <c r="V467" i="10"/>
  <c r="U467" i="10"/>
  <c r="N467" i="10" a="1"/>
  <c r="N467" i="10" s="1"/>
  <c r="AE466" i="10"/>
  <c r="AD466" i="10"/>
  <c r="AA466" i="10"/>
  <c r="V466" i="10"/>
  <c r="AG466" i="10" s="1"/>
  <c r="U466" i="10"/>
  <c r="AF466" i="10" s="1"/>
  <c r="N466" i="10" a="1"/>
  <c r="N466" i="10" s="1"/>
  <c r="AF465" i="10"/>
  <c r="AE465" i="10"/>
  <c r="AD465" i="10"/>
  <c r="AA465" i="10"/>
  <c r="V465" i="10"/>
  <c r="U465" i="10"/>
  <c r="N465" i="10" a="1"/>
  <c r="N465" i="10" s="1"/>
  <c r="AE464" i="10"/>
  <c r="AD464" i="10"/>
  <c r="Z464" i="10"/>
  <c r="AA464" i="10" s="1"/>
  <c r="V464" i="10"/>
  <c r="AG464" i="10" s="1"/>
  <c r="U464" i="10"/>
  <c r="AF464" i="10" s="1"/>
  <c r="N464" i="10" a="1"/>
  <c r="N464" i="10" s="1"/>
  <c r="AE463" i="10"/>
  <c r="AD463" i="10"/>
  <c r="Z463" i="10"/>
  <c r="AA463" i="10" s="1"/>
  <c r="AG463" i="10" s="1"/>
  <c r="V463" i="10"/>
  <c r="U463" i="10"/>
  <c r="N463" i="10" a="1"/>
  <c r="N463" i="10" s="1"/>
  <c r="AE462" i="10"/>
  <c r="AD462" i="10"/>
  <c r="AA462" i="10"/>
  <c r="Z462" i="10"/>
  <c r="V462" i="10"/>
  <c r="AG462" i="10" s="1"/>
  <c r="U462" i="10"/>
  <c r="AF462" i="10" s="1"/>
  <c r="N462" i="10"/>
  <c r="N462" i="10" a="1"/>
  <c r="AE461" i="10"/>
  <c r="AD461" i="10"/>
  <c r="Z461" i="10"/>
  <c r="AA461" i="10" s="1"/>
  <c r="V461" i="10"/>
  <c r="AG461" i="10" s="1"/>
  <c r="U461" i="10"/>
  <c r="AF461" i="10" s="1"/>
  <c r="N461" i="10" a="1"/>
  <c r="N461" i="10" s="1"/>
  <c r="AE460" i="10"/>
  <c r="AD460" i="10"/>
  <c r="Z460" i="10"/>
  <c r="AA460" i="10" s="1"/>
  <c r="V460" i="10"/>
  <c r="U460" i="10"/>
  <c r="N460" i="10" a="1"/>
  <c r="N460" i="10" s="1"/>
  <c r="AE459" i="10"/>
  <c r="AD459" i="10"/>
  <c r="Z459" i="10"/>
  <c r="AA459" i="10" s="1"/>
  <c r="AG459" i="10" s="1"/>
  <c r="V459" i="10"/>
  <c r="U459" i="10"/>
  <c r="AF459" i="10" s="1"/>
  <c r="N459" i="10" a="1"/>
  <c r="N459" i="10" s="1"/>
  <c r="AE457" i="10"/>
  <c r="AD457" i="10"/>
  <c r="AA457" i="10"/>
  <c r="AG457" i="10" s="1"/>
  <c r="V457" i="10"/>
  <c r="U457" i="10"/>
  <c r="AF457" i="10" s="1"/>
  <c r="N457" i="10" a="1"/>
  <c r="N457" i="10" s="1"/>
  <c r="AE454" i="10"/>
  <c r="AD454" i="10"/>
  <c r="Z454" i="10"/>
  <c r="AA454" i="10" s="1"/>
  <c r="V454" i="10"/>
  <c r="U454" i="10"/>
  <c r="AF454" i="10" s="1"/>
  <c r="N454" i="10" a="1"/>
  <c r="N454" i="10" s="1"/>
  <c r="AE453" i="10"/>
  <c r="AD453" i="10"/>
  <c r="AJ453" i="10" s="1"/>
  <c r="AA453" i="10"/>
  <c r="AG453" i="10" s="1"/>
  <c r="V453" i="10"/>
  <c r="U453" i="10"/>
  <c r="AF453" i="10" s="1"/>
  <c r="N453" i="10" a="1"/>
  <c r="N453" i="10" s="1"/>
  <c r="AE452" i="10"/>
  <c r="AD452" i="10"/>
  <c r="AA452" i="10"/>
  <c r="V452" i="10"/>
  <c r="U452" i="10"/>
  <c r="AF452" i="10" s="1"/>
  <c r="N452" i="10" a="1"/>
  <c r="N452" i="10" s="1"/>
  <c r="AE451" i="10"/>
  <c r="AD451" i="10"/>
  <c r="Z451" i="10"/>
  <c r="AA451" i="10" s="1"/>
  <c r="V451" i="10"/>
  <c r="U451" i="10"/>
  <c r="AF451" i="10" s="1"/>
  <c r="N451" i="10" a="1"/>
  <c r="N451" i="10" s="1"/>
  <c r="AE450" i="10"/>
  <c r="AD450" i="10"/>
  <c r="AA450" i="10"/>
  <c r="AG450" i="10" s="1"/>
  <c r="Z450" i="10"/>
  <c r="V450" i="10"/>
  <c r="U450" i="10"/>
  <c r="N450" i="10"/>
  <c r="N450" i="10" a="1"/>
  <c r="AE449" i="10"/>
  <c r="AD449" i="10"/>
  <c r="Z449" i="10"/>
  <c r="AA449" i="10" s="1"/>
  <c r="V449" i="10"/>
  <c r="U449" i="10"/>
  <c r="N449" i="10" a="1"/>
  <c r="N449" i="10" s="1"/>
  <c r="AE448" i="10"/>
  <c r="AD448" i="10"/>
  <c r="Z448" i="10"/>
  <c r="V448" i="10"/>
  <c r="U448" i="10"/>
  <c r="N448" i="10" a="1"/>
  <c r="N448" i="10" s="1"/>
  <c r="AE447" i="10"/>
  <c r="AD447" i="10"/>
  <c r="AA447" i="10"/>
  <c r="V447" i="10"/>
  <c r="U447" i="10"/>
  <c r="AF447" i="10" s="1"/>
  <c r="N447" i="10" a="1"/>
  <c r="N447" i="10" s="1"/>
  <c r="AE446" i="10"/>
  <c r="AD446" i="10"/>
  <c r="Z446" i="10"/>
  <c r="AA446" i="10" s="1"/>
  <c r="V446" i="10"/>
  <c r="U446" i="10"/>
  <c r="AF446" i="10" s="1"/>
  <c r="N446" i="10" a="1"/>
  <c r="N446" i="10" s="1"/>
  <c r="AE445" i="10"/>
  <c r="AD445" i="10"/>
  <c r="AA445" i="10"/>
  <c r="Z445" i="10"/>
  <c r="V445" i="10"/>
  <c r="AG445" i="10" s="1"/>
  <c r="U445" i="10"/>
  <c r="AF445" i="10" s="1"/>
  <c r="N445" i="10" a="1"/>
  <c r="N445" i="10" s="1"/>
  <c r="AE444" i="10"/>
  <c r="AD444" i="10"/>
  <c r="Z444" i="10"/>
  <c r="V444" i="10"/>
  <c r="U444" i="10"/>
  <c r="N444" i="10" a="1"/>
  <c r="N444" i="10" s="1"/>
  <c r="AE443" i="10"/>
  <c r="AD443" i="10"/>
  <c r="Z443" i="10"/>
  <c r="AA443" i="10" s="1"/>
  <c r="V443" i="10"/>
  <c r="AG443" i="10" s="1"/>
  <c r="U443" i="10"/>
  <c r="N443" i="10" a="1"/>
  <c r="N443" i="10" s="1"/>
  <c r="AE442" i="10"/>
  <c r="AD442" i="10"/>
  <c r="Z442" i="10"/>
  <c r="AA442" i="10" s="1"/>
  <c r="V442" i="10"/>
  <c r="U442" i="10"/>
  <c r="AF442" i="10" s="1"/>
  <c r="N442" i="10" a="1"/>
  <c r="N442" i="10" s="1"/>
  <c r="AE441" i="10"/>
  <c r="AD441" i="10"/>
  <c r="Z441" i="10"/>
  <c r="AA441" i="10" s="1"/>
  <c r="V441" i="10"/>
  <c r="AG441" i="10" s="1"/>
  <c r="U441" i="10"/>
  <c r="N441" i="10" a="1"/>
  <c r="N441" i="10" s="1"/>
  <c r="AE440" i="10"/>
  <c r="AD440" i="10"/>
  <c r="Z440" i="10"/>
  <c r="AA440" i="10" s="1"/>
  <c r="AG440" i="10" s="1"/>
  <c r="V440" i="10"/>
  <c r="U440" i="10"/>
  <c r="N440" i="10" a="1"/>
  <c r="N440" i="10" s="1"/>
  <c r="AE439" i="10"/>
  <c r="AD439" i="10"/>
  <c r="Z439" i="10"/>
  <c r="AA439" i="10" s="1"/>
  <c r="V439" i="10"/>
  <c r="AG439" i="10" s="1"/>
  <c r="U439" i="10"/>
  <c r="N439" i="10" a="1"/>
  <c r="N439" i="10" s="1"/>
  <c r="AE438" i="10"/>
  <c r="AD438" i="10"/>
  <c r="Z438" i="10"/>
  <c r="AA438" i="10" s="1"/>
  <c r="V438" i="10"/>
  <c r="U438" i="10"/>
  <c r="AF438" i="10" s="1"/>
  <c r="N438" i="10" a="1"/>
  <c r="N438" i="10" s="1"/>
  <c r="AE437" i="10"/>
  <c r="AD437" i="10"/>
  <c r="AA437" i="10"/>
  <c r="Z437" i="10"/>
  <c r="V437" i="10"/>
  <c r="AG437" i="10" s="1"/>
  <c r="U437" i="10"/>
  <c r="AF437" i="10" s="1"/>
  <c r="N437" i="10"/>
  <c r="N437" i="10" a="1"/>
  <c r="AE436" i="10"/>
  <c r="AD436" i="10"/>
  <c r="Z436" i="10"/>
  <c r="AA436" i="10" s="1"/>
  <c r="V436" i="10"/>
  <c r="U436" i="10"/>
  <c r="AF436" i="10" s="1"/>
  <c r="N436" i="10" a="1"/>
  <c r="N436" i="10" s="1"/>
  <c r="AE435" i="10"/>
  <c r="AD435" i="10"/>
  <c r="Z435" i="10"/>
  <c r="AA435" i="10" s="1"/>
  <c r="V435" i="10"/>
  <c r="U435" i="10"/>
  <c r="N435" i="10" a="1"/>
  <c r="N435" i="10" s="1"/>
  <c r="AE434" i="10"/>
  <c r="AD434" i="10"/>
  <c r="AA434" i="10"/>
  <c r="Z434" i="10"/>
  <c r="V434" i="10"/>
  <c r="U434" i="10"/>
  <c r="AF434" i="10" s="1"/>
  <c r="N434" i="10" a="1"/>
  <c r="N434" i="10" s="1"/>
  <c r="AE433" i="10"/>
  <c r="AD433" i="10"/>
  <c r="Z433" i="10"/>
  <c r="AA433" i="10" s="1"/>
  <c r="AG433" i="10" s="1"/>
  <c r="V433" i="10"/>
  <c r="U433" i="10"/>
  <c r="AF433" i="10" s="1"/>
  <c r="N433" i="10" a="1"/>
  <c r="N433" i="10" s="1"/>
  <c r="AE432" i="10"/>
  <c r="AD432" i="10"/>
  <c r="Z432" i="10"/>
  <c r="AA432" i="10" s="1"/>
  <c r="AG432" i="10" s="1"/>
  <c r="V432" i="10"/>
  <c r="U432" i="10"/>
  <c r="AF432" i="10" s="1"/>
  <c r="N432" i="10" a="1"/>
  <c r="N432" i="10" s="1"/>
  <c r="AE431" i="10"/>
  <c r="AD431" i="10"/>
  <c r="Z431" i="10"/>
  <c r="AA431" i="10" s="1"/>
  <c r="V431" i="10"/>
  <c r="AG431" i="10" s="1"/>
  <c r="U431" i="10"/>
  <c r="N431" i="10" a="1"/>
  <c r="N431" i="10" s="1"/>
  <c r="AE430" i="10"/>
  <c r="AD430" i="10"/>
  <c r="Z430" i="10"/>
  <c r="AA430" i="10" s="1"/>
  <c r="V430" i="10"/>
  <c r="U430" i="10"/>
  <c r="AF430" i="10" s="1"/>
  <c r="N430" i="10" a="1"/>
  <c r="N430" i="10" s="1"/>
  <c r="AE429" i="10"/>
  <c r="AD429" i="10"/>
  <c r="AA429" i="10"/>
  <c r="AG429" i="10" s="1"/>
  <c r="V429" i="10"/>
  <c r="U429" i="10"/>
  <c r="AF429" i="10" s="1"/>
  <c r="N429" i="10" a="1"/>
  <c r="N429" i="10" s="1"/>
  <c r="AE428" i="10"/>
  <c r="AD428" i="10"/>
  <c r="Z428" i="10"/>
  <c r="AA428" i="10" s="1"/>
  <c r="V428" i="10"/>
  <c r="U428" i="10"/>
  <c r="N428" i="10" a="1"/>
  <c r="N428" i="10" s="1"/>
  <c r="AE427" i="10"/>
  <c r="AD427" i="10"/>
  <c r="AA427" i="10"/>
  <c r="Z427" i="10"/>
  <c r="V427" i="10"/>
  <c r="AG427" i="10" s="1"/>
  <c r="U427" i="10"/>
  <c r="AF427" i="10" s="1"/>
  <c r="N427" i="10" a="1"/>
  <c r="N427" i="10" s="1"/>
  <c r="AE426" i="10"/>
  <c r="AD426" i="10"/>
  <c r="Z426" i="10"/>
  <c r="AA426" i="10" s="1"/>
  <c r="AG426" i="10" s="1"/>
  <c r="V426" i="10"/>
  <c r="U426" i="10"/>
  <c r="N426" i="10" a="1"/>
  <c r="N426" i="10" s="1"/>
  <c r="AE425" i="10"/>
  <c r="AD425" i="10"/>
  <c r="Z425" i="10"/>
  <c r="AA425" i="10" s="1"/>
  <c r="AG425" i="10" s="1"/>
  <c r="V425" i="10"/>
  <c r="U425" i="10"/>
  <c r="AF425" i="10" s="1"/>
  <c r="N425" i="10" a="1"/>
  <c r="N425" i="10" s="1"/>
  <c r="AE424" i="10"/>
  <c r="AD424" i="10"/>
  <c r="Z424" i="10"/>
  <c r="AA424" i="10" s="1"/>
  <c r="V424" i="10"/>
  <c r="AG424" i="10" s="1"/>
  <c r="U424" i="10"/>
  <c r="N424" i="10" a="1"/>
  <c r="N424" i="10" s="1"/>
  <c r="AE423" i="10"/>
  <c r="AD423" i="10"/>
  <c r="AA423" i="10"/>
  <c r="Z423" i="10"/>
  <c r="V423" i="10"/>
  <c r="U423" i="10"/>
  <c r="AF423" i="10" s="1"/>
  <c r="N423" i="10"/>
  <c r="N423" i="10" a="1"/>
  <c r="AE422" i="10"/>
  <c r="AD422" i="10"/>
  <c r="Z422" i="10"/>
  <c r="AA422" i="10" s="1"/>
  <c r="V422" i="10"/>
  <c r="AG422" i="10" s="1"/>
  <c r="U422" i="10"/>
  <c r="AF422" i="10" s="1"/>
  <c r="N422" i="10" a="1"/>
  <c r="N422" i="10" s="1"/>
  <c r="AE421" i="10"/>
  <c r="AD421" i="10"/>
  <c r="Z421" i="10"/>
  <c r="AA421" i="10" s="1"/>
  <c r="AG421" i="10" s="1"/>
  <c r="V421" i="10"/>
  <c r="U421" i="10"/>
  <c r="AF421" i="10" s="1"/>
  <c r="N421" i="10" a="1"/>
  <c r="N421" i="10" s="1"/>
  <c r="AE420" i="10"/>
  <c r="AD420" i="10"/>
  <c r="Z420" i="10"/>
  <c r="AA420" i="10" s="1"/>
  <c r="V420" i="10"/>
  <c r="U420" i="10"/>
  <c r="N420" i="10" a="1"/>
  <c r="N420" i="10" s="1"/>
  <c r="AE419" i="10"/>
  <c r="AD419" i="10"/>
  <c r="Z419" i="10"/>
  <c r="AA419" i="10" s="1"/>
  <c r="V419" i="10"/>
  <c r="U419" i="10"/>
  <c r="AF419" i="10" s="1"/>
  <c r="N419" i="10" a="1"/>
  <c r="N419" i="10" s="1"/>
  <c r="AE418" i="10"/>
  <c r="AD418" i="10"/>
  <c r="Z418" i="10"/>
  <c r="AA418" i="10" s="1"/>
  <c r="AG418" i="10" s="1"/>
  <c r="V418" i="10"/>
  <c r="U418" i="10"/>
  <c r="N418" i="10" a="1"/>
  <c r="N418" i="10" s="1"/>
  <c r="AE417" i="10"/>
  <c r="AD417" i="10"/>
  <c r="AA417" i="10"/>
  <c r="V417" i="10"/>
  <c r="U417" i="10"/>
  <c r="AF417" i="10" s="1"/>
  <c r="N417" i="10" a="1"/>
  <c r="N417" i="10" s="1"/>
  <c r="AE416" i="10"/>
  <c r="AD416" i="10"/>
  <c r="AA416" i="10"/>
  <c r="V416" i="10"/>
  <c r="U416" i="10"/>
  <c r="AF416" i="10" s="1"/>
  <c r="N416" i="10" a="1"/>
  <c r="N416" i="10" s="1"/>
  <c r="AE415" i="10"/>
  <c r="AD415" i="10"/>
  <c r="AA415" i="10"/>
  <c r="V415" i="10"/>
  <c r="U415" i="10"/>
  <c r="AF415" i="10" s="1"/>
  <c r="N415" i="10" a="1"/>
  <c r="N415" i="10" s="1"/>
  <c r="AE414" i="10"/>
  <c r="AD414" i="10"/>
  <c r="AA414" i="10"/>
  <c r="V414" i="10"/>
  <c r="U414" i="10"/>
  <c r="AF414" i="10" s="1"/>
  <c r="N414" i="10" a="1"/>
  <c r="N414" i="10" s="1"/>
  <c r="AE413" i="10"/>
  <c r="AD413" i="10"/>
  <c r="Z413" i="10"/>
  <c r="AA413" i="10" s="1"/>
  <c r="AG413" i="10" s="1"/>
  <c r="V413" i="10"/>
  <c r="U413" i="10"/>
  <c r="AF413" i="10" s="1"/>
  <c r="N413" i="10" a="1"/>
  <c r="N413" i="10" s="1"/>
  <c r="AE412" i="10"/>
  <c r="AD412" i="10"/>
  <c r="Z412" i="10"/>
  <c r="AA412" i="10" s="1"/>
  <c r="V412" i="10"/>
  <c r="AG412" i="10" s="1"/>
  <c r="U412" i="10"/>
  <c r="N412" i="10" a="1"/>
  <c r="N412" i="10" s="1"/>
  <c r="AE411" i="10"/>
  <c r="AD411" i="10"/>
  <c r="AA411" i="10"/>
  <c r="AG411" i="10" s="1"/>
  <c r="V411" i="10"/>
  <c r="U411" i="10"/>
  <c r="AF411" i="10" s="1"/>
  <c r="N411" i="10" a="1"/>
  <c r="N411" i="10" s="1"/>
  <c r="AE410" i="10"/>
  <c r="AD410" i="10"/>
  <c r="AA410" i="10"/>
  <c r="V410" i="10"/>
  <c r="U410" i="10"/>
  <c r="AF410" i="10" s="1"/>
  <c r="N410" i="10" a="1"/>
  <c r="N410" i="10" s="1"/>
  <c r="AE409" i="10"/>
  <c r="AD409" i="10"/>
  <c r="Z409" i="10"/>
  <c r="AA409" i="10" s="1"/>
  <c r="V409" i="10"/>
  <c r="U409" i="10"/>
  <c r="N409" i="10" a="1"/>
  <c r="N409" i="10" s="1"/>
  <c r="AE408" i="10"/>
  <c r="AD408" i="10"/>
  <c r="AA408" i="10"/>
  <c r="AG408" i="10" s="1"/>
  <c r="V408" i="10"/>
  <c r="U408" i="10"/>
  <c r="AF408" i="10" s="1"/>
  <c r="N408" i="10" a="1"/>
  <c r="N408" i="10" s="1"/>
  <c r="AE407" i="10"/>
  <c r="AD407" i="10"/>
  <c r="AA407" i="10"/>
  <c r="V407" i="10"/>
  <c r="AG407" i="10" s="1"/>
  <c r="U407" i="10"/>
  <c r="AF407" i="10" s="1"/>
  <c r="N407" i="10" a="1"/>
  <c r="N407" i="10" s="1"/>
  <c r="AE406" i="10"/>
  <c r="AD406" i="10"/>
  <c r="AA406" i="10"/>
  <c r="V406" i="10"/>
  <c r="U406" i="10"/>
  <c r="AF406" i="10" s="1"/>
  <c r="N406" i="10" a="1"/>
  <c r="N406" i="10" s="1"/>
  <c r="AE405" i="10"/>
  <c r="AD405" i="10"/>
  <c r="AA405" i="10"/>
  <c r="V405" i="10"/>
  <c r="U405" i="10"/>
  <c r="AF405" i="10" s="1"/>
  <c r="N405" i="10" a="1"/>
  <c r="N405" i="10" s="1"/>
  <c r="AE404" i="10"/>
  <c r="AD404" i="10"/>
  <c r="AA404" i="10"/>
  <c r="V404" i="10"/>
  <c r="AG404" i="10" s="1"/>
  <c r="U404" i="10"/>
  <c r="AF404" i="10" s="1"/>
  <c r="N404" i="10" a="1"/>
  <c r="N404" i="10" s="1"/>
  <c r="AE403" i="10"/>
  <c r="AD403" i="10"/>
  <c r="AA403" i="10"/>
  <c r="V403" i="10"/>
  <c r="AG403" i="10" s="1"/>
  <c r="U403" i="10"/>
  <c r="AF403" i="10" s="1"/>
  <c r="N403" i="10" a="1"/>
  <c r="N403" i="10" s="1"/>
  <c r="AE402" i="10"/>
  <c r="AD402" i="10"/>
  <c r="AA402" i="10"/>
  <c r="V402" i="10"/>
  <c r="AG402" i="10" s="1"/>
  <c r="U402" i="10"/>
  <c r="AF402" i="10" s="1"/>
  <c r="N402" i="10" a="1"/>
  <c r="N402" i="10" s="1"/>
  <c r="AE401" i="10"/>
  <c r="AD401" i="10"/>
  <c r="AA401" i="10"/>
  <c r="V401" i="10"/>
  <c r="AG401" i="10" s="1"/>
  <c r="U401" i="10"/>
  <c r="AF401" i="10" s="1"/>
  <c r="N401" i="10" a="1"/>
  <c r="N401" i="10" s="1"/>
  <c r="AE400" i="10"/>
  <c r="AD400" i="10"/>
  <c r="AA400" i="10"/>
  <c r="Z400" i="10"/>
  <c r="V400" i="10"/>
  <c r="U400" i="10"/>
  <c r="AF400" i="10" s="1"/>
  <c r="N400" i="10" a="1"/>
  <c r="N400" i="10" s="1"/>
  <c r="AE399" i="10"/>
  <c r="AD399" i="10"/>
  <c r="Z399" i="10"/>
  <c r="AA399" i="10" s="1"/>
  <c r="V399" i="10"/>
  <c r="U399" i="10"/>
  <c r="AF399" i="10" s="1"/>
  <c r="N399" i="10" a="1"/>
  <c r="N399" i="10" s="1"/>
  <c r="AE398" i="10"/>
  <c r="AD398" i="10"/>
  <c r="AA398" i="10"/>
  <c r="V398" i="10"/>
  <c r="U398" i="10"/>
  <c r="AF398" i="10" s="1"/>
  <c r="N398" i="10" a="1"/>
  <c r="N398" i="10" s="1"/>
  <c r="AE397" i="10"/>
  <c r="AD397" i="10"/>
  <c r="AA397" i="10"/>
  <c r="V397" i="10"/>
  <c r="AG397" i="10" s="1"/>
  <c r="U397" i="10"/>
  <c r="AF397" i="10" s="1"/>
  <c r="N397" i="10" a="1"/>
  <c r="N397" i="10" s="1"/>
  <c r="AE396" i="10"/>
  <c r="AD396" i="10"/>
  <c r="AA396" i="10"/>
  <c r="V396" i="10"/>
  <c r="U396" i="10"/>
  <c r="AF396" i="10" s="1"/>
  <c r="N396" i="10" a="1"/>
  <c r="N396" i="10" s="1"/>
  <c r="AE395" i="10"/>
  <c r="AD395" i="10"/>
  <c r="AA395" i="10"/>
  <c r="V395" i="10"/>
  <c r="AG395" i="10" s="1"/>
  <c r="U395" i="10"/>
  <c r="AF395" i="10" s="1"/>
  <c r="N395" i="10" a="1"/>
  <c r="N395" i="10" s="1"/>
  <c r="AE394" i="10"/>
  <c r="AD394" i="10"/>
  <c r="AA394" i="10"/>
  <c r="V394" i="10"/>
  <c r="AG394" i="10" s="1"/>
  <c r="U394" i="10"/>
  <c r="AF394" i="10" s="1"/>
  <c r="N394" i="10" a="1"/>
  <c r="N394" i="10" s="1"/>
  <c r="AE393" i="10"/>
  <c r="AD393" i="10"/>
  <c r="AA393" i="10"/>
  <c r="AG393" i="10" s="1"/>
  <c r="V393" i="10"/>
  <c r="U393" i="10"/>
  <c r="AF393" i="10" s="1"/>
  <c r="N393" i="10" a="1"/>
  <c r="N393" i="10" s="1"/>
  <c r="AE392" i="10"/>
  <c r="AD392" i="10"/>
  <c r="AA392" i="10"/>
  <c r="V392" i="10"/>
  <c r="AG392" i="10" s="1"/>
  <c r="U392" i="10"/>
  <c r="AF392" i="10" s="1"/>
  <c r="N392" i="10" a="1"/>
  <c r="N392" i="10" s="1"/>
  <c r="AE391" i="10"/>
  <c r="AD391" i="10"/>
  <c r="AA391" i="10"/>
  <c r="V391" i="10"/>
  <c r="AG391" i="10" s="1"/>
  <c r="U391" i="10"/>
  <c r="AF391" i="10" s="1"/>
  <c r="N391" i="10" a="1"/>
  <c r="N391" i="10" s="1"/>
  <c r="AE390" i="10"/>
  <c r="AD390" i="10"/>
  <c r="AA390" i="10"/>
  <c r="V390" i="10"/>
  <c r="AG390" i="10" s="1"/>
  <c r="U390" i="10"/>
  <c r="AF390" i="10" s="1"/>
  <c r="N390" i="10" a="1"/>
  <c r="N390" i="10" s="1"/>
  <c r="AE389" i="10"/>
  <c r="AD389" i="10"/>
  <c r="AA389" i="10"/>
  <c r="V389" i="10"/>
  <c r="AG389" i="10" s="1"/>
  <c r="U389" i="10"/>
  <c r="AF389" i="10" s="1"/>
  <c r="N389" i="10" a="1"/>
  <c r="N389" i="10" s="1"/>
  <c r="AE388" i="10"/>
  <c r="AD388" i="10"/>
  <c r="AA388" i="10"/>
  <c r="V388" i="10"/>
  <c r="U388" i="10"/>
  <c r="AF388" i="10" s="1"/>
  <c r="N388" i="10" a="1"/>
  <c r="N388" i="10" s="1"/>
  <c r="AE387" i="10"/>
  <c r="AD387" i="10"/>
  <c r="AA387" i="10"/>
  <c r="V387" i="10"/>
  <c r="AG387" i="10" s="1"/>
  <c r="U387" i="10"/>
  <c r="AF387" i="10" s="1"/>
  <c r="N387" i="10" a="1"/>
  <c r="N387" i="10" s="1"/>
  <c r="AE386" i="10"/>
  <c r="AD386" i="10"/>
  <c r="AA386" i="10"/>
  <c r="V386" i="10"/>
  <c r="AG386" i="10" s="1"/>
  <c r="U386" i="10"/>
  <c r="AF386" i="10" s="1"/>
  <c r="N386" i="10" a="1"/>
  <c r="N386" i="10" s="1"/>
  <c r="AE385" i="10"/>
  <c r="AD385" i="10"/>
  <c r="Z385" i="10"/>
  <c r="AA385" i="10" s="1"/>
  <c r="V385" i="10"/>
  <c r="U385" i="10"/>
  <c r="N385" i="10" a="1"/>
  <c r="N385" i="10" s="1"/>
  <c r="AE384" i="10"/>
  <c r="AD384" i="10"/>
  <c r="AA384" i="10"/>
  <c r="Z384" i="10"/>
  <c r="V384" i="10"/>
  <c r="AG384" i="10" s="1"/>
  <c r="U384" i="10"/>
  <c r="AF384" i="10" s="1"/>
  <c r="N384" i="10"/>
  <c r="N384" i="10" a="1"/>
  <c r="AE383" i="10"/>
  <c r="AD383" i="10"/>
  <c r="Z383" i="10"/>
  <c r="AA383" i="10" s="1"/>
  <c r="V383" i="10"/>
  <c r="U383" i="10"/>
  <c r="N383" i="10" a="1"/>
  <c r="N383" i="10" s="1"/>
  <c r="AE382" i="10"/>
  <c r="AD382" i="10"/>
  <c r="Z382" i="10"/>
  <c r="AA382" i="10" s="1"/>
  <c r="V382" i="10"/>
  <c r="U382" i="10"/>
  <c r="N382" i="10" a="1"/>
  <c r="N382" i="10" s="1"/>
  <c r="AE381" i="10"/>
  <c r="AD381" i="10"/>
  <c r="AA381" i="10"/>
  <c r="V381" i="10"/>
  <c r="U381" i="10"/>
  <c r="AF381" i="10" s="1"/>
  <c r="N381" i="10" a="1"/>
  <c r="N381" i="10" s="1"/>
  <c r="AE380" i="10"/>
  <c r="AD380" i="10"/>
  <c r="AA380" i="10"/>
  <c r="V380" i="10"/>
  <c r="U380" i="10"/>
  <c r="AF380" i="10" s="1"/>
  <c r="N380" i="10" a="1"/>
  <c r="N380" i="10" s="1"/>
  <c r="AE379" i="10"/>
  <c r="AD379" i="10"/>
  <c r="AA379" i="10"/>
  <c r="AG379" i="10" s="1"/>
  <c r="V379" i="10"/>
  <c r="U379" i="10"/>
  <c r="AF379" i="10" s="1"/>
  <c r="N379" i="10" a="1"/>
  <c r="N379" i="10" s="1"/>
  <c r="AE378" i="10"/>
  <c r="AD378" i="10"/>
  <c r="AA378" i="10"/>
  <c r="V378" i="10"/>
  <c r="AG378" i="10" s="1"/>
  <c r="U378" i="10"/>
  <c r="AF378" i="10" s="1"/>
  <c r="N378" i="10" a="1"/>
  <c r="N378" i="10" s="1"/>
  <c r="AE377" i="10"/>
  <c r="AD377" i="10"/>
  <c r="AA377" i="10"/>
  <c r="V377" i="10"/>
  <c r="AG377" i="10" s="1"/>
  <c r="U377" i="10"/>
  <c r="AF377" i="10" s="1"/>
  <c r="N377" i="10" a="1"/>
  <c r="N377" i="10" s="1"/>
  <c r="AE376" i="10"/>
  <c r="AD376" i="10"/>
  <c r="AA376" i="10"/>
  <c r="V376" i="10"/>
  <c r="U376" i="10"/>
  <c r="AF376" i="10" s="1"/>
  <c r="N376" i="10" a="1"/>
  <c r="N376" i="10" s="1"/>
  <c r="AE375" i="10"/>
  <c r="AD375" i="10"/>
  <c r="AA375" i="10"/>
  <c r="V375" i="10"/>
  <c r="AG375" i="10" s="1"/>
  <c r="U375" i="10"/>
  <c r="AF375" i="10" s="1"/>
  <c r="N375" i="10" a="1"/>
  <c r="N375" i="10" s="1"/>
  <c r="AE374" i="10"/>
  <c r="AD374" i="10"/>
  <c r="AA374" i="10"/>
  <c r="V374" i="10"/>
  <c r="AG374" i="10" s="1"/>
  <c r="U374" i="10"/>
  <c r="AF374" i="10" s="1"/>
  <c r="N374" i="10" a="1"/>
  <c r="N374" i="10" s="1"/>
  <c r="AE373" i="10"/>
  <c r="AD373" i="10"/>
  <c r="AA373" i="10"/>
  <c r="V373" i="10"/>
  <c r="AG373" i="10" s="1"/>
  <c r="U373" i="10"/>
  <c r="AF373" i="10" s="1"/>
  <c r="N373" i="10" a="1"/>
  <c r="N373" i="10" s="1"/>
  <c r="AE372" i="10"/>
  <c r="AD372" i="10"/>
  <c r="AA372" i="10"/>
  <c r="V372" i="10"/>
  <c r="U372" i="10"/>
  <c r="AF372" i="10" s="1"/>
  <c r="N372" i="10" a="1"/>
  <c r="N372" i="10" s="1"/>
  <c r="AE371" i="10"/>
  <c r="AD371" i="10"/>
  <c r="AA371" i="10"/>
  <c r="AG371" i="10" s="1"/>
  <c r="V371" i="10"/>
  <c r="U371" i="10"/>
  <c r="AF371" i="10" s="1"/>
  <c r="N371" i="10" a="1"/>
  <c r="N371" i="10" s="1"/>
  <c r="AE370" i="10"/>
  <c r="AD370" i="10"/>
  <c r="AA370" i="10"/>
  <c r="V370" i="10"/>
  <c r="AG370" i="10" s="1"/>
  <c r="U370" i="10"/>
  <c r="AF370" i="10" s="1"/>
  <c r="N370" i="10" a="1"/>
  <c r="N370" i="10" s="1"/>
  <c r="AE369" i="10"/>
  <c r="AD369" i="10"/>
  <c r="AA369" i="10"/>
  <c r="V369" i="10"/>
  <c r="AG369" i="10" s="1"/>
  <c r="U369" i="10"/>
  <c r="AF369" i="10" s="1"/>
  <c r="N369" i="10" a="1"/>
  <c r="N369" i="10" s="1"/>
  <c r="AE368" i="10"/>
  <c r="AD368" i="10"/>
  <c r="AA368" i="10"/>
  <c r="AG368" i="10" s="1"/>
  <c r="V368" i="10"/>
  <c r="U368" i="10"/>
  <c r="AF368" i="10" s="1"/>
  <c r="N368" i="10" a="1"/>
  <c r="N368" i="10" s="1"/>
  <c r="AE367" i="10"/>
  <c r="AD367" i="10"/>
  <c r="AA367" i="10"/>
  <c r="V367" i="10"/>
  <c r="AG367" i="10" s="1"/>
  <c r="U367" i="10"/>
  <c r="AF367" i="10" s="1"/>
  <c r="N367" i="10" a="1"/>
  <c r="N367" i="10" s="1"/>
  <c r="AE366" i="10"/>
  <c r="AD366" i="10"/>
  <c r="AA366" i="10"/>
  <c r="AG366" i="10" s="1"/>
  <c r="V366" i="10"/>
  <c r="U366" i="10"/>
  <c r="AF366" i="10" s="1"/>
  <c r="N366" i="10" a="1"/>
  <c r="N366" i="10" s="1"/>
  <c r="AE365" i="10"/>
  <c r="AD365" i="10"/>
  <c r="AA365" i="10"/>
  <c r="V365" i="10"/>
  <c r="AG365" i="10" s="1"/>
  <c r="U365" i="10"/>
  <c r="AF365" i="10" s="1"/>
  <c r="N365" i="10" a="1"/>
  <c r="N365" i="10" s="1"/>
  <c r="AE364" i="10"/>
  <c r="AD364" i="10"/>
  <c r="AA364" i="10"/>
  <c r="V364" i="10"/>
  <c r="U364" i="10"/>
  <c r="AF364" i="10" s="1"/>
  <c r="N364" i="10" a="1"/>
  <c r="N364" i="10" s="1"/>
  <c r="AE363" i="10"/>
  <c r="AD363" i="10"/>
  <c r="AA363" i="10"/>
  <c r="AG363" i="10" s="1"/>
  <c r="V363" i="10"/>
  <c r="U363" i="10"/>
  <c r="AF363" i="10" s="1"/>
  <c r="N363" i="10" a="1"/>
  <c r="N363" i="10" s="1"/>
  <c r="AE362" i="10"/>
  <c r="AD362" i="10"/>
  <c r="AA362" i="10"/>
  <c r="V362" i="10"/>
  <c r="U362" i="10"/>
  <c r="AF362" i="10" s="1"/>
  <c r="N362" i="10" a="1"/>
  <c r="N362" i="10" s="1"/>
  <c r="AE361" i="10"/>
  <c r="AD361" i="10"/>
  <c r="AA361" i="10"/>
  <c r="V361" i="10"/>
  <c r="AG361" i="10" s="1"/>
  <c r="U361" i="10"/>
  <c r="AF361" i="10" s="1"/>
  <c r="N361" i="10" a="1"/>
  <c r="N361" i="10" s="1"/>
  <c r="AE360" i="10"/>
  <c r="AD360" i="10"/>
  <c r="AA360" i="10"/>
  <c r="V360" i="10"/>
  <c r="U360" i="10"/>
  <c r="AF360" i="10" s="1"/>
  <c r="N360" i="10" a="1"/>
  <c r="N360" i="10" s="1"/>
  <c r="AE359" i="10"/>
  <c r="AD359" i="10"/>
  <c r="AA359" i="10"/>
  <c r="V359" i="10"/>
  <c r="AG359" i="10" s="1"/>
  <c r="U359" i="10"/>
  <c r="AF359" i="10" s="1"/>
  <c r="N359" i="10" a="1"/>
  <c r="N359" i="10" s="1"/>
  <c r="AE358" i="10"/>
  <c r="AD358" i="10"/>
  <c r="AA358" i="10"/>
  <c r="V358" i="10"/>
  <c r="U358" i="10"/>
  <c r="AF358" i="10" s="1"/>
  <c r="N358" i="10" a="1"/>
  <c r="N358" i="10" s="1"/>
  <c r="AE357" i="10"/>
  <c r="AD357" i="10"/>
  <c r="AA357" i="10"/>
  <c r="V357" i="10"/>
  <c r="AG357" i="10" s="1"/>
  <c r="U357" i="10"/>
  <c r="AF357" i="10" s="1"/>
  <c r="N357" i="10" a="1"/>
  <c r="N357" i="10" s="1"/>
  <c r="AE356" i="10"/>
  <c r="AD356" i="10"/>
  <c r="Z356" i="10"/>
  <c r="AF356" i="10" s="1"/>
  <c r="V356" i="10"/>
  <c r="U356" i="10"/>
  <c r="N356" i="10" a="1"/>
  <c r="N356" i="10" s="1"/>
  <c r="AE355" i="10"/>
  <c r="AD355" i="10"/>
  <c r="AA355" i="10"/>
  <c r="V355" i="10"/>
  <c r="U355" i="10"/>
  <c r="AF355" i="10" s="1"/>
  <c r="N355" i="10" a="1"/>
  <c r="N355" i="10" s="1"/>
  <c r="AE354" i="10"/>
  <c r="AD354" i="10"/>
  <c r="AA354" i="10"/>
  <c r="V354" i="10"/>
  <c r="U354" i="10"/>
  <c r="AF354" i="10" s="1"/>
  <c r="N354" i="10" a="1"/>
  <c r="N354" i="10" s="1"/>
  <c r="AE353" i="10"/>
  <c r="AD353" i="10"/>
  <c r="AJ353" i="10" s="1"/>
  <c r="AA353" i="10"/>
  <c r="V353" i="10"/>
  <c r="AG353" i="10" s="1"/>
  <c r="U353" i="10"/>
  <c r="AF353" i="10" s="1"/>
  <c r="N353" i="10"/>
  <c r="N353" i="10" a="1"/>
  <c r="AE352" i="10"/>
  <c r="AD352" i="10"/>
  <c r="Z352" i="10"/>
  <c r="V352" i="10"/>
  <c r="U352" i="10"/>
  <c r="N352" i="10" a="1"/>
  <c r="N352" i="10" s="1"/>
  <c r="AE351" i="10"/>
  <c r="AD351" i="10"/>
  <c r="Z351" i="10"/>
  <c r="AA351" i="10" s="1"/>
  <c r="V351" i="10"/>
  <c r="U351" i="10"/>
  <c r="N351" i="10" a="1"/>
  <c r="N351" i="10" s="1"/>
  <c r="AE350" i="10"/>
  <c r="AD350" i="10"/>
  <c r="AA350" i="10"/>
  <c r="V350" i="10"/>
  <c r="U350" i="10"/>
  <c r="AF350" i="10" s="1"/>
  <c r="N350" i="10" a="1"/>
  <c r="N350" i="10" s="1"/>
  <c r="AE349" i="10"/>
  <c r="AD349" i="10"/>
  <c r="AA349" i="10"/>
  <c r="V349" i="10"/>
  <c r="U349" i="10"/>
  <c r="AF349" i="10" s="1"/>
  <c r="N349" i="10" a="1"/>
  <c r="N349" i="10" s="1"/>
  <c r="AE348" i="10"/>
  <c r="AD348" i="10"/>
  <c r="AA348" i="10"/>
  <c r="V348" i="10"/>
  <c r="U348" i="10"/>
  <c r="AF348" i="10" s="1"/>
  <c r="N348" i="10" a="1"/>
  <c r="N348" i="10" s="1"/>
  <c r="AE347" i="10"/>
  <c r="AD347" i="10"/>
  <c r="Z347" i="10"/>
  <c r="AA347" i="10" s="1"/>
  <c r="AG347" i="10" s="1"/>
  <c r="V347" i="10"/>
  <c r="U347" i="10"/>
  <c r="AF347" i="10" s="1"/>
  <c r="N347" i="10" a="1"/>
  <c r="N347" i="10" s="1"/>
  <c r="AE346" i="10"/>
  <c r="AD346" i="10"/>
  <c r="AA346" i="10"/>
  <c r="V346" i="10"/>
  <c r="U346" i="10"/>
  <c r="AF346" i="10" s="1"/>
  <c r="N346" i="10" a="1"/>
  <c r="N346" i="10" s="1"/>
  <c r="AE345" i="10"/>
  <c r="AD345" i="10"/>
  <c r="AA345" i="10"/>
  <c r="V345" i="10"/>
  <c r="AG345" i="10" s="1"/>
  <c r="U345" i="10"/>
  <c r="AF345" i="10" s="1"/>
  <c r="N345" i="10" a="1"/>
  <c r="N345" i="10" s="1"/>
  <c r="AE344" i="10"/>
  <c r="AD344" i="10"/>
  <c r="AA344" i="10"/>
  <c r="V344" i="10"/>
  <c r="U344" i="10"/>
  <c r="AF344" i="10" s="1"/>
  <c r="N344" i="10" a="1"/>
  <c r="N344" i="10" s="1"/>
  <c r="AE343" i="10"/>
  <c r="AD343" i="10"/>
  <c r="AA343" i="10"/>
  <c r="V343" i="10"/>
  <c r="AG343" i="10" s="1"/>
  <c r="U343" i="10"/>
  <c r="AF343" i="10" s="1"/>
  <c r="N343" i="10" a="1"/>
  <c r="N343" i="10" s="1"/>
  <c r="AE342" i="10"/>
  <c r="AD342" i="10"/>
  <c r="Z342" i="10"/>
  <c r="AF342" i="10" s="1"/>
  <c r="V342" i="10"/>
  <c r="U342" i="10"/>
  <c r="N342" i="10" a="1"/>
  <c r="N342" i="10" s="1"/>
  <c r="AE341" i="10"/>
  <c r="AD341" i="10"/>
  <c r="Z341" i="10"/>
  <c r="AA341" i="10" s="1"/>
  <c r="V341" i="10"/>
  <c r="AG341" i="10" s="1"/>
  <c r="U341" i="10"/>
  <c r="AF341" i="10" s="1"/>
  <c r="N341" i="10" a="1"/>
  <c r="N341" i="10" s="1"/>
  <c r="AE340" i="10"/>
  <c r="AD340" i="10"/>
  <c r="AA340" i="10"/>
  <c r="V340" i="10"/>
  <c r="AG340" i="10" s="1"/>
  <c r="U340" i="10"/>
  <c r="AF340" i="10" s="1"/>
  <c r="N340" i="10" a="1"/>
  <c r="N340" i="10" s="1"/>
  <c r="AE339" i="10"/>
  <c r="AD339" i="10"/>
  <c r="AA339" i="10"/>
  <c r="V339" i="10"/>
  <c r="U339" i="10"/>
  <c r="AF339" i="10" s="1"/>
  <c r="N339" i="10" a="1"/>
  <c r="N339" i="10" s="1"/>
  <c r="AE338" i="10"/>
  <c r="AD338" i="10"/>
  <c r="Z338" i="10"/>
  <c r="AA338" i="10" s="1"/>
  <c r="V338" i="10"/>
  <c r="AG338" i="10" s="1"/>
  <c r="U338" i="10"/>
  <c r="N338" i="10" a="1"/>
  <c r="N338" i="10" s="1"/>
  <c r="AF337" i="10"/>
  <c r="AE337" i="10"/>
  <c r="AD337" i="10"/>
  <c r="AA337" i="10"/>
  <c r="V337" i="10"/>
  <c r="AG337" i="10" s="1"/>
  <c r="U337" i="10"/>
  <c r="N337" i="10" a="1"/>
  <c r="N337" i="10" s="1"/>
  <c r="AE336" i="10"/>
  <c r="AD336" i="10"/>
  <c r="AA336" i="10"/>
  <c r="V336" i="10"/>
  <c r="U336" i="10"/>
  <c r="AF336" i="10" s="1"/>
  <c r="N336" i="10" a="1"/>
  <c r="N336" i="10" s="1"/>
  <c r="AE335" i="10"/>
  <c r="AD335" i="10"/>
  <c r="AA335" i="10"/>
  <c r="V335" i="10"/>
  <c r="U335" i="10"/>
  <c r="AF335" i="10" s="1"/>
  <c r="N335" i="10" a="1"/>
  <c r="N335" i="10" s="1"/>
  <c r="AE334" i="10"/>
  <c r="AD334" i="10"/>
  <c r="Z334" i="10"/>
  <c r="AA334" i="10" s="1"/>
  <c r="V334" i="10"/>
  <c r="U334" i="10"/>
  <c r="N334" i="10" a="1"/>
  <c r="N334" i="10" s="1"/>
  <c r="AE333" i="10"/>
  <c r="AD333" i="10"/>
  <c r="Z333" i="10"/>
  <c r="AA333" i="10" s="1"/>
  <c r="V333" i="10"/>
  <c r="AG333" i="10" s="1"/>
  <c r="U333" i="10"/>
  <c r="N333" i="10" a="1"/>
  <c r="N333" i="10" s="1"/>
  <c r="AF332" i="10"/>
  <c r="AE332" i="10"/>
  <c r="AD332" i="10"/>
  <c r="AA332" i="10"/>
  <c r="V332" i="10"/>
  <c r="AG332" i="10" s="1"/>
  <c r="U332" i="10"/>
  <c r="N332" i="10" a="1"/>
  <c r="N332" i="10" s="1"/>
  <c r="AF331" i="10"/>
  <c r="AE331" i="10"/>
  <c r="AD331" i="10"/>
  <c r="AA331" i="10"/>
  <c r="V331" i="10"/>
  <c r="AG331" i="10" s="1"/>
  <c r="U331" i="10"/>
  <c r="N331" i="10" a="1"/>
  <c r="N331" i="10" s="1"/>
  <c r="AF330" i="10"/>
  <c r="AE330" i="10"/>
  <c r="AD330" i="10"/>
  <c r="AA330" i="10"/>
  <c r="V330" i="10"/>
  <c r="AG330" i="10" s="1"/>
  <c r="U330" i="10"/>
  <c r="N330" i="10" a="1"/>
  <c r="N330" i="10" s="1"/>
  <c r="AF329" i="10"/>
  <c r="AE329" i="10"/>
  <c r="AD329" i="10"/>
  <c r="AA329" i="10"/>
  <c r="V329" i="10"/>
  <c r="AG329" i="10" s="1"/>
  <c r="U329" i="10"/>
  <c r="N329" i="10" a="1"/>
  <c r="N329" i="10" s="1"/>
  <c r="AE328" i="10"/>
  <c r="AD328" i="10"/>
  <c r="Z328" i="10"/>
  <c r="AA328" i="10" s="1"/>
  <c r="AG328" i="10" s="1"/>
  <c r="V328" i="10"/>
  <c r="U328" i="10"/>
  <c r="N328" i="10" a="1"/>
  <c r="N328" i="10" s="1"/>
  <c r="AE327" i="10"/>
  <c r="AD327" i="10"/>
  <c r="AA327" i="10"/>
  <c r="V327" i="10"/>
  <c r="U327" i="10"/>
  <c r="AF327" i="10" s="1"/>
  <c r="N327" i="10" a="1"/>
  <c r="N327" i="10" s="1"/>
  <c r="AE326" i="10"/>
  <c r="AD326" i="10"/>
  <c r="AA326" i="10"/>
  <c r="Z326" i="10"/>
  <c r="V326" i="10"/>
  <c r="AG326" i="10" s="1"/>
  <c r="U326" i="10"/>
  <c r="AF326" i="10" s="1"/>
  <c r="N326" i="10"/>
  <c r="N326" i="10" a="1"/>
  <c r="AE325" i="10"/>
  <c r="AD325" i="10"/>
  <c r="AA325" i="10"/>
  <c r="V325" i="10"/>
  <c r="U325" i="10"/>
  <c r="AF325" i="10" s="1"/>
  <c r="N325" i="10"/>
  <c r="N325" i="10" a="1"/>
  <c r="AE324" i="10"/>
  <c r="AD324" i="10"/>
  <c r="AA324" i="10"/>
  <c r="V324" i="10"/>
  <c r="U324" i="10"/>
  <c r="AF324" i="10" s="1"/>
  <c r="N324" i="10"/>
  <c r="N324" i="10" a="1"/>
  <c r="AE323" i="10"/>
  <c r="AD323" i="10"/>
  <c r="AA323" i="10"/>
  <c r="V323" i="10"/>
  <c r="U323" i="10"/>
  <c r="AF323" i="10" s="1"/>
  <c r="N323" i="10" a="1"/>
  <c r="N323" i="10" s="1"/>
  <c r="AE322" i="10"/>
  <c r="AD322" i="10"/>
  <c r="AA322" i="10"/>
  <c r="V322" i="10"/>
  <c r="U322" i="10"/>
  <c r="AF322" i="10" s="1"/>
  <c r="N322" i="10" a="1"/>
  <c r="N322" i="10" s="1"/>
  <c r="AE321" i="10"/>
  <c r="AD321" i="10"/>
  <c r="AA321" i="10"/>
  <c r="V321" i="10"/>
  <c r="U321" i="10"/>
  <c r="AF321" i="10" s="1"/>
  <c r="N321" i="10" a="1"/>
  <c r="N321" i="10" s="1"/>
  <c r="AE320" i="10"/>
  <c r="AD320" i="10"/>
  <c r="Z320" i="10"/>
  <c r="AA320" i="10" s="1"/>
  <c r="V320" i="10"/>
  <c r="AG320" i="10" s="1"/>
  <c r="U320" i="10"/>
  <c r="AF320" i="10" s="1"/>
  <c r="N320" i="10" a="1"/>
  <c r="N320" i="10" s="1"/>
  <c r="AE319" i="10"/>
  <c r="AD319" i="10"/>
  <c r="AA319" i="10"/>
  <c r="V319" i="10"/>
  <c r="AG319" i="10" s="1"/>
  <c r="U319" i="10"/>
  <c r="AF319" i="10" s="1"/>
  <c r="N319" i="10" a="1"/>
  <c r="N319" i="10" s="1"/>
  <c r="AE318" i="10"/>
  <c r="AD318" i="10"/>
  <c r="AA318" i="10"/>
  <c r="Z318" i="10"/>
  <c r="AF318" i="10" s="1"/>
  <c r="V318" i="10"/>
  <c r="U318" i="10"/>
  <c r="N318" i="10"/>
  <c r="N318" i="10" a="1"/>
  <c r="AE317" i="10"/>
  <c r="AD317" i="10"/>
  <c r="Z317" i="10"/>
  <c r="AA317" i="10" s="1"/>
  <c r="V317" i="10"/>
  <c r="U317" i="10"/>
  <c r="AF317" i="10" s="1"/>
  <c r="N317" i="10" a="1"/>
  <c r="N317" i="10" s="1"/>
  <c r="AE316" i="10"/>
  <c r="AD316" i="10"/>
  <c r="Z316" i="10"/>
  <c r="AA316" i="10" s="1"/>
  <c r="V316" i="10"/>
  <c r="AG316" i="10" s="1"/>
  <c r="U316" i="10"/>
  <c r="AF316" i="10" s="1"/>
  <c r="N316" i="10" a="1"/>
  <c r="N316" i="10" s="1"/>
  <c r="AE315" i="10"/>
  <c r="AD315" i="10"/>
  <c r="Z315" i="10"/>
  <c r="V315" i="10"/>
  <c r="U315" i="10"/>
  <c r="N315" i="10" a="1"/>
  <c r="N315" i="10" s="1"/>
  <c r="AE314" i="10"/>
  <c r="AD314" i="10"/>
  <c r="Z314" i="10"/>
  <c r="AF314" i="10" s="1"/>
  <c r="V314" i="10"/>
  <c r="U314" i="10"/>
  <c r="N314" i="10" a="1"/>
  <c r="N314" i="10" s="1"/>
  <c r="AE313" i="10"/>
  <c r="AD313" i="10"/>
  <c r="Z313" i="10"/>
  <c r="AA313" i="10" s="1"/>
  <c r="V313" i="10"/>
  <c r="AG313" i="10" s="1"/>
  <c r="U313" i="10"/>
  <c r="N313" i="10" a="1"/>
  <c r="N313" i="10" s="1"/>
  <c r="AE312" i="10"/>
  <c r="AD312" i="10"/>
  <c r="AA312" i="10"/>
  <c r="V312" i="10"/>
  <c r="AG312" i="10" s="1"/>
  <c r="U312" i="10"/>
  <c r="AF312" i="10" s="1"/>
  <c r="N312" i="10" a="1"/>
  <c r="N312" i="10" s="1"/>
  <c r="AE311" i="10"/>
  <c r="AD311" i="10"/>
  <c r="AA311" i="10"/>
  <c r="Z311" i="10"/>
  <c r="V311" i="10"/>
  <c r="U311" i="10"/>
  <c r="N311" i="10"/>
  <c r="N311" i="10" a="1"/>
  <c r="AE310" i="10"/>
  <c r="AD310" i="10"/>
  <c r="Z310" i="10"/>
  <c r="AA310" i="10" s="1"/>
  <c r="V310" i="10"/>
  <c r="U310" i="10"/>
  <c r="N310" i="10" a="1"/>
  <c r="N310" i="10" s="1"/>
  <c r="AE309" i="10"/>
  <c r="AD309" i="10"/>
  <c r="AA309" i="10"/>
  <c r="AG309" i="10" s="1"/>
  <c r="V309" i="10"/>
  <c r="U309" i="10"/>
  <c r="AF309" i="10" s="1"/>
  <c r="N309" i="10" a="1"/>
  <c r="N309" i="10" s="1"/>
  <c r="AE308" i="10"/>
  <c r="AD308" i="10"/>
  <c r="AA308" i="10"/>
  <c r="AG308" i="10" s="1"/>
  <c r="V308" i="10"/>
  <c r="U308" i="10"/>
  <c r="AF308" i="10" s="1"/>
  <c r="N308" i="10" a="1"/>
  <c r="N308" i="10" s="1"/>
  <c r="AE307" i="10"/>
  <c r="AD307" i="10"/>
  <c r="Z307" i="10"/>
  <c r="AA307" i="10" s="1"/>
  <c r="V307" i="10"/>
  <c r="AG307" i="10" s="1"/>
  <c r="U307" i="10"/>
  <c r="N307" i="10" a="1"/>
  <c r="N307" i="10" s="1"/>
  <c r="AF306" i="10"/>
  <c r="AE306" i="10"/>
  <c r="AD306" i="10"/>
  <c r="AA306" i="10"/>
  <c r="V306" i="10"/>
  <c r="U306" i="10"/>
  <c r="N306" i="10" a="1"/>
  <c r="N306" i="10" s="1"/>
  <c r="AE305" i="10"/>
  <c r="AD305" i="10"/>
  <c r="Z305" i="10"/>
  <c r="AA305" i="10" s="1"/>
  <c r="V305" i="10"/>
  <c r="AG305" i="10" s="1"/>
  <c r="U305" i="10"/>
  <c r="AF305" i="10" s="1"/>
  <c r="N305" i="10" a="1"/>
  <c r="N305" i="10" s="1"/>
  <c r="AE304" i="10"/>
  <c r="AD304" i="10"/>
  <c r="AA304" i="10"/>
  <c r="V304" i="10"/>
  <c r="AG304" i="10" s="1"/>
  <c r="U304" i="10"/>
  <c r="AF304" i="10" s="1"/>
  <c r="N304" i="10" a="1"/>
  <c r="N304" i="10" s="1"/>
  <c r="AE303" i="10"/>
  <c r="AD303" i="10"/>
  <c r="AA303" i="10"/>
  <c r="V303" i="10"/>
  <c r="U303" i="10"/>
  <c r="AF303" i="10" s="1"/>
  <c r="N303" i="10" a="1"/>
  <c r="N303" i="10" s="1"/>
  <c r="AE302" i="10"/>
  <c r="AD302" i="10"/>
  <c r="AA302" i="10"/>
  <c r="V302" i="10"/>
  <c r="AG302" i="10" s="1"/>
  <c r="U302" i="10"/>
  <c r="AF302" i="10" s="1"/>
  <c r="N302" i="10" a="1"/>
  <c r="N302" i="10" s="1"/>
  <c r="AE301" i="10"/>
  <c r="AD301" i="10"/>
  <c r="AA301" i="10"/>
  <c r="Z301" i="10"/>
  <c r="V301" i="10"/>
  <c r="U301" i="10"/>
  <c r="N301" i="10"/>
  <c r="N301" i="10" a="1"/>
  <c r="AE300" i="10"/>
  <c r="AD300" i="10"/>
  <c r="Z300" i="10"/>
  <c r="AA300" i="10" s="1"/>
  <c r="V300" i="10"/>
  <c r="U300" i="10"/>
  <c r="N300" i="10" a="1"/>
  <c r="N300" i="10" s="1"/>
  <c r="AE299" i="10"/>
  <c r="AD299" i="10"/>
  <c r="Z299" i="10"/>
  <c r="AA299" i="10" s="1"/>
  <c r="AG299" i="10" s="1"/>
  <c r="V299" i="10"/>
  <c r="U299" i="10"/>
  <c r="N299" i="10" a="1"/>
  <c r="N299" i="10" s="1"/>
  <c r="AE298" i="10"/>
  <c r="AD298" i="10"/>
  <c r="Z298" i="10"/>
  <c r="AA298" i="10" s="1"/>
  <c r="AG298" i="10" s="1"/>
  <c r="V298" i="10"/>
  <c r="U298" i="10"/>
  <c r="N298" i="10" a="1"/>
  <c r="N298" i="10" s="1"/>
  <c r="AE297" i="10"/>
  <c r="AD297" i="10"/>
  <c r="Z297" i="10"/>
  <c r="V297" i="10"/>
  <c r="U297" i="10"/>
  <c r="N297" i="10" a="1"/>
  <c r="N297" i="10" s="1"/>
  <c r="AE296" i="10"/>
  <c r="AD296" i="10"/>
  <c r="Z296" i="10"/>
  <c r="AA296" i="10" s="1"/>
  <c r="V296" i="10"/>
  <c r="U296" i="10"/>
  <c r="AF296" i="10" s="1"/>
  <c r="N296" i="10" a="1"/>
  <c r="N296" i="10" s="1"/>
  <c r="AE295" i="10"/>
  <c r="AD295" i="10"/>
  <c r="AA295" i="10"/>
  <c r="Z295" i="10"/>
  <c r="V295" i="10"/>
  <c r="AG295" i="10" s="1"/>
  <c r="U295" i="10"/>
  <c r="AF295" i="10" s="1"/>
  <c r="N295" i="10"/>
  <c r="N295" i="10" a="1"/>
  <c r="AE294" i="10"/>
  <c r="AD294" i="10"/>
  <c r="Z294" i="10"/>
  <c r="V294" i="10"/>
  <c r="U294" i="10"/>
  <c r="N294" i="10" a="1"/>
  <c r="N294" i="10" s="1"/>
  <c r="AE293" i="10"/>
  <c r="AD293" i="10"/>
  <c r="AA293" i="10"/>
  <c r="V293" i="10"/>
  <c r="U293" i="10"/>
  <c r="AF293" i="10" s="1"/>
  <c r="N293" i="10" a="1"/>
  <c r="N293" i="10" s="1"/>
  <c r="AE292" i="10"/>
  <c r="AD292" i="10"/>
  <c r="AA292" i="10"/>
  <c r="V292" i="10"/>
  <c r="AG292" i="10" s="1"/>
  <c r="U292" i="10"/>
  <c r="AF292" i="10" s="1"/>
  <c r="N292" i="10" a="1"/>
  <c r="N292" i="10" s="1"/>
  <c r="AE291" i="10"/>
  <c r="AD291" i="10"/>
  <c r="AA291" i="10"/>
  <c r="AG291" i="10" s="1"/>
  <c r="V291" i="10"/>
  <c r="U291" i="10"/>
  <c r="AF291" i="10" s="1"/>
  <c r="N291" i="10" a="1"/>
  <c r="N291" i="10" s="1"/>
  <c r="AE290" i="10"/>
  <c r="AD290" i="10"/>
  <c r="AA290" i="10"/>
  <c r="V290" i="10"/>
  <c r="AG290" i="10" s="1"/>
  <c r="U290" i="10"/>
  <c r="AF290" i="10" s="1"/>
  <c r="N290" i="10" a="1"/>
  <c r="N290" i="10" s="1"/>
  <c r="AE289" i="10"/>
  <c r="AD289" i="10"/>
  <c r="AA289" i="10"/>
  <c r="Z289" i="10"/>
  <c r="V289" i="10"/>
  <c r="AG289" i="10" s="1"/>
  <c r="U289" i="10"/>
  <c r="N289" i="10"/>
  <c r="N289" i="10" a="1"/>
  <c r="AF288" i="10"/>
  <c r="AE288" i="10"/>
  <c r="AD288" i="10"/>
  <c r="AA288" i="10"/>
  <c r="V288" i="10"/>
  <c r="AG288" i="10" s="1"/>
  <c r="U288" i="10"/>
  <c r="N288" i="10"/>
  <c r="N288" i="10" a="1"/>
  <c r="AF287" i="10"/>
  <c r="AE287" i="10"/>
  <c r="AD287" i="10"/>
  <c r="AA287" i="10"/>
  <c r="V287" i="10"/>
  <c r="AG287" i="10" s="1"/>
  <c r="U287" i="10"/>
  <c r="N287" i="10"/>
  <c r="N287" i="10" a="1"/>
  <c r="AF286" i="10"/>
  <c r="AE286" i="10"/>
  <c r="AD286" i="10"/>
  <c r="AA286" i="10"/>
  <c r="V286" i="10"/>
  <c r="AG286" i="10" s="1"/>
  <c r="AJ286" i="10" s="1"/>
  <c r="U286" i="10"/>
  <c r="N286" i="10" a="1"/>
  <c r="N286" i="10" s="1"/>
  <c r="AF285" i="10"/>
  <c r="AE285" i="10"/>
  <c r="AD285" i="10"/>
  <c r="AA285" i="10"/>
  <c r="V285" i="10"/>
  <c r="AG285" i="10" s="1"/>
  <c r="U285" i="10"/>
  <c r="N285" i="10" a="1"/>
  <c r="N285" i="10" s="1"/>
  <c r="AF284" i="10"/>
  <c r="AE284" i="10"/>
  <c r="AD284" i="10"/>
  <c r="AA284" i="10"/>
  <c r="V284" i="10"/>
  <c r="U284" i="10"/>
  <c r="N284" i="10" a="1"/>
  <c r="N284" i="10" s="1"/>
  <c r="AE283" i="10"/>
  <c r="AD283" i="10"/>
  <c r="AA283" i="10"/>
  <c r="V283" i="10"/>
  <c r="U283" i="10"/>
  <c r="AF283" i="10" s="1"/>
  <c r="N283" i="10" a="1"/>
  <c r="N283" i="10" s="1"/>
  <c r="AE282" i="10"/>
  <c r="AD282" i="10"/>
  <c r="AA282" i="10"/>
  <c r="V282" i="10"/>
  <c r="U282" i="10"/>
  <c r="AF282" i="10" s="1"/>
  <c r="N282" i="10" a="1"/>
  <c r="N282" i="10" s="1"/>
  <c r="AE281" i="10"/>
  <c r="AD281" i="10"/>
  <c r="AA281" i="10"/>
  <c r="V281" i="10"/>
  <c r="U281" i="10"/>
  <c r="AF281" i="10" s="1"/>
  <c r="N281" i="10" a="1"/>
  <c r="N281" i="10" s="1"/>
  <c r="AE280" i="10"/>
  <c r="AD280" i="10"/>
  <c r="AA280" i="10"/>
  <c r="V280" i="10"/>
  <c r="AG280" i="10" s="1"/>
  <c r="U280" i="10"/>
  <c r="AF280" i="10" s="1"/>
  <c r="N280" i="10" a="1"/>
  <c r="N280" i="10" s="1"/>
  <c r="AF279" i="10"/>
  <c r="AE279" i="10"/>
  <c r="AD279" i="10"/>
  <c r="AA279" i="10"/>
  <c r="V279" i="10"/>
  <c r="AG279" i="10" s="1"/>
  <c r="U279" i="10"/>
  <c r="N279" i="10" a="1"/>
  <c r="N279" i="10" s="1"/>
  <c r="AE278" i="10"/>
  <c r="AD278" i="10"/>
  <c r="AJ278" i="10" s="1"/>
  <c r="AA278" i="10"/>
  <c r="V278" i="10"/>
  <c r="AG278" i="10" s="1"/>
  <c r="U278" i="10"/>
  <c r="AF278" i="10" s="1"/>
  <c r="N278" i="10"/>
  <c r="N278" i="10" a="1"/>
  <c r="AF277" i="10"/>
  <c r="AE277" i="10"/>
  <c r="AD277" i="10"/>
  <c r="AJ277" i="10" s="1"/>
  <c r="AA277" i="10"/>
  <c r="V277" i="10"/>
  <c r="AG277" i="10" s="1"/>
  <c r="U277" i="10"/>
  <c r="N277" i="10" a="1"/>
  <c r="N277" i="10" s="1"/>
  <c r="AE276" i="10"/>
  <c r="AD276" i="10"/>
  <c r="AA276" i="10"/>
  <c r="V276" i="10"/>
  <c r="AG276" i="10" s="1"/>
  <c r="AJ276" i="10" s="1"/>
  <c r="U276" i="10"/>
  <c r="AF276" i="10" s="1"/>
  <c r="N276" i="10" a="1"/>
  <c r="N276" i="10" s="1"/>
  <c r="AF275" i="10"/>
  <c r="AE275" i="10"/>
  <c r="AD275" i="10"/>
  <c r="AA275" i="10"/>
  <c r="V275" i="10"/>
  <c r="AG275" i="10" s="1"/>
  <c r="U275" i="10"/>
  <c r="N275" i="10" a="1"/>
  <c r="N275" i="10" s="1"/>
  <c r="AE274" i="10"/>
  <c r="AD274" i="10"/>
  <c r="AJ274" i="10" s="1"/>
  <c r="AA274" i="10"/>
  <c r="V274" i="10"/>
  <c r="AG274" i="10" s="1"/>
  <c r="U274" i="10"/>
  <c r="AF274" i="10" s="1"/>
  <c r="N274" i="10"/>
  <c r="N274" i="10" a="1"/>
  <c r="AE273" i="10"/>
  <c r="AD273" i="10"/>
  <c r="AA273" i="10"/>
  <c r="V273" i="10"/>
  <c r="AG273" i="10" s="1"/>
  <c r="U273" i="10"/>
  <c r="AF273" i="10" s="1"/>
  <c r="N273" i="10" a="1"/>
  <c r="N273" i="10" s="1"/>
  <c r="AE272" i="10"/>
  <c r="AD272" i="10"/>
  <c r="AA272" i="10"/>
  <c r="V272" i="10"/>
  <c r="AG272" i="10" s="1"/>
  <c r="U272" i="10"/>
  <c r="AF272" i="10" s="1"/>
  <c r="N272" i="10" a="1"/>
  <c r="N272" i="10" s="1"/>
  <c r="AF271" i="10"/>
  <c r="AE271" i="10"/>
  <c r="AD271" i="10"/>
  <c r="AA271" i="10"/>
  <c r="V271" i="10"/>
  <c r="AG271" i="10" s="1"/>
  <c r="U271" i="10"/>
  <c r="N271" i="10" a="1"/>
  <c r="N271" i="10" s="1"/>
  <c r="AE270" i="10"/>
  <c r="AD270" i="10"/>
  <c r="AJ270" i="10" s="1"/>
  <c r="AA270" i="10"/>
  <c r="V270" i="10"/>
  <c r="AG270" i="10" s="1"/>
  <c r="U270" i="10"/>
  <c r="AF270" i="10" s="1"/>
  <c r="N270" i="10"/>
  <c r="N270" i="10" a="1"/>
  <c r="AE269" i="10"/>
  <c r="AD269" i="10"/>
  <c r="AA269" i="10"/>
  <c r="V269" i="10"/>
  <c r="AG269" i="10" s="1"/>
  <c r="U269" i="10"/>
  <c r="AF269" i="10" s="1"/>
  <c r="N269" i="10" a="1"/>
  <c r="N269" i="10" s="1"/>
  <c r="AE268" i="10"/>
  <c r="AD268" i="10"/>
  <c r="AA268" i="10"/>
  <c r="V268" i="10"/>
  <c r="AG268" i="10" s="1"/>
  <c r="U268" i="10"/>
  <c r="AF268" i="10" s="1"/>
  <c r="N268" i="10" a="1"/>
  <c r="N268" i="10" s="1"/>
  <c r="AE267" i="10"/>
  <c r="AD267" i="10"/>
  <c r="Z267" i="10"/>
  <c r="AA267" i="10" s="1"/>
  <c r="AG267" i="10" s="1"/>
  <c r="V267" i="10"/>
  <c r="U267" i="10"/>
  <c r="N267" i="10" a="1"/>
  <c r="N267" i="10" s="1"/>
  <c r="AE266" i="10"/>
  <c r="AD266" i="10"/>
  <c r="Z266" i="10"/>
  <c r="AA266" i="10" s="1"/>
  <c r="V266" i="10"/>
  <c r="AG266" i="10" s="1"/>
  <c r="U266" i="10"/>
  <c r="N266" i="10" a="1"/>
  <c r="N266" i="10" s="1"/>
  <c r="AE265" i="10"/>
  <c r="AD265" i="10"/>
  <c r="Z265" i="10"/>
  <c r="V265" i="10"/>
  <c r="U265" i="10"/>
  <c r="N265" i="10" a="1"/>
  <c r="N265" i="10" s="1"/>
  <c r="AE264" i="10"/>
  <c r="AD264" i="10"/>
  <c r="Z264" i="10"/>
  <c r="AA264" i="10" s="1"/>
  <c r="AG264" i="10" s="1"/>
  <c r="V264" i="10"/>
  <c r="U264" i="10"/>
  <c r="N264" i="10" a="1"/>
  <c r="N264" i="10" s="1"/>
  <c r="AE263" i="10"/>
  <c r="AD263" i="10"/>
  <c r="AA263" i="10"/>
  <c r="V263" i="10"/>
  <c r="U263" i="10"/>
  <c r="AF263" i="10" s="1"/>
  <c r="N263" i="10" a="1"/>
  <c r="N263" i="10" s="1"/>
  <c r="AE262" i="10"/>
  <c r="AD262" i="10"/>
  <c r="Z262" i="10"/>
  <c r="AA262" i="10" s="1"/>
  <c r="V262" i="10"/>
  <c r="U262" i="10"/>
  <c r="N262" i="10" a="1"/>
  <c r="N262" i="10" s="1"/>
  <c r="AE261" i="10"/>
  <c r="AD261" i="10"/>
  <c r="AJ261" i="10" s="1"/>
  <c r="AA261" i="10"/>
  <c r="AG261" i="10" s="1"/>
  <c r="V261" i="10"/>
  <c r="U261" i="10"/>
  <c r="AF261" i="10" s="1"/>
  <c r="N261" i="10" a="1"/>
  <c r="N261" i="10" s="1"/>
  <c r="AE260" i="10"/>
  <c r="AD260" i="10"/>
  <c r="Z260" i="10"/>
  <c r="AA260" i="10" s="1"/>
  <c r="V260" i="10"/>
  <c r="AG260" i="10" s="1"/>
  <c r="U260" i="10"/>
  <c r="N260" i="10" a="1"/>
  <c r="N260" i="10" s="1"/>
  <c r="AE259" i="10"/>
  <c r="AD259" i="10"/>
  <c r="Z259" i="10"/>
  <c r="V259" i="10"/>
  <c r="U259" i="10"/>
  <c r="N259" i="10" a="1"/>
  <c r="N259" i="10" s="1"/>
  <c r="AE258" i="10"/>
  <c r="AD258" i="10"/>
  <c r="AA258" i="10"/>
  <c r="V258" i="10"/>
  <c r="AG258" i="10" s="1"/>
  <c r="U258" i="10"/>
  <c r="AF258" i="10" s="1"/>
  <c r="N258" i="10" a="1"/>
  <c r="N258" i="10" s="1"/>
  <c r="AE257" i="10"/>
  <c r="AD257" i="10"/>
  <c r="AA257" i="10"/>
  <c r="V257" i="10"/>
  <c r="AG257" i="10" s="1"/>
  <c r="U257" i="10"/>
  <c r="AF257" i="10" s="1"/>
  <c r="N257" i="10" a="1"/>
  <c r="N257" i="10" s="1"/>
  <c r="AE256" i="10"/>
  <c r="AD256" i="10"/>
  <c r="Z256" i="10"/>
  <c r="AA256" i="10" s="1"/>
  <c r="V256" i="10"/>
  <c r="U256" i="10"/>
  <c r="N256" i="10" a="1"/>
  <c r="N256" i="10" s="1"/>
  <c r="AE255" i="10"/>
  <c r="AD255" i="10"/>
  <c r="AA255" i="10"/>
  <c r="V255" i="10"/>
  <c r="AG255" i="10" s="1"/>
  <c r="U255" i="10"/>
  <c r="AF255" i="10" s="1"/>
  <c r="AJ255" i="10" s="1"/>
  <c r="N255" i="10" a="1"/>
  <c r="N255" i="10" s="1"/>
  <c r="AE254" i="10"/>
  <c r="AD254" i="10"/>
  <c r="AA254" i="10"/>
  <c r="V254" i="10"/>
  <c r="AG254" i="10" s="1"/>
  <c r="U254" i="10"/>
  <c r="AF254" i="10" s="1"/>
  <c r="N254" i="10" a="1"/>
  <c r="N254" i="10" s="1"/>
  <c r="AE253" i="10"/>
  <c r="AD253" i="10"/>
  <c r="AA253" i="10"/>
  <c r="V253" i="10"/>
  <c r="U253" i="10"/>
  <c r="AF253" i="10" s="1"/>
  <c r="N253" i="10" a="1"/>
  <c r="N253" i="10" s="1"/>
  <c r="AE252" i="10"/>
  <c r="AD252" i="10"/>
  <c r="AA252" i="10"/>
  <c r="V252" i="10"/>
  <c r="U252" i="10"/>
  <c r="AF252" i="10" s="1"/>
  <c r="N252" i="10" a="1"/>
  <c r="N252" i="10" s="1"/>
  <c r="AE251" i="10"/>
  <c r="AD251" i="10"/>
  <c r="AA251" i="10"/>
  <c r="V251" i="10"/>
  <c r="AG251" i="10" s="1"/>
  <c r="U251" i="10"/>
  <c r="AF251" i="10" s="1"/>
  <c r="N251" i="10" a="1"/>
  <c r="N251" i="10" s="1"/>
  <c r="AE250" i="10"/>
  <c r="AD250" i="10"/>
  <c r="AA250" i="10"/>
  <c r="V250" i="10"/>
  <c r="AG250" i="10" s="1"/>
  <c r="U250" i="10"/>
  <c r="AF250" i="10" s="1"/>
  <c r="N250" i="10" a="1"/>
  <c r="N250" i="10" s="1"/>
  <c r="AE249" i="10"/>
  <c r="AD249" i="10"/>
  <c r="AJ249" i="10" s="1"/>
  <c r="AA249" i="10"/>
  <c r="AG249" i="10" s="1"/>
  <c r="V249" i="10"/>
  <c r="U249" i="10"/>
  <c r="AF249" i="10" s="1"/>
  <c r="N249" i="10"/>
  <c r="N249" i="10" a="1"/>
  <c r="AE248" i="10"/>
  <c r="AD248" i="10"/>
  <c r="AA248" i="10"/>
  <c r="V248" i="10"/>
  <c r="U248" i="10"/>
  <c r="AF248" i="10" s="1"/>
  <c r="N248" i="10" a="1"/>
  <c r="N248" i="10" s="1"/>
  <c r="AE247" i="10"/>
  <c r="AD247" i="10"/>
  <c r="AA247" i="10"/>
  <c r="V247" i="10"/>
  <c r="U247" i="10"/>
  <c r="AF247" i="10" s="1"/>
  <c r="N247" i="10" a="1"/>
  <c r="N247" i="10" s="1"/>
  <c r="AF246" i="10"/>
  <c r="AE246" i="10"/>
  <c r="AD246" i="10"/>
  <c r="AA246" i="10"/>
  <c r="V246" i="10"/>
  <c r="AG246" i="10" s="1"/>
  <c r="U246" i="10"/>
  <c r="N246" i="10" a="1"/>
  <c r="N246" i="10" s="1"/>
  <c r="AE245" i="10"/>
  <c r="AD245" i="10"/>
  <c r="AJ245" i="10" s="1"/>
  <c r="AA245" i="10"/>
  <c r="AG245" i="10" s="1"/>
  <c r="V245" i="10"/>
  <c r="U245" i="10"/>
  <c r="AF245" i="10" s="1"/>
  <c r="N245" i="10"/>
  <c r="N245" i="10" a="1"/>
  <c r="AE244" i="10"/>
  <c r="AD244" i="10"/>
  <c r="AA244" i="10"/>
  <c r="V244" i="10"/>
  <c r="U244" i="10"/>
  <c r="AF244" i="10" s="1"/>
  <c r="N244" i="10" a="1"/>
  <c r="N244" i="10" s="1"/>
  <c r="AE243" i="10"/>
  <c r="AD243" i="10"/>
  <c r="AA243" i="10"/>
  <c r="V243" i="10"/>
  <c r="U243" i="10"/>
  <c r="AF243" i="10" s="1"/>
  <c r="N243" i="10" a="1"/>
  <c r="N243" i="10" s="1"/>
  <c r="AF242" i="10"/>
  <c r="AE242" i="10"/>
  <c r="AD242" i="10"/>
  <c r="AA242" i="10"/>
  <c r="V242" i="10"/>
  <c r="AG242" i="10" s="1"/>
  <c r="U242" i="10"/>
  <c r="N242" i="10" a="1"/>
  <c r="N242" i="10" s="1"/>
  <c r="AE241" i="10"/>
  <c r="AD241" i="10"/>
  <c r="AA241" i="10"/>
  <c r="V241" i="10"/>
  <c r="U241" i="10"/>
  <c r="AF241" i="10" s="1"/>
  <c r="N241" i="10" a="1"/>
  <c r="N241" i="10" s="1"/>
  <c r="AE240" i="10"/>
  <c r="AD240" i="10"/>
  <c r="AA240" i="10"/>
  <c r="V240" i="10"/>
  <c r="U240" i="10"/>
  <c r="AF240" i="10" s="1"/>
  <c r="N240" i="10" a="1"/>
  <c r="N240" i="10" s="1"/>
  <c r="AE239" i="10"/>
  <c r="AD239" i="10"/>
  <c r="AA239" i="10"/>
  <c r="AG239" i="10" s="1"/>
  <c r="V239" i="10"/>
  <c r="U239" i="10"/>
  <c r="AF239" i="10" s="1"/>
  <c r="N239" i="10" a="1"/>
  <c r="N239" i="10" s="1"/>
  <c r="AE238" i="10"/>
  <c r="AD238" i="10"/>
  <c r="Z238" i="10"/>
  <c r="AA238" i="10" s="1"/>
  <c r="AG238" i="10" s="1"/>
  <c r="V238" i="10"/>
  <c r="U238" i="10"/>
  <c r="AF238" i="10" s="1"/>
  <c r="N238" i="10" a="1"/>
  <c r="N238" i="10" s="1"/>
  <c r="AE237" i="10"/>
  <c r="AD237" i="10"/>
  <c r="AA237" i="10"/>
  <c r="V237" i="10"/>
  <c r="U237" i="10"/>
  <c r="AF237" i="10" s="1"/>
  <c r="N237" i="10" a="1"/>
  <c r="N237" i="10" s="1"/>
  <c r="AE236" i="10"/>
  <c r="AD236" i="10"/>
  <c r="AA236" i="10"/>
  <c r="AG236" i="10" s="1"/>
  <c r="V236" i="10"/>
  <c r="U236" i="10"/>
  <c r="AF236" i="10" s="1"/>
  <c r="N236" i="10" a="1"/>
  <c r="N236" i="10" s="1"/>
  <c r="AE235" i="10"/>
  <c r="AD235" i="10"/>
  <c r="AA235" i="10"/>
  <c r="V235" i="10"/>
  <c r="U235" i="10"/>
  <c r="AF235" i="10" s="1"/>
  <c r="N235" i="10" a="1"/>
  <c r="N235" i="10" s="1"/>
  <c r="AE234" i="10"/>
  <c r="AD234" i="10"/>
  <c r="AA234" i="10"/>
  <c r="Z234" i="10"/>
  <c r="V234" i="10"/>
  <c r="AG234" i="10" s="1"/>
  <c r="U234" i="10"/>
  <c r="AF234" i="10" s="1"/>
  <c r="N234" i="10"/>
  <c r="N234" i="10" a="1"/>
  <c r="AE233" i="10"/>
  <c r="AD233" i="10"/>
  <c r="Z233" i="10"/>
  <c r="V233" i="10"/>
  <c r="U233" i="10"/>
  <c r="N233" i="10" a="1"/>
  <c r="N233" i="10" s="1"/>
  <c r="AE232" i="10"/>
  <c r="AD232" i="10"/>
  <c r="Z232" i="10"/>
  <c r="AA232" i="10" s="1"/>
  <c r="V232" i="10"/>
  <c r="U232" i="10"/>
  <c r="N232" i="10" a="1"/>
  <c r="N232" i="10" s="1"/>
  <c r="AE231" i="10"/>
  <c r="AD231" i="10"/>
  <c r="AA231" i="10"/>
  <c r="AG231" i="10" s="1"/>
  <c r="V231" i="10"/>
  <c r="U231" i="10"/>
  <c r="AF231" i="10" s="1"/>
  <c r="N231" i="10" a="1"/>
  <c r="N231" i="10" s="1"/>
  <c r="AE230" i="10"/>
  <c r="AD230" i="10"/>
  <c r="AA230" i="10"/>
  <c r="V230" i="10"/>
  <c r="U230" i="10"/>
  <c r="AF230" i="10" s="1"/>
  <c r="N230" i="10" a="1"/>
  <c r="N230" i="10" s="1"/>
  <c r="AE229" i="10"/>
  <c r="AD229" i="10"/>
  <c r="AA229" i="10"/>
  <c r="AG229" i="10" s="1"/>
  <c r="V229" i="10"/>
  <c r="U229" i="10"/>
  <c r="AF229" i="10" s="1"/>
  <c r="N229" i="10" a="1"/>
  <c r="N229" i="10" s="1"/>
  <c r="AE228" i="10"/>
  <c r="AD228" i="10"/>
  <c r="AA228" i="10"/>
  <c r="V228" i="10"/>
  <c r="U228" i="10"/>
  <c r="AF228" i="10" s="1"/>
  <c r="N228" i="10" a="1"/>
  <c r="N228" i="10" s="1"/>
  <c r="AE227" i="10"/>
  <c r="AD227" i="10"/>
  <c r="Z227" i="10"/>
  <c r="AA227" i="10" s="1"/>
  <c r="V227" i="10"/>
  <c r="U227" i="10"/>
  <c r="AF227" i="10" s="1"/>
  <c r="N227" i="10" a="1"/>
  <c r="N227" i="10" s="1"/>
  <c r="AE226" i="10"/>
  <c r="AD226" i="10"/>
  <c r="AA226" i="10"/>
  <c r="AG226" i="10" s="1"/>
  <c r="V226" i="10"/>
  <c r="U226" i="10"/>
  <c r="AF226" i="10" s="1"/>
  <c r="N226" i="10" a="1"/>
  <c r="N226" i="10" s="1"/>
  <c r="AE225" i="10"/>
  <c r="AD225" i="10"/>
  <c r="AA225" i="10"/>
  <c r="V225" i="10"/>
  <c r="U225" i="10"/>
  <c r="AF225" i="10" s="1"/>
  <c r="N225" i="10" a="1"/>
  <c r="N225" i="10" s="1"/>
  <c r="AE224" i="10"/>
  <c r="AD224" i="10"/>
  <c r="AA224" i="10"/>
  <c r="Z224" i="10"/>
  <c r="V224" i="10"/>
  <c r="U224" i="10"/>
  <c r="AF224" i="10" s="1"/>
  <c r="N224" i="10"/>
  <c r="N224" i="10" a="1"/>
  <c r="AE223" i="10"/>
  <c r="AD223" i="10"/>
  <c r="AJ223" i="10" s="1"/>
  <c r="AA223" i="10"/>
  <c r="V223" i="10"/>
  <c r="AG223" i="10" s="1"/>
  <c r="U223" i="10"/>
  <c r="AF223" i="10" s="1"/>
  <c r="N223" i="10" a="1"/>
  <c r="N223" i="10" s="1"/>
  <c r="AE222" i="10"/>
  <c r="AD222" i="10"/>
  <c r="AA222" i="10"/>
  <c r="AG222" i="10" s="1"/>
  <c r="V222" i="10"/>
  <c r="U222" i="10"/>
  <c r="AF222" i="10" s="1"/>
  <c r="N222" i="10" a="1"/>
  <c r="N222" i="10" s="1"/>
  <c r="AE221" i="10"/>
  <c r="AD221" i="10"/>
  <c r="AA221" i="10"/>
  <c r="V221" i="10"/>
  <c r="U221" i="10"/>
  <c r="AF221" i="10" s="1"/>
  <c r="N221" i="10" a="1"/>
  <c r="N221" i="10" s="1"/>
  <c r="AE220" i="10"/>
  <c r="AD220" i="10"/>
  <c r="AA220" i="10"/>
  <c r="V220" i="10"/>
  <c r="U220" i="10"/>
  <c r="AF220" i="10" s="1"/>
  <c r="N220" i="10" a="1"/>
  <c r="N220" i="10" s="1"/>
  <c r="AE219" i="10"/>
  <c r="AD219" i="10"/>
  <c r="AA219" i="10"/>
  <c r="V219" i="10"/>
  <c r="AG219" i="10" s="1"/>
  <c r="U219" i="10"/>
  <c r="AF219" i="10" s="1"/>
  <c r="N219" i="10" a="1"/>
  <c r="N219" i="10" s="1"/>
  <c r="AE218" i="10"/>
  <c r="AD218" i="10"/>
  <c r="AA218" i="10"/>
  <c r="Z218" i="10"/>
  <c r="V218" i="10"/>
  <c r="U218" i="10"/>
  <c r="AF218" i="10" s="1"/>
  <c r="N218" i="10"/>
  <c r="N218" i="10" a="1"/>
  <c r="AE217" i="10"/>
  <c r="AD217" i="10"/>
  <c r="Z217" i="10"/>
  <c r="AA217" i="10" s="1"/>
  <c r="V217" i="10"/>
  <c r="AG217" i="10" s="1"/>
  <c r="U217" i="10"/>
  <c r="AF217" i="10" s="1"/>
  <c r="N217" i="10" a="1"/>
  <c r="N217" i="10" s="1"/>
  <c r="AE216" i="10"/>
  <c r="AD216" i="10"/>
  <c r="Z216" i="10"/>
  <c r="AA216" i="10" s="1"/>
  <c r="AG216" i="10" s="1"/>
  <c r="V216" i="10"/>
  <c r="U216" i="10"/>
  <c r="AF216" i="10" s="1"/>
  <c r="N216" i="10" a="1"/>
  <c r="N216" i="10" s="1"/>
  <c r="AE215" i="10"/>
  <c r="AD215" i="10"/>
  <c r="Z215" i="10"/>
  <c r="AA215" i="10" s="1"/>
  <c r="V215" i="10"/>
  <c r="U215" i="10"/>
  <c r="N215" i="10" a="1"/>
  <c r="N215" i="10" s="1"/>
  <c r="AE214" i="10"/>
  <c r="AD214" i="10"/>
  <c r="AA214" i="10"/>
  <c r="V214" i="10"/>
  <c r="U214" i="10"/>
  <c r="AF214" i="10" s="1"/>
  <c r="N214" i="10" a="1"/>
  <c r="N214" i="10" s="1"/>
  <c r="AE213" i="10"/>
  <c r="AD213" i="10"/>
  <c r="AA213" i="10"/>
  <c r="V213" i="10"/>
  <c r="U213" i="10"/>
  <c r="AF213" i="10" s="1"/>
  <c r="N213" i="10" a="1"/>
  <c r="N213" i="10" s="1"/>
  <c r="AE212" i="10"/>
  <c r="AD212" i="10"/>
  <c r="AJ212" i="10" s="1"/>
  <c r="AA212" i="10"/>
  <c r="AG212" i="10" s="1"/>
  <c r="V212" i="10"/>
  <c r="U212" i="10"/>
  <c r="AF212" i="10" s="1"/>
  <c r="N212" i="10"/>
  <c r="N212" i="10" a="1"/>
  <c r="AE211" i="10"/>
  <c r="AD211" i="10"/>
  <c r="AA211" i="10"/>
  <c r="V211" i="10"/>
  <c r="U211" i="10"/>
  <c r="AF211" i="10" s="1"/>
  <c r="N211" i="10" a="1"/>
  <c r="N211" i="10" s="1"/>
  <c r="AE210" i="10"/>
  <c r="AD210" i="10"/>
  <c r="AA210" i="10"/>
  <c r="V210" i="10"/>
  <c r="U210" i="10"/>
  <c r="AF210" i="10" s="1"/>
  <c r="N210" i="10" a="1"/>
  <c r="N210" i="10" s="1"/>
  <c r="AF209" i="10"/>
  <c r="AE209" i="10"/>
  <c r="AD209" i="10"/>
  <c r="AA209" i="10"/>
  <c r="V209" i="10"/>
  <c r="AG209" i="10" s="1"/>
  <c r="U209" i="10"/>
  <c r="N209" i="10" a="1"/>
  <c r="N209" i="10" s="1"/>
  <c r="AE208" i="10"/>
  <c r="AD208" i="10"/>
  <c r="AA208" i="10"/>
  <c r="Z208" i="10"/>
  <c r="V208" i="10"/>
  <c r="AG208" i="10" s="1"/>
  <c r="U208" i="10"/>
  <c r="AF208" i="10" s="1"/>
  <c r="N208" i="10" a="1"/>
  <c r="N208" i="10" s="1"/>
  <c r="AE207" i="10"/>
  <c r="AD207" i="10"/>
  <c r="AA207" i="10"/>
  <c r="V207" i="10"/>
  <c r="U207" i="10"/>
  <c r="AF207" i="10" s="1"/>
  <c r="N207" i="10" a="1"/>
  <c r="N207" i="10" s="1"/>
  <c r="AE206" i="10"/>
  <c r="AD206" i="10"/>
  <c r="AA206" i="10"/>
  <c r="V206" i="10"/>
  <c r="U206" i="10"/>
  <c r="AF206" i="10" s="1"/>
  <c r="N206" i="10" a="1"/>
  <c r="N206" i="10" s="1"/>
  <c r="AE205" i="10"/>
  <c r="AD205" i="10"/>
  <c r="AA205" i="10"/>
  <c r="AG205" i="10" s="1"/>
  <c r="V205" i="10"/>
  <c r="U205" i="10"/>
  <c r="AF205" i="10" s="1"/>
  <c r="N205" i="10" a="1"/>
  <c r="N205" i="10" s="1"/>
  <c r="AE204" i="10"/>
  <c r="AD204" i="10"/>
  <c r="AA204" i="10"/>
  <c r="V204" i="10"/>
  <c r="AG204" i="10" s="1"/>
  <c r="U204" i="10"/>
  <c r="AF204" i="10" s="1"/>
  <c r="N204" i="10" a="1"/>
  <c r="N204" i="10" s="1"/>
  <c r="AE203" i="10"/>
  <c r="AD203" i="10"/>
  <c r="AA203" i="10"/>
  <c r="V203" i="10"/>
  <c r="U203" i="10"/>
  <c r="AF203" i="10" s="1"/>
  <c r="N203" i="10" a="1"/>
  <c r="N203" i="10" s="1"/>
  <c r="AE202" i="10"/>
  <c r="AD202" i="10"/>
  <c r="Z202" i="10"/>
  <c r="AA202" i="10" s="1"/>
  <c r="V202" i="10"/>
  <c r="U202" i="10"/>
  <c r="N202" i="10" a="1"/>
  <c r="N202" i="10" s="1"/>
  <c r="AE201" i="10"/>
  <c r="AD201" i="10"/>
  <c r="AA201" i="10"/>
  <c r="V201" i="10"/>
  <c r="U201" i="10"/>
  <c r="AF201" i="10" s="1"/>
  <c r="N201" i="10" a="1"/>
  <c r="N201" i="10" s="1"/>
  <c r="AE200" i="10"/>
  <c r="AD200" i="10"/>
  <c r="Z200" i="10"/>
  <c r="AA200" i="10" s="1"/>
  <c r="AG200" i="10" s="1"/>
  <c r="V200" i="10"/>
  <c r="U200" i="10"/>
  <c r="AF200" i="10" s="1"/>
  <c r="N200" i="10" a="1"/>
  <c r="N200" i="10" s="1"/>
  <c r="AE199" i="10"/>
  <c r="AD199" i="10"/>
  <c r="AA199" i="10"/>
  <c r="V199" i="10"/>
  <c r="U199" i="10"/>
  <c r="AF199" i="10" s="1"/>
  <c r="N199" i="10" a="1"/>
  <c r="N199" i="10" s="1"/>
  <c r="AE198" i="10"/>
  <c r="AD198" i="10"/>
  <c r="AA198" i="10"/>
  <c r="AG198" i="10" s="1"/>
  <c r="V198" i="10"/>
  <c r="U198" i="10"/>
  <c r="AF198" i="10" s="1"/>
  <c r="N198" i="10" a="1"/>
  <c r="N198" i="10" s="1"/>
  <c r="AE197" i="10"/>
  <c r="AD197" i="10"/>
  <c r="AA197" i="10"/>
  <c r="V197" i="10"/>
  <c r="AG197" i="10" s="1"/>
  <c r="U197" i="10"/>
  <c r="AF197" i="10" s="1"/>
  <c r="N197" i="10" a="1"/>
  <c r="N197" i="10" s="1"/>
  <c r="AE196" i="10"/>
  <c r="AD196" i="10"/>
  <c r="Z196" i="10"/>
  <c r="AA196" i="10" s="1"/>
  <c r="V196" i="10"/>
  <c r="U196" i="10"/>
  <c r="N196" i="10" a="1"/>
  <c r="N196" i="10" s="1"/>
  <c r="AF195" i="10"/>
  <c r="AE195" i="10"/>
  <c r="AD195" i="10"/>
  <c r="AA195" i="10"/>
  <c r="V195" i="10"/>
  <c r="AG195" i="10" s="1"/>
  <c r="U195" i="10"/>
  <c r="N195" i="10" a="1"/>
  <c r="N195" i="10" s="1"/>
  <c r="AE194" i="10"/>
  <c r="AD194" i="10"/>
  <c r="AA194" i="10"/>
  <c r="V194" i="10"/>
  <c r="U194" i="10"/>
  <c r="AF194" i="10" s="1"/>
  <c r="N194" i="10" a="1"/>
  <c r="N194" i="10" s="1"/>
  <c r="AE193" i="10"/>
  <c r="AD193" i="10"/>
  <c r="AA193" i="10"/>
  <c r="V193" i="10"/>
  <c r="AG193" i="10" s="1"/>
  <c r="U193" i="10"/>
  <c r="AF193" i="10" s="1"/>
  <c r="N193" i="10" a="1"/>
  <c r="N193" i="10" s="1"/>
  <c r="AE192" i="10"/>
  <c r="AD192" i="10"/>
  <c r="AA192" i="10"/>
  <c r="AG192" i="10" s="1"/>
  <c r="V192" i="10"/>
  <c r="U192" i="10"/>
  <c r="AF192" i="10" s="1"/>
  <c r="N192" i="10" a="1"/>
  <c r="N192" i="10" s="1"/>
  <c r="AE191" i="10"/>
  <c r="AD191" i="10"/>
  <c r="AA191" i="10"/>
  <c r="V191" i="10"/>
  <c r="U191" i="10"/>
  <c r="AF191" i="10" s="1"/>
  <c r="N191" i="10" a="1"/>
  <c r="N191" i="10" s="1"/>
  <c r="AE190" i="10"/>
  <c r="AD190" i="10"/>
  <c r="AA190" i="10"/>
  <c r="V190" i="10"/>
  <c r="U190" i="10"/>
  <c r="AF190" i="10" s="1"/>
  <c r="N190" i="10" a="1"/>
  <c r="N190" i="10" s="1"/>
  <c r="AE189" i="10"/>
  <c r="AD189" i="10"/>
  <c r="AA189" i="10"/>
  <c r="V189" i="10"/>
  <c r="U189" i="10"/>
  <c r="AF189" i="10" s="1"/>
  <c r="N189" i="10" a="1"/>
  <c r="N189" i="10" s="1"/>
  <c r="AE188" i="10"/>
  <c r="AD188" i="10"/>
  <c r="AA188" i="10"/>
  <c r="AG188" i="10" s="1"/>
  <c r="V188" i="10"/>
  <c r="U188" i="10"/>
  <c r="AF188" i="10" s="1"/>
  <c r="N188" i="10" a="1"/>
  <c r="N188" i="10" s="1"/>
  <c r="AE187" i="10"/>
  <c r="AD187" i="10"/>
  <c r="AA187" i="10"/>
  <c r="V187" i="10"/>
  <c r="U187" i="10"/>
  <c r="AF187" i="10" s="1"/>
  <c r="N187" i="10" a="1"/>
  <c r="N187" i="10" s="1"/>
  <c r="AE186" i="10"/>
  <c r="AD186" i="10"/>
  <c r="AA186" i="10"/>
  <c r="V186" i="10"/>
  <c r="U186" i="10"/>
  <c r="AF186" i="10" s="1"/>
  <c r="N186" i="10" a="1"/>
  <c r="N186" i="10" s="1"/>
  <c r="AF185" i="10"/>
  <c r="AE185" i="10"/>
  <c r="AD185" i="10"/>
  <c r="AA185" i="10"/>
  <c r="V185" i="10"/>
  <c r="AG185" i="10" s="1"/>
  <c r="U185" i="10"/>
  <c r="N185" i="10" a="1"/>
  <c r="N185" i="10" s="1"/>
  <c r="AE184" i="10"/>
  <c r="AD184" i="10"/>
  <c r="AA184" i="10"/>
  <c r="V184" i="10"/>
  <c r="U184" i="10"/>
  <c r="AF184" i="10" s="1"/>
  <c r="N184" i="10"/>
  <c r="N184" i="10" a="1"/>
  <c r="AE183" i="10"/>
  <c r="AD183" i="10"/>
  <c r="AA183" i="10"/>
  <c r="V183" i="10"/>
  <c r="AG183" i="10" s="1"/>
  <c r="U183" i="10"/>
  <c r="AF183" i="10" s="1"/>
  <c r="N183" i="10" a="1"/>
  <c r="N183" i="10" s="1"/>
  <c r="AE182" i="10"/>
  <c r="AD182" i="10"/>
  <c r="AA182" i="10"/>
  <c r="V182" i="10"/>
  <c r="U182" i="10"/>
  <c r="AF182" i="10" s="1"/>
  <c r="N182" i="10" a="1"/>
  <c r="N182" i="10" s="1"/>
  <c r="AF181" i="10"/>
  <c r="AE181" i="10"/>
  <c r="AD181" i="10"/>
  <c r="AA181" i="10"/>
  <c r="V181" i="10"/>
  <c r="AG181" i="10" s="1"/>
  <c r="U181" i="10"/>
  <c r="N181" i="10" a="1"/>
  <c r="N181" i="10" s="1"/>
  <c r="AE180" i="10"/>
  <c r="AD180" i="10"/>
  <c r="AA180" i="10"/>
  <c r="V180" i="10"/>
  <c r="U180" i="10"/>
  <c r="AF180" i="10" s="1"/>
  <c r="N180" i="10"/>
  <c r="N180" i="10" a="1"/>
  <c r="AE179" i="10"/>
  <c r="AD179" i="10"/>
  <c r="AA179" i="10"/>
  <c r="V179" i="10"/>
  <c r="U179" i="10"/>
  <c r="AF179" i="10" s="1"/>
  <c r="N179" i="10" a="1"/>
  <c r="N179" i="10" s="1"/>
  <c r="AE178" i="10"/>
  <c r="AJ178" i="10" s="1"/>
  <c r="AD178" i="10"/>
  <c r="AA178" i="10"/>
  <c r="AG178" i="10" s="1"/>
  <c r="V178" i="10"/>
  <c r="U178" i="10"/>
  <c r="AF178" i="10" s="1"/>
  <c r="N178" i="10" a="1"/>
  <c r="N178" i="10" s="1"/>
  <c r="AE176" i="10"/>
  <c r="AD176" i="10"/>
  <c r="AA176" i="10"/>
  <c r="AG176" i="10" s="1"/>
  <c r="V176" i="10"/>
  <c r="U176" i="10"/>
  <c r="AF176" i="10" s="1"/>
  <c r="N176" i="10" a="1"/>
  <c r="N176" i="10" s="1"/>
  <c r="AE175" i="10"/>
  <c r="AD175" i="10"/>
  <c r="AA175" i="10"/>
  <c r="V175" i="10"/>
  <c r="U175" i="10"/>
  <c r="AF175" i="10" s="1"/>
  <c r="N175" i="10" a="1"/>
  <c r="N175" i="10" s="1"/>
  <c r="AF174" i="10"/>
  <c r="AE174" i="10"/>
  <c r="AD174" i="10"/>
  <c r="AA174" i="10"/>
  <c r="V174" i="10"/>
  <c r="U174" i="10"/>
  <c r="N174" i="10" a="1"/>
  <c r="N174" i="10" s="1"/>
  <c r="AE173" i="10"/>
  <c r="AD173" i="10"/>
  <c r="AA173" i="10"/>
  <c r="V173" i="10"/>
  <c r="U173" i="10"/>
  <c r="AF173" i="10" s="1"/>
  <c r="N173" i="10" a="1"/>
  <c r="N173" i="10" s="1"/>
  <c r="AE172" i="10"/>
  <c r="AD172" i="10"/>
  <c r="AA172" i="10"/>
  <c r="AG172" i="10" s="1"/>
  <c r="V172" i="10"/>
  <c r="U172" i="10"/>
  <c r="AF172" i="10" s="1"/>
  <c r="N172" i="10" a="1"/>
  <c r="N172" i="10" s="1"/>
  <c r="AE171" i="10"/>
  <c r="AD171" i="10"/>
  <c r="Z171" i="10"/>
  <c r="AA171" i="10" s="1"/>
  <c r="V171" i="10"/>
  <c r="U171" i="10"/>
  <c r="AF171" i="10" s="1"/>
  <c r="N171" i="10" a="1"/>
  <c r="N171" i="10" s="1"/>
  <c r="AE170" i="10"/>
  <c r="AD170" i="10"/>
  <c r="Z170" i="10"/>
  <c r="AA170" i="10" s="1"/>
  <c r="AG170" i="10" s="1"/>
  <c r="V170" i="10"/>
  <c r="U170" i="10"/>
  <c r="AF170" i="10" s="1"/>
  <c r="N170" i="10" a="1"/>
  <c r="N170" i="10" s="1"/>
  <c r="AE169" i="10"/>
  <c r="AD169" i="10"/>
  <c r="AA169" i="10"/>
  <c r="V169" i="10"/>
  <c r="U169" i="10"/>
  <c r="AF169" i="10" s="1"/>
  <c r="N169" i="10" a="1"/>
  <c r="N169" i="10" s="1"/>
  <c r="AE168" i="10"/>
  <c r="AD168" i="10"/>
  <c r="AA168" i="10"/>
  <c r="V168" i="10"/>
  <c r="AG168" i="10" s="1"/>
  <c r="U168" i="10"/>
  <c r="AF168" i="10" s="1"/>
  <c r="N168" i="10" a="1"/>
  <c r="N168" i="10" s="1"/>
  <c r="AE167" i="10"/>
  <c r="AD167" i="10"/>
  <c r="AA167" i="10"/>
  <c r="AG167" i="10" s="1"/>
  <c r="Z167" i="10"/>
  <c r="AF167" i="10" s="1"/>
  <c r="V167" i="10"/>
  <c r="U167" i="10"/>
  <c r="N167" i="10"/>
  <c r="N167" i="10" a="1"/>
  <c r="AE166" i="10"/>
  <c r="AD166" i="10"/>
  <c r="Z166" i="10"/>
  <c r="AA166" i="10" s="1"/>
  <c r="V166" i="10"/>
  <c r="U166" i="10"/>
  <c r="N166" i="10" a="1"/>
  <c r="N166" i="10" s="1"/>
  <c r="AE165" i="10"/>
  <c r="AD165" i="10"/>
  <c r="Z165" i="10"/>
  <c r="AA165" i="10" s="1"/>
  <c r="V165" i="10"/>
  <c r="AG165" i="10" s="1"/>
  <c r="U165" i="10"/>
  <c r="AF165" i="10" s="1"/>
  <c r="N165" i="10" a="1"/>
  <c r="N165" i="10" s="1"/>
  <c r="AF164" i="10"/>
  <c r="AE164" i="10"/>
  <c r="AD164" i="10"/>
  <c r="AA164" i="10"/>
  <c r="V164" i="10"/>
  <c r="U164" i="10"/>
  <c r="N164" i="10" a="1"/>
  <c r="N164" i="10" s="1"/>
  <c r="AE163" i="10"/>
  <c r="AD163" i="10"/>
  <c r="AA163" i="10"/>
  <c r="V163" i="10"/>
  <c r="AG163" i="10" s="1"/>
  <c r="U163" i="10"/>
  <c r="AF163" i="10" s="1"/>
  <c r="N163" i="10"/>
  <c r="N163" i="10" a="1"/>
  <c r="AE162" i="10"/>
  <c r="AD162" i="10"/>
  <c r="AA162" i="10"/>
  <c r="V162" i="10"/>
  <c r="U162" i="10"/>
  <c r="AF162" i="10" s="1"/>
  <c r="N162" i="10" a="1"/>
  <c r="N162" i="10" s="1"/>
  <c r="AE161" i="10"/>
  <c r="AD161" i="10"/>
  <c r="AA161" i="10"/>
  <c r="V161" i="10"/>
  <c r="U161" i="10"/>
  <c r="AF161" i="10" s="1"/>
  <c r="N161" i="10" a="1"/>
  <c r="N161" i="10" s="1"/>
  <c r="AE160" i="10"/>
  <c r="AD160" i="10"/>
  <c r="AA160" i="10"/>
  <c r="V160" i="10"/>
  <c r="U160" i="10"/>
  <c r="AF160" i="10" s="1"/>
  <c r="N160" i="10" a="1"/>
  <c r="N160" i="10" s="1"/>
  <c r="AE159" i="10"/>
  <c r="AD159" i="10"/>
  <c r="Z159" i="10"/>
  <c r="V159" i="10"/>
  <c r="U159" i="10"/>
  <c r="N159" i="10" a="1"/>
  <c r="N159" i="10" s="1"/>
  <c r="AE158" i="10"/>
  <c r="AD158" i="10"/>
  <c r="AA158" i="10"/>
  <c r="V158" i="10"/>
  <c r="U158" i="10"/>
  <c r="AF158" i="10" s="1"/>
  <c r="N158" i="10" a="1"/>
  <c r="N158" i="10" s="1"/>
  <c r="AE157" i="10"/>
  <c r="AD157" i="10"/>
  <c r="Z157" i="10"/>
  <c r="AA157" i="10" s="1"/>
  <c r="V157" i="10"/>
  <c r="AG157" i="10" s="1"/>
  <c r="U157" i="10"/>
  <c r="AF157" i="10" s="1"/>
  <c r="N157" i="10" a="1"/>
  <c r="N157" i="10" s="1"/>
  <c r="AE156" i="10"/>
  <c r="AD156" i="10"/>
  <c r="Z156" i="10"/>
  <c r="AA156" i="10" s="1"/>
  <c r="AG156" i="10" s="1"/>
  <c r="V156" i="10"/>
  <c r="U156" i="10"/>
  <c r="AF156" i="10" s="1"/>
  <c r="N156" i="10" a="1"/>
  <c r="N156" i="10" s="1"/>
  <c r="AF155" i="10"/>
  <c r="AE155" i="10"/>
  <c r="AD155" i="10"/>
  <c r="AA155" i="10"/>
  <c r="V155" i="10"/>
  <c r="U155" i="10"/>
  <c r="N155" i="10" a="1"/>
  <c r="N155" i="10" s="1"/>
  <c r="AE154" i="10"/>
  <c r="AD154" i="10"/>
  <c r="AA154" i="10"/>
  <c r="V154" i="10"/>
  <c r="U154" i="10"/>
  <c r="AF154" i="10" s="1"/>
  <c r="N154" i="10"/>
  <c r="N154" i="10" a="1"/>
  <c r="AE153" i="10"/>
  <c r="AD153" i="10"/>
  <c r="AA153" i="10"/>
  <c r="AG153" i="10" s="1"/>
  <c r="V153" i="10"/>
  <c r="U153" i="10"/>
  <c r="AF153" i="10" s="1"/>
  <c r="N153" i="10" a="1"/>
  <c r="N153" i="10" s="1"/>
  <c r="AE152" i="10"/>
  <c r="AD152" i="10"/>
  <c r="AA152" i="10"/>
  <c r="V152" i="10"/>
  <c r="AG152" i="10" s="1"/>
  <c r="U152" i="10"/>
  <c r="AF152" i="10" s="1"/>
  <c r="N152" i="10" a="1"/>
  <c r="N152" i="10" s="1"/>
  <c r="AF151" i="10"/>
  <c r="AE151" i="10"/>
  <c r="AD151" i="10"/>
  <c r="AA151" i="10"/>
  <c r="V151" i="10"/>
  <c r="U151" i="10"/>
  <c r="N151" i="10" a="1"/>
  <c r="N151" i="10" s="1"/>
  <c r="AE150" i="10"/>
  <c r="AD150" i="10"/>
  <c r="AA150" i="10"/>
  <c r="V150" i="10"/>
  <c r="U150" i="10"/>
  <c r="AF150" i="10" s="1"/>
  <c r="N150" i="10"/>
  <c r="N150" i="10" a="1"/>
  <c r="AE149" i="10"/>
  <c r="AD149" i="10"/>
  <c r="AA149" i="10"/>
  <c r="AG149" i="10" s="1"/>
  <c r="V149" i="10"/>
  <c r="U149" i="10"/>
  <c r="AF149" i="10" s="1"/>
  <c r="N149" i="10" a="1"/>
  <c r="N149" i="10" s="1"/>
  <c r="AE148" i="10"/>
  <c r="AD148" i="10"/>
  <c r="AA148" i="10"/>
  <c r="V148" i="10"/>
  <c r="AG148" i="10" s="1"/>
  <c r="U148" i="10"/>
  <c r="AF148" i="10" s="1"/>
  <c r="N148" i="10" a="1"/>
  <c r="N148" i="10" s="1"/>
  <c r="AF147" i="10"/>
  <c r="AE147" i="10"/>
  <c r="AD147" i="10"/>
  <c r="AA147" i="10"/>
  <c r="V147" i="10"/>
  <c r="U147" i="10"/>
  <c r="N147" i="10" a="1"/>
  <c r="N147" i="10" s="1"/>
  <c r="AE146" i="10"/>
  <c r="AD146" i="10"/>
  <c r="AA146" i="10"/>
  <c r="V146" i="10"/>
  <c r="U146" i="10"/>
  <c r="AF146" i="10" s="1"/>
  <c r="N146" i="10"/>
  <c r="N146" i="10" a="1"/>
  <c r="AE145" i="10"/>
  <c r="AD145" i="10"/>
  <c r="AA145" i="10"/>
  <c r="AG145" i="10" s="1"/>
  <c r="Z145" i="10"/>
  <c r="AF145" i="10" s="1"/>
  <c r="V145" i="10"/>
  <c r="U145" i="10"/>
  <c r="N145" i="10"/>
  <c r="N145" i="10" a="1"/>
  <c r="AE144" i="10"/>
  <c r="AD144" i="10"/>
  <c r="AA144" i="10"/>
  <c r="V144" i="10"/>
  <c r="U144" i="10"/>
  <c r="AF144" i="10" s="1"/>
  <c r="N144" i="10" a="1"/>
  <c r="N144" i="10" s="1"/>
  <c r="AE143" i="10"/>
  <c r="AD143" i="10"/>
  <c r="AA143" i="10"/>
  <c r="V143" i="10"/>
  <c r="U143" i="10"/>
  <c r="AF143" i="10" s="1"/>
  <c r="N143" i="10" a="1"/>
  <c r="N143" i="10" s="1"/>
  <c r="AF142" i="10"/>
  <c r="AE142" i="10"/>
  <c r="AD142" i="10"/>
  <c r="AA142" i="10"/>
  <c r="V142" i="10"/>
  <c r="AG142" i="10" s="1"/>
  <c r="U142" i="10"/>
  <c r="N142" i="10" a="1"/>
  <c r="N142" i="10" s="1"/>
  <c r="AE141" i="10"/>
  <c r="AD141" i="10"/>
  <c r="AA141" i="10"/>
  <c r="V141" i="10"/>
  <c r="U141" i="10"/>
  <c r="AF141" i="10" s="1"/>
  <c r="N141" i="10"/>
  <c r="N141" i="10" a="1"/>
  <c r="AE140" i="10"/>
  <c r="AD140" i="10"/>
  <c r="AA140" i="10"/>
  <c r="V140" i="10"/>
  <c r="AG140" i="10" s="1"/>
  <c r="U140" i="10"/>
  <c r="AF140" i="10" s="1"/>
  <c r="N140" i="10" a="1"/>
  <c r="N140" i="10" s="1"/>
  <c r="AE139" i="10"/>
  <c r="AD139" i="10"/>
  <c r="AJ139" i="10" s="1"/>
  <c r="AA139" i="10"/>
  <c r="AG139" i="10" s="1"/>
  <c r="Z139" i="10"/>
  <c r="V139" i="10"/>
  <c r="U139" i="10"/>
  <c r="AF139" i="10" s="1"/>
  <c r="N139" i="10"/>
  <c r="N139" i="10" a="1"/>
  <c r="AE138" i="10"/>
  <c r="AD138" i="10"/>
  <c r="AA138" i="10"/>
  <c r="V138" i="10"/>
  <c r="U138" i="10"/>
  <c r="AF138" i="10" s="1"/>
  <c r="N138" i="10" a="1"/>
  <c r="N138" i="10" s="1"/>
  <c r="AE137" i="10"/>
  <c r="AD137" i="10"/>
  <c r="AA137" i="10"/>
  <c r="V137" i="10"/>
  <c r="U137" i="10"/>
  <c r="AF137" i="10" s="1"/>
  <c r="N137" i="10" a="1"/>
  <c r="N137" i="10" s="1"/>
  <c r="AF136" i="10"/>
  <c r="AE136" i="10"/>
  <c r="AD136" i="10"/>
  <c r="AA136" i="10"/>
  <c r="AG136" i="10" s="1"/>
  <c r="V136" i="10"/>
  <c r="U136" i="10"/>
  <c r="N136" i="10" a="1"/>
  <c r="N136" i="10" s="1"/>
  <c r="AE135" i="10"/>
  <c r="AD135" i="10"/>
  <c r="AA135" i="10"/>
  <c r="V135" i="10"/>
  <c r="AG135" i="10" s="1"/>
  <c r="U135" i="10"/>
  <c r="AF135" i="10" s="1"/>
  <c r="N135" i="10"/>
  <c r="N135" i="10" a="1"/>
  <c r="AE134" i="10"/>
  <c r="AD134" i="10"/>
  <c r="AA134" i="10"/>
  <c r="V134" i="10"/>
  <c r="U134" i="10"/>
  <c r="AF134" i="10" s="1"/>
  <c r="N134" i="10" a="1"/>
  <c r="N134" i="10" s="1"/>
  <c r="AE133" i="10"/>
  <c r="AD133" i="10"/>
  <c r="AA133" i="10"/>
  <c r="V133" i="10"/>
  <c r="U133" i="10"/>
  <c r="AF133" i="10" s="1"/>
  <c r="N133" i="10" a="1"/>
  <c r="N133" i="10" s="1"/>
  <c r="AF132" i="10"/>
  <c r="AE132" i="10"/>
  <c r="AD132" i="10"/>
  <c r="AA132" i="10"/>
  <c r="AG132" i="10" s="1"/>
  <c r="V132" i="10"/>
  <c r="U132" i="10"/>
  <c r="N132" i="10" a="1"/>
  <c r="N132" i="10" s="1"/>
  <c r="AE131" i="10"/>
  <c r="AD131" i="10"/>
  <c r="AA131" i="10"/>
  <c r="V131" i="10"/>
  <c r="AG131" i="10" s="1"/>
  <c r="U131" i="10"/>
  <c r="AF131" i="10" s="1"/>
  <c r="N131" i="10"/>
  <c r="N131" i="10" a="1"/>
  <c r="AE130" i="10"/>
  <c r="AD130" i="10"/>
  <c r="AA130" i="10"/>
  <c r="V130" i="10"/>
  <c r="U130" i="10"/>
  <c r="AF130" i="10" s="1"/>
  <c r="N130" i="10" a="1"/>
  <c r="N130" i="10" s="1"/>
  <c r="AE129" i="10"/>
  <c r="AD129" i="10"/>
  <c r="AA129" i="10"/>
  <c r="V129" i="10"/>
  <c r="U129" i="10"/>
  <c r="AF129" i="10" s="1"/>
  <c r="N129" i="10" a="1"/>
  <c r="N129" i="10" s="1"/>
  <c r="AF128" i="10"/>
  <c r="AE128" i="10"/>
  <c r="AD128" i="10"/>
  <c r="AA128" i="10"/>
  <c r="AG128" i="10" s="1"/>
  <c r="V128" i="10"/>
  <c r="U128" i="10"/>
  <c r="N128" i="10" a="1"/>
  <c r="N128" i="10" s="1"/>
  <c r="AE127" i="10"/>
  <c r="AD127" i="10"/>
  <c r="AA127" i="10"/>
  <c r="V127" i="10"/>
  <c r="AG127" i="10" s="1"/>
  <c r="U127" i="10"/>
  <c r="AF127" i="10" s="1"/>
  <c r="N127" i="10"/>
  <c r="N127" i="10" a="1"/>
  <c r="AE126" i="10"/>
  <c r="AD126" i="10"/>
  <c r="AA126" i="10"/>
  <c r="V126" i="10"/>
  <c r="U126" i="10"/>
  <c r="AF126" i="10" s="1"/>
  <c r="N126" i="10" a="1"/>
  <c r="N126" i="10" s="1"/>
  <c r="AE125" i="10"/>
  <c r="AD125" i="10"/>
  <c r="AA125" i="10"/>
  <c r="V125" i="10"/>
  <c r="U125" i="10"/>
  <c r="AF125" i="10" s="1"/>
  <c r="N125" i="10" a="1"/>
  <c r="N125" i="10" s="1"/>
  <c r="AE124" i="10"/>
  <c r="AD124" i="10"/>
  <c r="Z124" i="10"/>
  <c r="AF124" i="10" s="1"/>
  <c r="V124" i="10"/>
  <c r="U124" i="10"/>
  <c r="N124" i="10" a="1"/>
  <c r="N124" i="10" s="1"/>
  <c r="AF123" i="10"/>
  <c r="AE123" i="10"/>
  <c r="AD123" i="10"/>
  <c r="AA123" i="10"/>
  <c r="V123" i="10"/>
  <c r="U123" i="10"/>
  <c r="N123" i="10" a="1"/>
  <c r="N123" i="10" s="1"/>
  <c r="AE122" i="10"/>
  <c r="AD122" i="10"/>
  <c r="AA122" i="10"/>
  <c r="V122" i="10"/>
  <c r="U122" i="10"/>
  <c r="AF122" i="10" s="1"/>
  <c r="N122" i="10"/>
  <c r="N122" i="10" a="1"/>
  <c r="AE121" i="10"/>
  <c r="AD121" i="10"/>
  <c r="Z121" i="10"/>
  <c r="AA121" i="10" s="1"/>
  <c r="V121" i="10"/>
  <c r="U121" i="10"/>
  <c r="N121" i="10" a="1"/>
  <c r="N121" i="10" s="1"/>
  <c r="AE120" i="10"/>
  <c r="AD120" i="10"/>
  <c r="Z120" i="10"/>
  <c r="AA120" i="10" s="1"/>
  <c r="V120" i="10"/>
  <c r="AG120" i="10" s="1"/>
  <c r="U120" i="10"/>
  <c r="AF120" i="10" s="1"/>
  <c r="N120" i="10" a="1"/>
  <c r="N120" i="10" s="1"/>
  <c r="AE119" i="10"/>
  <c r="AD119" i="10"/>
  <c r="AJ119" i="10" s="1"/>
  <c r="AA119" i="10"/>
  <c r="AG119" i="10" s="1"/>
  <c r="V119" i="10"/>
  <c r="U119" i="10"/>
  <c r="AF119" i="10" s="1"/>
  <c r="N119" i="10"/>
  <c r="N119" i="10" a="1"/>
  <c r="AE118" i="10"/>
  <c r="AD118" i="10"/>
  <c r="AA118" i="10"/>
  <c r="V118" i="10"/>
  <c r="U118" i="10"/>
  <c r="AF118" i="10" s="1"/>
  <c r="N118" i="10" a="1"/>
  <c r="N118" i="10" s="1"/>
  <c r="AE117" i="10"/>
  <c r="AD117" i="10"/>
  <c r="AA117" i="10"/>
  <c r="V117" i="10"/>
  <c r="U117" i="10"/>
  <c r="AF117" i="10" s="1"/>
  <c r="N117" i="10" a="1"/>
  <c r="N117" i="10" s="1"/>
  <c r="AF116" i="10"/>
  <c r="AE116" i="10"/>
  <c r="AD116" i="10"/>
  <c r="AA116" i="10"/>
  <c r="V116" i="10"/>
  <c r="AG116" i="10" s="1"/>
  <c r="U116" i="10"/>
  <c r="N116" i="10" a="1"/>
  <c r="N116" i="10" s="1"/>
  <c r="AE115" i="10"/>
  <c r="AD115" i="10"/>
  <c r="Z115" i="10"/>
  <c r="AA115" i="10" s="1"/>
  <c r="AG115" i="10" s="1"/>
  <c r="V115" i="10"/>
  <c r="U115" i="10"/>
  <c r="AF115" i="10" s="1"/>
  <c r="N115" i="10" a="1"/>
  <c r="N115" i="10" s="1"/>
  <c r="AE114" i="10"/>
  <c r="AD114" i="10"/>
  <c r="Z114" i="10"/>
  <c r="V114" i="10"/>
  <c r="U114" i="10"/>
  <c r="N114" i="10" a="1"/>
  <c r="N114" i="10" s="1"/>
  <c r="AF113" i="10"/>
  <c r="AE113" i="10"/>
  <c r="AD113" i="10"/>
  <c r="Z113" i="10"/>
  <c r="AA113" i="10" s="1"/>
  <c r="V113" i="10"/>
  <c r="AG113" i="10" s="1"/>
  <c r="U113" i="10"/>
  <c r="N113" i="10" a="1"/>
  <c r="N113" i="10" s="1"/>
  <c r="AE112" i="10"/>
  <c r="AD112" i="10"/>
  <c r="Z112" i="10"/>
  <c r="AA112" i="10" s="1"/>
  <c r="V112" i="10"/>
  <c r="U112" i="10"/>
  <c r="N112" i="10" a="1"/>
  <c r="N112" i="10" s="1"/>
  <c r="AE111" i="10"/>
  <c r="AD111" i="10"/>
  <c r="AA111" i="10"/>
  <c r="AG111" i="10" s="1"/>
  <c r="Z111" i="10"/>
  <c r="V111" i="10"/>
  <c r="U111" i="10"/>
  <c r="N111" i="10"/>
  <c r="N111" i="10" a="1"/>
  <c r="AE110" i="10"/>
  <c r="AD110" i="10"/>
  <c r="AA110" i="10"/>
  <c r="Z110" i="10"/>
  <c r="V110" i="10"/>
  <c r="AG110" i="10" s="1"/>
  <c r="U110" i="10"/>
  <c r="N110" i="10"/>
  <c r="N110" i="10" a="1"/>
  <c r="AE109" i="10"/>
  <c r="AD109" i="10"/>
  <c r="Z109" i="10"/>
  <c r="AA109" i="10" s="1"/>
  <c r="V109" i="10"/>
  <c r="U109" i="10"/>
  <c r="N109" i="10" a="1"/>
  <c r="N109" i="10" s="1"/>
  <c r="AE108" i="10"/>
  <c r="AD108" i="10"/>
  <c r="AA108" i="10"/>
  <c r="V108" i="10"/>
  <c r="AG108" i="10" s="1"/>
  <c r="U108" i="10"/>
  <c r="AF108" i="10" s="1"/>
  <c r="N108" i="10" a="1"/>
  <c r="N108" i="10" s="1"/>
  <c r="AE107" i="10"/>
  <c r="AD107" i="10"/>
  <c r="Z107" i="10"/>
  <c r="AF107" i="10" s="1"/>
  <c r="V107" i="10"/>
  <c r="U107" i="10"/>
  <c r="N107" i="10" a="1"/>
  <c r="N107" i="10" s="1"/>
  <c r="AE106" i="10"/>
  <c r="AD106" i="10"/>
  <c r="Z106" i="10"/>
  <c r="AA106" i="10" s="1"/>
  <c r="V106" i="10"/>
  <c r="U106" i="10"/>
  <c r="N106" i="10" a="1"/>
  <c r="N106" i="10" s="1"/>
  <c r="AE105" i="10"/>
  <c r="AD105" i="10"/>
  <c r="Z105" i="10"/>
  <c r="AA105" i="10" s="1"/>
  <c r="V105" i="10"/>
  <c r="AG105" i="10" s="1"/>
  <c r="U105" i="10"/>
  <c r="AF105" i="10" s="1"/>
  <c r="N105" i="10" a="1"/>
  <c r="N105" i="10" s="1"/>
  <c r="AE104" i="10"/>
  <c r="AD104" i="10"/>
  <c r="AA104" i="10"/>
  <c r="AG104" i="10" s="1"/>
  <c r="Z104" i="10"/>
  <c r="V104" i="10"/>
  <c r="U104" i="10"/>
  <c r="N104" i="10"/>
  <c r="N104" i="10" a="1"/>
  <c r="AE103" i="10"/>
  <c r="AD103" i="10"/>
  <c r="AA103" i="10"/>
  <c r="AG103" i="10" s="1"/>
  <c r="V103" i="10"/>
  <c r="U103" i="10"/>
  <c r="AF103" i="10" s="1"/>
  <c r="N103" i="10" a="1"/>
  <c r="N103" i="10" s="1"/>
  <c r="AE102" i="10"/>
  <c r="AD102" i="10"/>
  <c r="AA102" i="10"/>
  <c r="V102" i="10"/>
  <c r="AG102" i="10" s="1"/>
  <c r="U102" i="10"/>
  <c r="AF102" i="10" s="1"/>
  <c r="N102" i="10" a="1"/>
  <c r="N102" i="10" s="1"/>
  <c r="AE101" i="10"/>
  <c r="AD101" i="10"/>
  <c r="Z101" i="10"/>
  <c r="V101" i="10"/>
  <c r="U101" i="10"/>
  <c r="N101" i="10" a="1"/>
  <c r="N101" i="10" s="1"/>
  <c r="AF100" i="10"/>
  <c r="AE100" i="10"/>
  <c r="AD100" i="10"/>
  <c r="Z100" i="10"/>
  <c r="AA100" i="10" s="1"/>
  <c r="V100" i="10"/>
  <c r="AG100" i="10" s="1"/>
  <c r="U100" i="10"/>
  <c r="N100" i="10" a="1"/>
  <c r="N100" i="10" s="1"/>
  <c r="AE99" i="10"/>
  <c r="AD99" i="10"/>
  <c r="AA99" i="10"/>
  <c r="V99" i="10"/>
  <c r="U99" i="10"/>
  <c r="AF99" i="10" s="1"/>
  <c r="N99" i="10"/>
  <c r="N99" i="10" a="1"/>
  <c r="AE98" i="10"/>
  <c r="AD98" i="10"/>
  <c r="AA98" i="10"/>
  <c r="Z98" i="10"/>
  <c r="V98" i="10"/>
  <c r="AG98" i="10" s="1"/>
  <c r="U98" i="10"/>
  <c r="N98" i="10"/>
  <c r="N98" i="10" a="1"/>
  <c r="AE97" i="10"/>
  <c r="AD97" i="10"/>
  <c r="AA97" i="10"/>
  <c r="V97" i="10"/>
  <c r="AG97" i="10" s="1"/>
  <c r="U97" i="10"/>
  <c r="AF97" i="10" s="1"/>
  <c r="N97" i="10" a="1"/>
  <c r="N97" i="10" s="1"/>
  <c r="AE96" i="10"/>
  <c r="AD96" i="10"/>
  <c r="AJ96" i="10" s="1"/>
  <c r="AA96" i="10"/>
  <c r="AG96" i="10" s="1"/>
  <c r="Z96" i="10"/>
  <c r="V96" i="10"/>
  <c r="U96" i="10"/>
  <c r="AF96" i="10" s="1"/>
  <c r="N96" i="10"/>
  <c r="N96" i="10" a="1"/>
  <c r="AE95" i="10"/>
  <c r="AD95" i="10"/>
  <c r="AA95" i="10"/>
  <c r="AG95" i="10" s="1"/>
  <c r="Z95" i="10"/>
  <c r="V95" i="10"/>
  <c r="U95" i="10"/>
  <c r="N95" i="10"/>
  <c r="N95" i="10" a="1"/>
  <c r="AE94" i="10"/>
  <c r="AD94" i="10"/>
  <c r="Z94" i="10"/>
  <c r="AA94" i="10" s="1"/>
  <c r="V94" i="10"/>
  <c r="U94" i="10"/>
  <c r="AF94" i="10" s="1"/>
  <c r="N94" i="10" a="1"/>
  <c r="N94" i="10" s="1"/>
  <c r="AE93" i="10"/>
  <c r="AD93" i="10"/>
  <c r="Z93" i="10"/>
  <c r="AA93" i="10" s="1"/>
  <c r="V93" i="10"/>
  <c r="U93" i="10"/>
  <c r="N93" i="10" a="1"/>
  <c r="N93" i="10" s="1"/>
  <c r="AE92" i="10"/>
  <c r="AD92" i="10"/>
  <c r="Z92" i="10"/>
  <c r="AA92" i="10" s="1"/>
  <c r="AG92" i="10" s="1"/>
  <c r="V92" i="10"/>
  <c r="U92" i="10"/>
  <c r="N92" i="10" a="1"/>
  <c r="N92" i="10" s="1"/>
  <c r="AF91" i="10"/>
  <c r="AE91" i="10"/>
  <c r="AD91" i="10"/>
  <c r="AA91" i="10"/>
  <c r="AG91" i="10" s="1"/>
  <c r="V91" i="10"/>
  <c r="U91" i="10"/>
  <c r="N91" i="10" a="1"/>
  <c r="N91" i="10" s="1"/>
  <c r="AE90" i="10"/>
  <c r="AD90" i="10"/>
  <c r="AA90" i="10"/>
  <c r="V90" i="10"/>
  <c r="U90" i="10"/>
  <c r="AF90" i="10" s="1"/>
  <c r="N90" i="10"/>
  <c r="N90" i="10" a="1"/>
  <c r="AE89" i="10"/>
  <c r="AD89" i="10"/>
  <c r="AA89" i="10"/>
  <c r="Z89" i="10"/>
  <c r="V89" i="10"/>
  <c r="AG89" i="10" s="1"/>
  <c r="U89" i="10"/>
  <c r="N89" i="10" a="1"/>
  <c r="N89" i="10" s="1"/>
  <c r="AF88" i="10"/>
  <c r="AE88" i="10"/>
  <c r="AD88" i="10"/>
  <c r="AA88" i="10"/>
  <c r="V88" i="10"/>
  <c r="AG88" i="10" s="1"/>
  <c r="U88" i="10"/>
  <c r="N88" i="10" a="1"/>
  <c r="N88" i="10" s="1"/>
  <c r="AE87" i="10"/>
  <c r="AD87" i="10"/>
  <c r="AA87" i="10"/>
  <c r="Z87" i="10"/>
  <c r="V87" i="10"/>
  <c r="U87" i="10"/>
  <c r="AF87" i="10" s="1"/>
  <c r="N87" i="10" a="1"/>
  <c r="N87" i="10" s="1"/>
  <c r="AE86" i="10"/>
  <c r="AD86" i="10"/>
  <c r="Z86" i="10"/>
  <c r="AF86" i="10" s="1"/>
  <c r="V86" i="10"/>
  <c r="U86" i="10"/>
  <c r="N86" i="10" a="1"/>
  <c r="N86" i="10" s="1"/>
  <c r="AE85" i="10"/>
  <c r="AD85" i="10"/>
  <c r="Z85" i="10"/>
  <c r="AA85" i="10" s="1"/>
  <c r="V85" i="10"/>
  <c r="U85" i="10"/>
  <c r="N85" i="10" a="1"/>
  <c r="N85" i="10" s="1"/>
  <c r="AE84" i="10"/>
  <c r="AD84" i="10"/>
  <c r="Z84" i="10"/>
  <c r="AA84" i="10" s="1"/>
  <c r="V84" i="10"/>
  <c r="U84" i="10"/>
  <c r="N84" i="10" a="1"/>
  <c r="N84" i="10" s="1"/>
  <c r="AE83" i="10"/>
  <c r="AD83" i="10"/>
  <c r="Z83" i="10"/>
  <c r="AA83" i="10" s="1"/>
  <c r="AG83" i="10" s="1"/>
  <c r="V83" i="10"/>
  <c r="U83" i="10"/>
  <c r="N83" i="10" a="1"/>
  <c r="N83" i="10" s="1"/>
  <c r="AF82" i="10"/>
  <c r="AE82" i="10"/>
  <c r="AD82" i="10"/>
  <c r="AA82" i="10"/>
  <c r="AG82" i="10" s="1"/>
  <c r="V82" i="10"/>
  <c r="U82" i="10"/>
  <c r="N82" i="10" a="1"/>
  <c r="N82" i="10" s="1"/>
  <c r="AE81" i="10"/>
  <c r="AD81" i="10"/>
  <c r="AA81" i="10"/>
  <c r="V81" i="10"/>
  <c r="U81" i="10"/>
  <c r="AF81" i="10" s="1"/>
  <c r="N81" i="10"/>
  <c r="N81" i="10" a="1"/>
  <c r="AE80" i="10"/>
  <c r="AD80" i="10"/>
  <c r="AA80" i="10"/>
  <c r="AG80" i="10" s="1"/>
  <c r="V80" i="10"/>
  <c r="U80" i="10"/>
  <c r="AF80" i="10" s="1"/>
  <c r="N80" i="10" a="1"/>
  <c r="N80" i="10" s="1"/>
  <c r="AE79" i="10"/>
  <c r="AD79" i="10"/>
  <c r="Z79" i="10"/>
  <c r="AA79" i="10" s="1"/>
  <c r="V79" i="10"/>
  <c r="U79" i="10"/>
  <c r="N79" i="10" a="1"/>
  <c r="N79" i="10" s="1"/>
  <c r="AE78" i="10"/>
  <c r="AD78" i="10"/>
  <c r="Z78" i="10"/>
  <c r="AA78" i="10" s="1"/>
  <c r="AG78" i="10" s="1"/>
  <c r="V78" i="10"/>
  <c r="U78" i="10"/>
  <c r="N78" i="10" a="1"/>
  <c r="N78" i="10" s="1"/>
  <c r="AE77" i="10"/>
  <c r="AD77" i="10"/>
  <c r="Z77" i="10"/>
  <c r="AF77" i="10" s="1"/>
  <c r="V77" i="10"/>
  <c r="U77" i="10"/>
  <c r="N77" i="10" a="1"/>
  <c r="N77" i="10" s="1"/>
  <c r="AE76" i="10"/>
  <c r="AD76" i="10"/>
  <c r="Z76" i="10"/>
  <c r="AA76" i="10" s="1"/>
  <c r="V76" i="10"/>
  <c r="U76" i="10"/>
  <c r="N76" i="10" a="1"/>
  <c r="N76" i="10" s="1"/>
  <c r="AE75" i="10"/>
  <c r="AD75" i="10"/>
  <c r="AA75" i="10"/>
  <c r="V75" i="10"/>
  <c r="AG75" i="10" s="1"/>
  <c r="U75" i="10"/>
  <c r="AF75" i="10" s="1"/>
  <c r="N75" i="10"/>
  <c r="N75" i="10" a="1"/>
  <c r="AE74" i="10"/>
  <c r="AD74" i="10"/>
  <c r="Z74" i="10"/>
  <c r="V74" i="10"/>
  <c r="U74" i="10"/>
  <c r="N74" i="10" a="1"/>
  <c r="N74" i="10" s="1"/>
  <c r="AE73" i="10"/>
  <c r="AD73" i="10"/>
  <c r="Z73" i="10"/>
  <c r="AA73" i="10" s="1"/>
  <c r="V73" i="10"/>
  <c r="U73" i="10"/>
  <c r="N73" i="10" a="1"/>
  <c r="N73" i="10" s="1"/>
  <c r="AE72" i="10"/>
  <c r="AD72" i="10"/>
  <c r="AA72" i="10"/>
  <c r="V72" i="10"/>
  <c r="U72" i="10"/>
  <c r="AF72" i="10" s="1"/>
  <c r="N72" i="10" a="1"/>
  <c r="N72" i="10" s="1"/>
  <c r="AF71" i="10"/>
  <c r="AE71" i="10"/>
  <c r="AD71" i="10"/>
  <c r="AA71" i="10"/>
  <c r="AG71" i="10" s="1"/>
  <c r="V71" i="10"/>
  <c r="U71" i="10"/>
  <c r="N71" i="10" a="1"/>
  <c r="N71" i="10" s="1"/>
  <c r="AE70" i="10"/>
  <c r="AD70" i="10"/>
  <c r="AA70" i="10"/>
  <c r="V70" i="10"/>
  <c r="U70" i="10"/>
  <c r="AF70" i="10" s="1"/>
  <c r="N70" i="10"/>
  <c r="N70" i="10" a="1"/>
  <c r="AE69" i="10"/>
  <c r="AD69" i="10"/>
  <c r="AA69" i="10"/>
  <c r="AG69" i="10" s="1"/>
  <c r="V69" i="10"/>
  <c r="U69" i="10"/>
  <c r="AF69" i="10" s="1"/>
  <c r="N69" i="10" a="1"/>
  <c r="N69" i="10" s="1"/>
  <c r="AE68" i="10"/>
  <c r="AD68" i="10"/>
  <c r="AA68" i="10"/>
  <c r="V68" i="10"/>
  <c r="U68" i="10"/>
  <c r="AF68" i="10" s="1"/>
  <c r="N68" i="10" a="1"/>
  <c r="N68" i="10" s="1"/>
  <c r="AE67" i="10"/>
  <c r="AD67" i="10"/>
  <c r="Z67" i="10"/>
  <c r="AF67" i="10" s="1"/>
  <c r="V67" i="10"/>
  <c r="U67" i="10"/>
  <c r="N67" i="10" a="1"/>
  <c r="N67" i="10" s="1"/>
  <c r="AF66" i="10"/>
  <c r="AE66" i="10"/>
  <c r="AD66" i="10"/>
  <c r="AA66" i="10"/>
  <c r="V66" i="10"/>
  <c r="U66" i="10"/>
  <c r="N66" i="10" a="1"/>
  <c r="N66" i="10" s="1"/>
  <c r="AE65" i="10"/>
  <c r="AD65" i="10"/>
  <c r="AA65" i="10"/>
  <c r="AG65" i="10" s="1"/>
  <c r="V65" i="10"/>
  <c r="U65" i="10"/>
  <c r="AF65" i="10" s="1"/>
  <c r="N65" i="10"/>
  <c r="N65" i="10" a="1"/>
  <c r="AE64" i="10"/>
  <c r="AD64" i="10"/>
  <c r="Z64" i="10"/>
  <c r="AA64" i="10" s="1"/>
  <c r="V64" i="10"/>
  <c r="U64" i="10"/>
  <c r="N64" i="10" a="1"/>
  <c r="N64" i="10" s="1"/>
  <c r="AE63" i="10"/>
  <c r="AD63" i="10"/>
  <c r="AA63" i="10"/>
  <c r="V63" i="10"/>
  <c r="AG63" i="10" s="1"/>
  <c r="U63" i="10"/>
  <c r="AF63" i="10" s="1"/>
  <c r="N63" i="10"/>
  <c r="N63" i="10" a="1"/>
  <c r="AF62" i="10"/>
  <c r="AE62" i="10"/>
  <c r="AD62" i="10"/>
  <c r="AA62" i="10"/>
  <c r="V62" i="10"/>
  <c r="U62" i="10"/>
  <c r="N62" i="10" a="1"/>
  <c r="N62" i="10" s="1"/>
  <c r="AE61" i="10"/>
  <c r="AD61" i="10"/>
  <c r="AA61" i="10"/>
  <c r="V61" i="10"/>
  <c r="U61" i="10"/>
  <c r="AF61" i="10" s="1"/>
  <c r="N61" i="10"/>
  <c r="N61" i="10" a="1"/>
  <c r="AE60" i="10"/>
  <c r="AD60" i="10"/>
  <c r="AA60" i="10"/>
  <c r="AG60" i="10" s="1"/>
  <c r="V60" i="10"/>
  <c r="U60" i="10"/>
  <c r="AF60" i="10" s="1"/>
  <c r="N60" i="10" a="1"/>
  <c r="N60" i="10" s="1"/>
  <c r="AE59" i="10"/>
  <c r="AD59" i="10"/>
  <c r="AA59" i="10"/>
  <c r="V59" i="10"/>
  <c r="AG59" i="10" s="1"/>
  <c r="U59" i="10"/>
  <c r="AF59" i="10" s="1"/>
  <c r="N59" i="10" a="1"/>
  <c r="N59" i="10" s="1"/>
  <c r="AE58" i="10"/>
  <c r="AD58" i="10"/>
  <c r="Z58" i="10"/>
  <c r="V58" i="10"/>
  <c r="U58" i="10"/>
  <c r="N58" i="10" a="1"/>
  <c r="N58" i="10" s="1"/>
  <c r="AF57" i="10"/>
  <c r="AE57" i="10"/>
  <c r="AD57" i="10"/>
  <c r="Z57" i="10"/>
  <c r="AA57" i="10" s="1"/>
  <c r="V57" i="10"/>
  <c r="AG57" i="10" s="1"/>
  <c r="U57" i="10"/>
  <c r="N57" i="10" a="1"/>
  <c r="N57" i="10" s="1"/>
  <c r="AE56" i="10"/>
  <c r="AD56" i="10"/>
  <c r="AA56" i="10"/>
  <c r="V56" i="10"/>
  <c r="U56" i="10"/>
  <c r="AF56" i="10" s="1"/>
  <c r="N56" i="10"/>
  <c r="N56" i="10" a="1"/>
  <c r="AE55" i="10"/>
  <c r="AD55" i="10"/>
  <c r="AA55" i="10"/>
  <c r="Z55" i="10"/>
  <c r="V55" i="10"/>
  <c r="AG55" i="10" s="1"/>
  <c r="U55" i="10"/>
  <c r="N55" i="10"/>
  <c r="N55" i="10" a="1"/>
  <c r="AE54" i="10"/>
  <c r="AD54" i="10"/>
  <c r="Z54" i="10"/>
  <c r="AA54" i="10" s="1"/>
  <c r="V54" i="10"/>
  <c r="U54" i="10"/>
  <c r="N54" i="10" a="1"/>
  <c r="N54" i="10" s="1"/>
  <c r="AE53" i="10"/>
  <c r="AD53" i="10"/>
  <c r="Z53" i="10"/>
  <c r="AA53" i="10" s="1"/>
  <c r="V53" i="10"/>
  <c r="U53" i="10"/>
  <c r="AF53" i="10" s="1"/>
  <c r="N53" i="10" a="1"/>
  <c r="N53" i="10" s="1"/>
  <c r="AE52" i="10"/>
  <c r="AD52" i="10"/>
  <c r="AA52" i="10"/>
  <c r="AG52" i="10" s="1"/>
  <c r="Z52" i="10"/>
  <c r="V52" i="10"/>
  <c r="U52" i="10"/>
  <c r="AF52" i="10" s="1"/>
  <c r="N52" i="10"/>
  <c r="N52" i="10" a="1"/>
  <c r="AE51" i="10"/>
  <c r="AD51" i="10"/>
  <c r="AA51" i="10"/>
  <c r="AG51" i="10" s="1"/>
  <c r="V51" i="10"/>
  <c r="U51" i="10"/>
  <c r="AF51" i="10" s="1"/>
  <c r="N51" i="10" a="1"/>
  <c r="N51" i="10" s="1"/>
  <c r="AE50" i="10"/>
  <c r="AD50" i="10"/>
  <c r="Z50" i="10"/>
  <c r="AA50" i="10" s="1"/>
  <c r="V50" i="10"/>
  <c r="U50" i="10"/>
  <c r="N50" i="10" a="1"/>
  <c r="N50" i="10" s="1"/>
  <c r="AE49" i="10"/>
  <c r="AD49" i="10"/>
  <c r="AA49" i="10"/>
  <c r="AG49" i="10" s="1"/>
  <c r="V49" i="10"/>
  <c r="U49" i="10"/>
  <c r="AF49" i="10" s="1"/>
  <c r="N49" i="10"/>
  <c r="N49" i="10" a="1"/>
  <c r="AE48" i="10"/>
  <c r="AD48" i="10"/>
  <c r="AA48" i="10"/>
  <c r="V48" i="10"/>
  <c r="U48" i="10"/>
  <c r="AF48" i="10" s="1"/>
  <c r="N48" i="10" a="1"/>
  <c r="N48" i="10" s="1"/>
  <c r="AE47" i="10"/>
  <c r="AD47" i="10"/>
  <c r="AA47" i="10"/>
  <c r="AG47" i="10" s="1"/>
  <c r="V47" i="10"/>
  <c r="U47" i="10"/>
  <c r="AF47" i="10" s="1"/>
  <c r="N47" i="10" a="1"/>
  <c r="N47" i="10" s="1"/>
  <c r="AE46" i="10"/>
  <c r="AD46" i="10"/>
  <c r="AA46" i="10"/>
  <c r="V46" i="10"/>
  <c r="U46" i="10"/>
  <c r="AF46" i="10" s="1"/>
  <c r="N46" i="10" a="1"/>
  <c r="N46" i="10" s="1"/>
  <c r="AE45" i="10"/>
  <c r="AD45" i="10"/>
  <c r="AA45" i="10"/>
  <c r="V45" i="10"/>
  <c r="U45" i="10"/>
  <c r="AF45" i="10" s="1"/>
  <c r="N45" i="10" a="1"/>
  <c r="N45" i="10" s="1"/>
  <c r="AF44" i="10"/>
  <c r="AE44" i="10"/>
  <c r="AD44" i="10"/>
  <c r="AA44" i="10"/>
  <c r="V44" i="10"/>
  <c r="AG44" i="10" s="1"/>
  <c r="U44" i="10"/>
  <c r="N44" i="10" a="1"/>
  <c r="N44" i="10" s="1"/>
  <c r="AE43" i="10"/>
  <c r="AD43" i="10"/>
  <c r="AJ43" i="10" s="1"/>
  <c r="AA43" i="10"/>
  <c r="AG43" i="10" s="1"/>
  <c r="V43" i="10"/>
  <c r="U43" i="10"/>
  <c r="AF43" i="10" s="1"/>
  <c r="N43" i="10"/>
  <c r="N43" i="10" a="1"/>
  <c r="AE42" i="10"/>
  <c r="AD42" i="10"/>
  <c r="AA42" i="10"/>
  <c r="V42" i="10"/>
  <c r="U42" i="10"/>
  <c r="AF42" i="10" s="1"/>
  <c r="N42" i="10" a="1"/>
  <c r="N42" i="10" s="1"/>
  <c r="AE41" i="10"/>
  <c r="AD41" i="10"/>
  <c r="AA41" i="10"/>
  <c r="V41" i="10"/>
  <c r="U41" i="10"/>
  <c r="AF41" i="10" s="1"/>
  <c r="N41" i="10" a="1"/>
  <c r="N41" i="10" s="1"/>
  <c r="AE40" i="10"/>
  <c r="AD40" i="10"/>
  <c r="AA40" i="10"/>
  <c r="V40" i="10"/>
  <c r="AG40" i="10" s="1"/>
  <c r="U40" i="10"/>
  <c r="AF40" i="10" s="1"/>
  <c r="N40" i="10" a="1"/>
  <c r="N40" i="10" s="1"/>
  <c r="AE39" i="10"/>
  <c r="AD39" i="10"/>
  <c r="AA39" i="10"/>
  <c r="V39" i="10"/>
  <c r="U39" i="10"/>
  <c r="AF39" i="10" s="1"/>
  <c r="N39" i="10" a="1"/>
  <c r="N39" i="10" s="1"/>
  <c r="AE38" i="10"/>
  <c r="AD38" i="10"/>
  <c r="AA38" i="10"/>
  <c r="V38" i="10"/>
  <c r="AG38" i="10" s="1"/>
  <c r="U38" i="10"/>
  <c r="AF38" i="10" s="1"/>
  <c r="N38" i="10" a="1"/>
  <c r="N38" i="10" s="1"/>
  <c r="AE37" i="10"/>
  <c r="AD37" i="10"/>
  <c r="AA37" i="10"/>
  <c r="V37" i="10"/>
  <c r="U37" i="10"/>
  <c r="AF37" i="10" s="1"/>
  <c r="N37" i="10" a="1"/>
  <c r="N37" i="10" s="1"/>
  <c r="AE36" i="10"/>
  <c r="AD36" i="10"/>
  <c r="AA36" i="10"/>
  <c r="V36" i="10"/>
  <c r="U36" i="10"/>
  <c r="AF36" i="10" s="1"/>
  <c r="N36" i="10" a="1"/>
  <c r="N36" i="10" s="1"/>
  <c r="AE35" i="10"/>
  <c r="AD35" i="10"/>
  <c r="AA35" i="10"/>
  <c r="V35" i="10"/>
  <c r="U35" i="10"/>
  <c r="AF35" i="10" s="1"/>
  <c r="N35" i="10" a="1"/>
  <c r="N35" i="10" s="1"/>
  <c r="AE34" i="10"/>
  <c r="AD34" i="10"/>
  <c r="Z34" i="10"/>
  <c r="AA34" i="10" s="1"/>
  <c r="V34" i="10"/>
  <c r="AG34" i="10" s="1"/>
  <c r="U34" i="10"/>
  <c r="N34" i="10" a="1"/>
  <c r="N34" i="10" s="1"/>
  <c r="AE33" i="10"/>
  <c r="AD33" i="10"/>
  <c r="Z33" i="10"/>
  <c r="AA33" i="10" s="1"/>
  <c r="V33" i="10"/>
  <c r="U33" i="10"/>
  <c r="AF33" i="10" s="1"/>
  <c r="N33" i="10" a="1"/>
  <c r="N33" i="10" s="1"/>
  <c r="AE32" i="10"/>
  <c r="AD32" i="10"/>
  <c r="Z32" i="10"/>
  <c r="AA32" i="10" s="1"/>
  <c r="AG32" i="10" s="1"/>
  <c r="V32" i="10"/>
  <c r="U32" i="10"/>
  <c r="N32" i="10" a="1"/>
  <c r="N32" i="10" s="1"/>
  <c r="AE31" i="10"/>
  <c r="AD31" i="10"/>
  <c r="Z31" i="10"/>
  <c r="AF31" i="10" s="1"/>
  <c r="V31" i="10"/>
  <c r="U31" i="10"/>
  <c r="N31" i="10" a="1"/>
  <c r="N31" i="10" s="1"/>
  <c r="AE30" i="10"/>
  <c r="AD30" i="10"/>
  <c r="AA30" i="10"/>
  <c r="V30" i="10"/>
  <c r="U30" i="10"/>
  <c r="AF30" i="10" s="1"/>
  <c r="N30" i="10" a="1"/>
  <c r="N30" i="10" s="1"/>
  <c r="AE29" i="10"/>
  <c r="AD29" i="10"/>
  <c r="Z29" i="10"/>
  <c r="AA29" i="10" s="1"/>
  <c r="V29" i="10"/>
  <c r="AG29" i="10" s="1"/>
  <c r="U29" i="10"/>
  <c r="N29" i="10" a="1"/>
  <c r="N29" i="10" s="1"/>
  <c r="AE28" i="10"/>
  <c r="AD28" i="10"/>
  <c r="AA28" i="10"/>
  <c r="V28" i="10"/>
  <c r="AG28" i="10" s="1"/>
  <c r="U28" i="10"/>
  <c r="AF28" i="10" s="1"/>
  <c r="N28" i="10" a="1"/>
  <c r="N28" i="10" s="1"/>
  <c r="AE27" i="10"/>
  <c r="AD27" i="10"/>
  <c r="AA27" i="10"/>
  <c r="V27" i="10"/>
  <c r="AG27" i="10" s="1"/>
  <c r="U27" i="10"/>
  <c r="AF27" i="10" s="1"/>
  <c r="N27" i="10"/>
  <c r="N27" i="10" a="1"/>
  <c r="AE26" i="10"/>
  <c r="AD26" i="10"/>
  <c r="AA26" i="10"/>
  <c r="AG26" i="10" s="1"/>
  <c r="Z26" i="10"/>
  <c r="V26" i="10"/>
  <c r="U26" i="10"/>
  <c r="N26" i="10"/>
  <c r="N26" i="10" a="1"/>
  <c r="AE25" i="10"/>
  <c r="AD25" i="10"/>
  <c r="AA25" i="10"/>
  <c r="AG25" i="10" s="1"/>
  <c r="Z25" i="10"/>
  <c r="V25" i="10"/>
  <c r="U25" i="10"/>
  <c r="N25" i="10"/>
  <c r="N25" i="10" a="1"/>
  <c r="AE24" i="10"/>
  <c r="AD24" i="10"/>
  <c r="Z24" i="10"/>
  <c r="AA24" i="10" s="1"/>
  <c r="V24" i="10"/>
  <c r="U24" i="10"/>
  <c r="N24" i="10" a="1"/>
  <c r="N24" i="10" s="1"/>
  <c r="AE23" i="10"/>
  <c r="AD23" i="10"/>
  <c r="AA23" i="10"/>
  <c r="V23" i="10"/>
  <c r="U23" i="10"/>
  <c r="AF23" i="10" s="1"/>
  <c r="N23" i="10" a="1"/>
  <c r="N23" i="10" s="1"/>
  <c r="AE22" i="10"/>
  <c r="AD22" i="10"/>
  <c r="Z22" i="10"/>
  <c r="AA22" i="10" s="1"/>
  <c r="AG22" i="10" s="1"/>
  <c r="V22" i="10"/>
  <c r="U22" i="10"/>
  <c r="N22" i="10" a="1"/>
  <c r="N22" i="10" s="1"/>
  <c r="AE21" i="10"/>
  <c r="AD21" i="10"/>
  <c r="Z21" i="10"/>
  <c r="AF21" i="10" s="1"/>
  <c r="V21" i="10"/>
  <c r="U21" i="10"/>
  <c r="N21" i="10" a="1"/>
  <c r="N21" i="10" s="1"/>
  <c r="AF20" i="10"/>
  <c r="AE20" i="10"/>
  <c r="AD20" i="10"/>
  <c r="AA20" i="10"/>
  <c r="V20" i="10"/>
  <c r="AG20" i="10" s="1"/>
  <c r="U20" i="10"/>
  <c r="N20" i="10" a="1"/>
  <c r="N20" i="10" s="1"/>
  <c r="AF19" i="10"/>
  <c r="AE19" i="10"/>
  <c r="AD19" i="10"/>
  <c r="AA19" i="10"/>
  <c r="V19" i="10"/>
  <c r="AG19" i="10" s="1"/>
  <c r="U19" i="10"/>
  <c r="N19" i="10" a="1"/>
  <c r="N19" i="10" s="1"/>
  <c r="AF18" i="10"/>
  <c r="AE18" i="10"/>
  <c r="AD18" i="10"/>
  <c r="AA18" i="10"/>
  <c r="V18" i="10"/>
  <c r="AG18" i="10" s="1"/>
  <c r="U18" i="10"/>
  <c r="N18" i="10" a="1"/>
  <c r="N18" i="10" s="1"/>
  <c r="AF17" i="10"/>
  <c r="AE17" i="10"/>
  <c r="AD17" i="10"/>
  <c r="AA17" i="10"/>
  <c r="V17" i="10"/>
  <c r="AG17" i="10" s="1"/>
  <c r="U17" i="10"/>
  <c r="N17" i="10" a="1"/>
  <c r="N17" i="10" s="1"/>
  <c r="AE16" i="10"/>
  <c r="AD16" i="10"/>
  <c r="Z16" i="10"/>
  <c r="AA16" i="10" s="1"/>
  <c r="V16" i="10"/>
  <c r="U16" i="10"/>
  <c r="AF16" i="10" s="1"/>
  <c r="N16" i="10" a="1"/>
  <c r="N16" i="10" s="1"/>
  <c r="AE15" i="10"/>
  <c r="AD15" i="10"/>
  <c r="AA15" i="10"/>
  <c r="AG15" i="10" s="1"/>
  <c r="V15" i="10"/>
  <c r="U15" i="10"/>
  <c r="AF15" i="10" s="1"/>
  <c r="N15" i="10" a="1"/>
  <c r="N15" i="10" s="1"/>
  <c r="AE14" i="10"/>
  <c r="AD14" i="10"/>
  <c r="AA14" i="10"/>
  <c r="V14" i="10"/>
  <c r="U14" i="10"/>
  <c r="AF14" i="10" s="1"/>
  <c r="N14" i="10" a="1"/>
  <c r="N14" i="10" s="1"/>
  <c r="AE13" i="10"/>
  <c r="AD13" i="10"/>
  <c r="AA13" i="10"/>
  <c r="AG13" i="10" s="1"/>
  <c r="Z13" i="10"/>
  <c r="V13" i="10"/>
  <c r="U13" i="10"/>
  <c r="AF13" i="10" s="1"/>
  <c r="N13" i="10"/>
  <c r="N13" i="10" a="1"/>
  <c r="AE12" i="10"/>
  <c r="AD12" i="10"/>
  <c r="AA12" i="10"/>
  <c r="V12" i="10"/>
  <c r="AG12" i="10" s="1"/>
  <c r="U12" i="10"/>
  <c r="AF12" i="10" s="1"/>
  <c r="N12" i="10"/>
  <c r="N12" i="10" a="1"/>
  <c r="AE11" i="10"/>
  <c r="AD11" i="10"/>
  <c r="AA11" i="10"/>
  <c r="V11" i="10"/>
  <c r="AG11" i="10" s="1"/>
  <c r="U11" i="10"/>
  <c r="AF11" i="10" s="1"/>
  <c r="N11" i="10"/>
  <c r="N11" i="10" a="1"/>
  <c r="AE10" i="10"/>
  <c r="AD10" i="10"/>
  <c r="Z10" i="10"/>
  <c r="AA10" i="10" s="1"/>
  <c r="V10" i="10"/>
  <c r="U10" i="10"/>
  <c r="N10" i="10" a="1"/>
  <c r="N10" i="10" s="1"/>
  <c r="AE9" i="10"/>
  <c r="AD9" i="10"/>
  <c r="AA9" i="10"/>
  <c r="V9" i="10"/>
  <c r="U9" i="10"/>
  <c r="AF9" i="10" s="1"/>
  <c r="N9" i="10" a="1"/>
  <c r="N9" i="10" s="1"/>
  <c r="AE8" i="10"/>
  <c r="AD8" i="10"/>
  <c r="AA8" i="10"/>
  <c r="AG8" i="10" s="1"/>
  <c r="V8" i="10"/>
  <c r="U8" i="10"/>
  <c r="AF8" i="10" s="1"/>
  <c r="N8" i="10" a="1"/>
  <c r="N8" i="10" s="1"/>
  <c r="AF13" i="11" l="1"/>
  <c r="AF18" i="11"/>
  <c r="AF21" i="11"/>
  <c r="AF26" i="11"/>
  <c r="AI26" i="11" s="1"/>
  <c r="AF29" i="11"/>
  <c r="AF34" i="11"/>
  <c r="AI34" i="11" s="1"/>
  <c r="AF37" i="11"/>
  <c r="AF42" i="11"/>
  <c r="AF44" i="11"/>
  <c r="AF46" i="11"/>
  <c r="AF48" i="11"/>
  <c r="AF50" i="11"/>
  <c r="AF52" i="11"/>
  <c r="AF54" i="11"/>
  <c r="AF56" i="11"/>
  <c r="AF58" i="11"/>
  <c r="AF60" i="11"/>
  <c r="AF62" i="11"/>
  <c r="AF64" i="11"/>
  <c r="AF66" i="11"/>
  <c r="AI10" i="11"/>
  <c r="AF10" i="11"/>
  <c r="AI12" i="11"/>
  <c r="AI13" i="11"/>
  <c r="AI18" i="11"/>
  <c r="AI42" i="11"/>
  <c r="AI44" i="11"/>
  <c r="AI46" i="11"/>
  <c r="AI48" i="11"/>
  <c r="AI50" i="11"/>
  <c r="AI52" i="11"/>
  <c r="AI54" i="11"/>
  <c r="AI56" i="11"/>
  <c r="AI58" i="11"/>
  <c r="AI60" i="11"/>
  <c r="AI62" i="11"/>
  <c r="AI64" i="11"/>
  <c r="AI66" i="11"/>
  <c r="AI68" i="11"/>
  <c r="AF69" i="11"/>
  <c r="AF8" i="11"/>
  <c r="AG9" i="10"/>
  <c r="AJ9" i="10" s="1"/>
  <c r="AG14" i="10"/>
  <c r="AJ14" i="10" s="1"/>
  <c r="AJ17" i="10"/>
  <c r="AJ18" i="10"/>
  <c r="AJ19" i="10"/>
  <c r="AJ20" i="10"/>
  <c r="AA21" i="10"/>
  <c r="AG23" i="10"/>
  <c r="AF24" i="10"/>
  <c r="AG35" i="10"/>
  <c r="AJ35" i="10" s="1"/>
  <c r="AG37" i="10"/>
  <c r="AJ37" i="10" s="1"/>
  <c r="AG39" i="10"/>
  <c r="AJ39" i="10" s="1"/>
  <c r="AJ45" i="10"/>
  <c r="AJ47" i="10"/>
  <c r="AJ27" i="10"/>
  <c r="AF25" i="10"/>
  <c r="AF26" i="10"/>
  <c r="AJ26" i="10" s="1"/>
  <c r="AF29" i="10"/>
  <c r="AJ29" i="10" s="1"/>
  <c r="AG30" i="10"/>
  <c r="AA31" i="10"/>
  <c r="AG31" i="10" s="1"/>
  <c r="AJ31" i="10" s="1"/>
  <c r="AJ33" i="10"/>
  <c r="AJ49" i="10"/>
  <c r="AG50" i="10"/>
  <c r="AJ52" i="10"/>
  <c r="AJ115" i="10"/>
  <c r="AJ87" i="10"/>
  <c r="AJ141" i="10"/>
  <c r="AG21" i="10"/>
  <c r="AF32" i="10"/>
  <c r="AJ32" i="10"/>
  <c r="AG41" i="10"/>
  <c r="AG45" i="10"/>
  <c r="AG48" i="10"/>
  <c r="AJ48" i="10" s="1"/>
  <c r="AJ50" i="10"/>
  <c r="AF58" i="10"/>
  <c r="AG62" i="10"/>
  <c r="AJ66" i="10"/>
  <c r="AA67" i="10"/>
  <c r="AG67" i="10" s="1"/>
  <c r="AJ67" i="10" s="1"/>
  <c r="AG70" i="10"/>
  <c r="AF74" i="10"/>
  <c r="AJ76" i="10"/>
  <c r="AA77" i="10"/>
  <c r="AG77" i="10" s="1"/>
  <c r="AG81" i="10"/>
  <c r="AF84" i="10"/>
  <c r="AA86" i="10"/>
  <c r="AG86" i="10" s="1"/>
  <c r="AF89" i="10"/>
  <c r="AG90" i="10"/>
  <c r="AG94" i="10"/>
  <c r="AJ94" i="10" s="1"/>
  <c r="AF101" i="10"/>
  <c r="AJ101" i="10" s="1"/>
  <c r="AF104" i="10"/>
  <c r="AJ104" i="10"/>
  <c r="AA107" i="10"/>
  <c r="AG107" i="10" s="1"/>
  <c r="AJ107" i="10" s="1"/>
  <c r="AF111" i="10"/>
  <c r="AJ111" i="10" s="1"/>
  <c r="AF112" i="10"/>
  <c r="AF114" i="10"/>
  <c r="AG117" i="10"/>
  <c r="AA124" i="10"/>
  <c r="AG124" i="10" s="1"/>
  <c r="AG143" i="10"/>
  <c r="AG147" i="10"/>
  <c r="AG151" i="10"/>
  <c r="AG155" i="10"/>
  <c r="AJ155" i="10" s="1"/>
  <c r="AJ171" i="10"/>
  <c r="AG224" i="10"/>
  <c r="AJ224" i="10" s="1"/>
  <c r="AJ264" i="10"/>
  <c r="AG33" i="10"/>
  <c r="AJ41" i="10"/>
  <c r="AG42" i="10"/>
  <c r="AJ42" i="10" s="1"/>
  <c r="AG46" i="10"/>
  <c r="AJ46" i="10" s="1"/>
  <c r="AF50" i="10"/>
  <c r="AF55" i="10"/>
  <c r="AG56" i="10"/>
  <c r="AJ56" i="10" s="1"/>
  <c r="AJ57" i="10"/>
  <c r="AA58" i="10"/>
  <c r="AG58" i="10" s="1"/>
  <c r="AG61" i="10"/>
  <c r="AA74" i="10"/>
  <c r="AG74" i="10" s="1"/>
  <c r="AF78" i="10"/>
  <c r="AJ78" i="10" s="1"/>
  <c r="AF79" i="10"/>
  <c r="AF83" i="10"/>
  <c r="AJ83" i="10"/>
  <c r="AG84" i="10"/>
  <c r="AJ84" i="10" s="1"/>
  <c r="AG87" i="10"/>
  <c r="AF92" i="10"/>
  <c r="AJ92" i="10" s="1"/>
  <c r="AF93" i="10"/>
  <c r="AJ93" i="10" s="1"/>
  <c r="AF95" i="10"/>
  <c r="AJ95" i="10" s="1"/>
  <c r="AF98" i="10"/>
  <c r="AG99" i="10"/>
  <c r="AJ100" i="10"/>
  <c r="AA101" i="10"/>
  <c r="AG101" i="10" s="1"/>
  <c r="AJ102" i="10"/>
  <c r="AF110" i="10"/>
  <c r="AG112" i="10"/>
  <c r="AJ113" i="10"/>
  <c r="AA114" i="10"/>
  <c r="AG114" i="10" s="1"/>
  <c r="AJ116" i="10"/>
  <c r="AJ117" i="10"/>
  <c r="AG118" i="10"/>
  <c r="AJ118" i="10" s="1"/>
  <c r="AG122" i="10"/>
  <c r="AG126" i="10"/>
  <c r="AG130" i="10"/>
  <c r="AJ130" i="10" s="1"/>
  <c r="AG134" i="10"/>
  <c r="AJ134" i="10" s="1"/>
  <c r="AG138" i="10"/>
  <c r="AG141" i="10"/>
  <c r="AJ142" i="10"/>
  <c r="AJ143" i="10"/>
  <c r="AG144" i="10"/>
  <c r="AG146" i="10"/>
  <c r="AJ148" i="10"/>
  <c r="AG150" i="10"/>
  <c r="AJ150" i="10" s="1"/>
  <c r="AG154" i="10"/>
  <c r="AJ222" i="10"/>
  <c r="AJ227" i="10"/>
  <c r="AJ65" i="10"/>
  <c r="AG66" i="10"/>
  <c r="AG68" i="10"/>
  <c r="AJ68" i="10" s="1"/>
  <c r="AJ70" i="10"/>
  <c r="AG72" i="10"/>
  <c r="AG76" i="10"/>
  <c r="AF76" i="10"/>
  <c r="AJ81" i="10"/>
  <c r="AG93" i="10"/>
  <c r="AJ97" i="10"/>
  <c r="AJ105" i="10"/>
  <c r="AG106" i="10"/>
  <c r="AF106" i="10"/>
  <c r="AJ122" i="10"/>
  <c r="AG123" i="10"/>
  <c r="AJ123" i="10" s="1"/>
  <c r="AG125" i="10"/>
  <c r="AJ125" i="10" s="1"/>
  <c r="AJ127" i="10"/>
  <c r="AG129" i="10"/>
  <c r="AJ129" i="10" s="1"/>
  <c r="AG133" i="10"/>
  <c r="AJ133" i="10" s="1"/>
  <c r="AJ135" i="10"/>
  <c r="AG137" i="10"/>
  <c r="AJ156" i="10"/>
  <c r="AG196" i="10"/>
  <c r="AJ196" i="10" s="1"/>
  <c r="AJ61" i="10"/>
  <c r="AJ144" i="10"/>
  <c r="AJ146" i="10"/>
  <c r="AJ154" i="10"/>
  <c r="AJ241" i="10"/>
  <c r="AG293" i="10"/>
  <c r="AF297" i="10"/>
  <c r="AJ297" i="10" s="1"/>
  <c r="AF300" i="10"/>
  <c r="AG301" i="10"/>
  <c r="AJ336" i="10"/>
  <c r="AJ487" i="10"/>
  <c r="AJ161" i="10"/>
  <c r="AG164" i="10"/>
  <c r="AJ164" i="10" s="1"/>
  <c r="AG169" i="10"/>
  <c r="AJ169" i="10" s="1"/>
  <c r="AG171" i="10"/>
  <c r="AG174" i="10"/>
  <c r="AG175" i="10"/>
  <c r="AJ175" i="10" s="1"/>
  <c r="AG182" i="10"/>
  <c r="AG186" i="10"/>
  <c r="AJ186" i="10" s="1"/>
  <c r="AJ187" i="10"/>
  <c r="AG189" i="10"/>
  <c r="AJ189" i="10" s="1"/>
  <c r="AG210" i="10"/>
  <c r="AG213" i="10"/>
  <c r="AG227" i="10"/>
  <c r="AG228" i="10"/>
  <c r="AJ231" i="10"/>
  <c r="AG232" i="10"/>
  <c r="AG237" i="10"/>
  <c r="AG240" i="10"/>
  <c r="AJ240" i="10" s="1"/>
  <c r="AG243" i="10"/>
  <c r="AJ243" i="10" s="1"/>
  <c r="AG247" i="10"/>
  <c r="AJ263" i="10"/>
  <c r="AJ283" i="10"/>
  <c r="AF289" i="10"/>
  <c r="AJ289" i="10" s="1"/>
  <c r="AA297" i="10"/>
  <c r="AF299" i="10"/>
  <c r="AG300" i="10"/>
  <c r="AJ300" i="10" s="1"/>
  <c r="AF301" i="10"/>
  <c r="AJ301" i="10" s="1"/>
  <c r="AF307" i="10"/>
  <c r="AG162" i="10"/>
  <c r="AJ162" i="10" s="1"/>
  <c r="AF166" i="10"/>
  <c r="AJ166" i="10" s="1"/>
  <c r="AG173" i="10"/>
  <c r="AJ173" i="10" s="1"/>
  <c r="AG179" i="10"/>
  <c r="AJ179" i="10" s="1"/>
  <c r="AJ181" i="10"/>
  <c r="AJ182" i="10"/>
  <c r="AG190" i="10"/>
  <c r="AJ192" i="10"/>
  <c r="AG194" i="10"/>
  <c r="AJ194" i="10" s="1"/>
  <c r="AJ195" i="10"/>
  <c r="AG201" i="10"/>
  <c r="AJ201" i="10" s="1"/>
  <c r="AG203" i="10"/>
  <c r="AG207" i="10"/>
  <c r="AG211" i="10"/>
  <c r="AJ211" i="10" s="1"/>
  <c r="AG214" i="10"/>
  <c r="AG218" i="10"/>
  <c r="AG220" i="10"/>
  <c r="AJ220" i="10" s="1"/>
  <c r="AJ239" i="10"/>
  <c r="AG241" i="10"/>
  <c r="AJ242" i="10"/>
  <c r="AG244" i="10"/>
  <c r="AJ244" i="10" s="1"/>
  <c r="AG248" i="10"/>
  <c r="AJ248" i="10" s="1"/>
  <c r="AF264" i="10"/>
  <c r="AF267" i="10"/>
  <c r="AJ272" i="10"/>
  <c r="AJ279" i="10"/>
  <c r="AJ280" i="10"/>
  <c r="AJ288" i="10"/>
  <c r="AJ292" i="10"/>
  <c r="AF298" i="10"/>
  <c r="AJ298" i="10" s="1"/>
  <c r="AJ304" i="10"/>
  <c r="AJ305" i="10"/>
  <c r="AG306" i="10"/>
  <c r="AJ419" i="10"/>
  <c r="AJ157" i="10"/>
  <c r="AG158" i="10"/>
  <c r="AJ158" i="10" s="1"/>
  <c r="AG160" i="10"/>
  <c r="AJ160" i="10" s="1"/>
  <c r="AG161" i="10"/>
  <c r="AJ165" i="10"/>
  <c r="AG166" i="10"/>
  <c r="AG180" i="10"/>
  <c r="AJ180" i="10" s="1"/>
  <c r="AG184" i="10"/>
  <c r="AJ184" i="10" s="1"/>
  <c r="AG187" i="10"/>
  <c r="AJ190" i="10"/>
  <c r="AG191" i="10"/>
  <c r="AF196" i="10"/>
  <c r="AG199" i="10"/>
  <c r="AJ199" i="10" s="1"/>
  <c r="AG202" i="10"/>
  <c r="AJ204" i="10"/>
  <c r="AG206" i="10"/>
  <c r="AJ206" i="10" s="1"/>
  <c r="AJ210" i="10"/>
  <c r="AJ213" i="10"/>
  <c r="AG221" i="10"/>
  <c r="AG225" i="10"/>
  <c r="AJ228" i="10"/>
  <c r="AG230" i="10"/>
  <c r="AJ230" i="10" s="1"/>
  <c r="AG235" i="10"/>
  <c r="AJ237" i="10"/>
  <c r="AJ247" i="10"/>
  <c r="AJ250" i="10"/>
  <c r="AJ251" i="10"/>
  <c r="AG252" i="10"/>
  <c r="AJ252" i="10" s="1"/>
  <c r="AG253" i="10"/>
  <c r="AJ253" i="10" s="1"/>
  <c r="AG256" i="10"/>
  <c r="AJ257" i="10"/>
  <c r="AG263" i="10"/>
  <c r="AG281" i="10"/>
  <c r="AJ281" i="10" s="1"/>
  <c r="AG282" i="10"/>
  <c r="AJ282" i="10" s="1"/>
  <c r="AG283" i="10"/>
  <c r="AG284" i="10"/>
  <c r="AJ284" i="10" s="1"/>
  <c r="AG297" i="10"/>
  <c r="AG303" i="10"/>
  <c r="AG310" i="10"/>
  <c r="AF311" i="10"/>
  <c r="AF313" i="10"/>
  <c r="AJ323" i="10"/>
  <c r="AF328" i="10"/>
  <c r="AJ328" i="10" s="1"/>
  <c r="AJ340" i="10"/>
  <c r="AJ341" i="10"/>
  <c r="AG346" i="10"/>
  <c r="AG358" i="10"/>
  <c r="AJ361" i="10"/>
  <c r="AG372" i="10"/>
  <c r="AF385" i="10"/>
  <c r="AJ385" i="10" s="1"/>
  <c r="AJ432" i="10"/>
  <c r="AJ438" i="10"/>
  <c r="AG446" i="10"/>
  <c r="AG447" i="10"/>
  <c r="AJ447" i="10" s="1"/>
  <c r="AF463" i="10"/>
  <c r="AG468" i="10"/>
  <c r="AJ468" i="10" s="1"/>
  <c r="AG489" i="10"/>
  <c r="AJ313" i="10"/>
  <c r="AG318" i="10"/>
  <c r="AJ318" i="10" s="1"/>
  <c r="AG339" i="10"/>
  <c r="AG348" i="10"/>
  <c r="AJ348" i="10" s="1"/>
  <c r="AG349" i="10"/>
  <c r="AJ349" i="10" s="1"/>
  <c r="AG350" i="10"/>
  <c r="AJ350" i="10" s="1"/>
  <c r="AG354" i="10"/>
  <c r="AG355" i="10"/>
  <c r="AJ355" i="10" s="1"/>
  <c r="AG356" i="10"/>
  <c r="AJ356" i="10" s="1"/>
  <c r="AG360" i="10"/>
  <c r="AJ380" i="10"/>
  <c r="AG381" i="10"/>
  <c r="AJ381" i="10" s="1"/>
  <c r="AG383" i="10"/>
  <c r="AJ383" i="10" s="1"/>
  <c r="AG385" i="10"/>
  <c r="AJ387" i="10"/>
  <c r="AG396" i="10"/>
  <c r="AG399" i="10"/>
  <c r="AJ399" i="10" s="1"/>
  <c r="AJ401" i="10"/>
  <c r="AG406" i="10"/>
  <c r="AF409" i="10"/>
  <c r="AJ409" i="10" s="1"/>
  <c r="AG415" i="10"/>
  <c r="AJ415" i="10" s="1"/>
  <c r="AG430" i="10"/>
  <c r="AJ430" i="10" s="1"/>
  <c r="AG436" i="10"/>
  <c r="AG438" i="10"/>
  <c r="AF441" i="10"/>
  <c r="AF450" i="10"/>
  <c r="AJ450" i="10" s="1"/>
  <c r="AF460" i="10"/>
  <c r="AG469" i="10"/>
  <c r="AF471" i="10"/>
  <c r="AF473" i="10"/>
  <c r="AJ473" i="10" s="1"/>
  <c r="AG478" i="10"/>
  <c r="AG480" i="10"/>
  <c r="AJ480" i="10" s="1"/>
  <c r="AF483" i="10"/>
  <c r="AF484" i="10"/>
  <c r="AG487" i="10"/>
  <c r="AA314" i="10"/>
  <c r="AG314" i="10" s="1"/>
  <c r="AJ314" i="10" s="1"/>
  <c r="AJ319" i="10"/>
  <c r="AJ320" i="10"/>
  <c r="AG321" i="10"/>
  <c r="AG322" i="10"/>
  <c r="AJ322" i="10" s="1"/>
  <c r="AG323" i="10"/>
  <c r="AG324" i="10"/>
  <c r="AJ324" i="10" s="1"/>
  <c r="AG325" i="10"/>
  <c r="AJ325" i="10" s="1"/>
  <c r="AJ329" i="10"/>
  <c r="AJ330" i="10"/>
  <c r="AJ331" i="10"/>
  <c r="AJ332" i="10"/>
  <c r="AA342" i="10"/>
  <c r="AG342" i="10" s="1"/>
  <c r="AJ342" i="10" s="1"/>
  <c r="AG351" i="10"/>
  <c r="AG362" i="10"/>
  <c r="AG364" i="10"/>
  <c r="AJ364" i="10" s="1"/>
  <c r="AJ372" i="10"/>
  <c r="AG376" i="10"/>
  <c r="AJ377" i="10"/>
  <c r="AG388" i="10"/>
  <c r="AJ388" i="10" s="1"/>
  <c r="AJ394" i="10"/>
  <c r="AG398" i="10"/>
  <c r="AG400" i="10"/>
  <c r="AJ403" i="10"/>
  <c r="AG405" i="10"/>
  <c r="AG409" i="10"/>
  <c r="AG410" i="10"/>
  <c r="AJ410" i="10" s="1"/>
  <c r="AG416" i="10"/>
  <c r="AJ416" i="10" s="1"/>
  <c r="AF418" i="10"/>
  <c r="AG423" i="10"/>
  <c r="AJ423" i="10" s="1"/>
  <c r="AF426" i="10"/>
  <c r="AJ426" i="10" s="1"/>
  <c r="AG434" i="10"/>
  <c r="AJ434" i="10" s="1"/>
  <c r="AF440" i="10"/>
  <c r="AG452" i="10"/>
  <c r="AJ459" i="10"/>
  <c r="AF472" i="10"/>
  <c r="AG473" i="10"/>
  <c r="AF475" i="10"/>
  <c r="AF476" i="10"/>
  <c r="AJ476" i="10" s="1"/>
  <c r="AF477" i="10"/>
  <c r="AG482" i="10"/>
  <c r="AG484" i="10"/>
  <c r="AF310" i="10"/>
  <c r="AJ310" i="10" s="1"/>
  <c r="AG311" i="10"/>
  <c r="AJ311" i="10" s="1"/>
  <c r="AG327" i="10"/>
  <c r="AF333" i="10"/>
  <c r="AF334" i="10"/>
  <c r="AG335" i="10"/>
  <c r="AJ335" i="10" s="1"/>
  <c r="AG336" i="10"/>
  <c r="AF338" i="10"/>
  <c r="AG344" i="10"/>
  <c r="AJ344" i="10" s="1"/>
  <c r="AJ347" i="10"/>
  <c r="AF351" i="10"/>
  <c r="AJ351" i="10" s="1"/>
  <c r="AA356" i="10"/>
  <c r="AJ369" i="10"/>
  <c r="AJ374" i="10"/>
  <c r="AG380" i="10"/>
  <c r="AJ391" i="10"/>
  <c r="AJ396" i="10"/>
  <c r="AG414" i="10"/>
  <c r="AJ414" i="10" s="1"/>
  <c r="AG417" i="10"/>
  <c r="AJ417" i="10" s="1"/>
  <c r="AG419" i="10"/>
  <c r="AG428" i="10"/>
  <c r="AG442" i="10"/>
  <c r="AG449" i="10"/>
  <c r="AG451" i="10"/>
  <c r="AJ451" i="10" s="1"/>
  <c r="AG465" i="10"/>
  <c r="AJ465" i="10" s="1"/>
  <c r="AG472" i="10"/>
  <c r="AG476" i="10"/>
  <c r="AF491" i="10"/>
  <c r="AJ491" i="10" s="1"/>
  <c r="H673" i="12"/>
  <c r="AG10" i="10"/>
  <c r="AJ16" i="10"/>
  <c r="AJ21" i="10"/>
  <c r="AJ28" i="10"/>
  <c r="AJ11" i="10"/>
  <c r="AJ12" i="10"/>
  <c r="AJ23" i="10"/>
  <c r="AJ8" i="10"/>
  <c r="AJ13" i="10"/>
  <c r="AJ15" i="10"/>
  <c r="AG16" i="10"/>
  <c r="AF10" i="10"/>
  <c r="AJ10" i="10" s="1"/>
  <c r="AF22" i="10"/>
  <c r="AJ22" i="10" s="1"/>
  <c r="AJ208" i="10"/>
  <c r="AA233" i="10"/>
  <c r="AG233" i="10" s="1"/>
  <c r="AF233" i="10"/>
  <c r="AA444" i="10"/>
  <c r="AG444" i="10" s="1"/>
  <c r="AF444" i="10"/>
  <c r="AJ444" i="10" s="1"/>
  <c r="AJ132" i="10"/>
  <c r="AG24" i="10"/>
  <c r="AJ25" i="10"/>
  <c r="AJ30" i="10"/>
  <c r="AJ38" i="10"/>
  <c r="AJ40" i="10"/>
  <c r="AG53" i="10"/>
  <c r="AJ53" i="10" s="1"/>
  <c r="AJ58" i="10"/>
  <c r="AJ59" i="10"/>
  <c r="AJ77" i="10"/>
  <c r="AJ91" i="10"/>
  <c r="AJ114" i="10"/>
  <c r="AJ124" i="10"/>
  <c r="AJ138" i="10"/>
  <c r="AJ145" i="10"/>
  <c r="AJ151" i="10"/>
  <c r="AJ170" i="10"/>
  <c r="AJ188" i="10"/>
  <c r="AJ198" i="10"/>
  <c r="AJ218" i="10"/>
  <c r="AJ153" i="10"/>
  <c r="AA159" i="10"/>
  <c r="AF159" i="10"/>
  <c r="AF34" i="10"/>
  <c r="AJ34" i="10" s="1"/>
  <c r="AJ51" i="10"/>
  <c r="AJ55" i="10"/>
  <c r="AJ62" i="10"/>
  <c r="AJ71" i="10"/>
  <c r="AJ75" i="10"/>
  <c r="AJ82" i="10"/>
  <c r="AJ86" i="10"/>
  <c r="AJ88" i="10"/>
  <c r="AJ98" i="10"/>
  <c r="AJ99" i="10"/>
  <c r="AJ106" i="10"/>
  <c r="AJ110" i="10"/>
  <c r="AJ112" i="10"/>
  <c r="AJ128" i="10"/>
  <c r="AJ131" i="10"/>
  <c r="AJ136" i="10"/>
  <c r="AJ140" i="10"/>
  <c r="AJ149" i="10"/>
  <c r="AJ152" i="10"/>
  <c r="AJ168" i="10"/>
  <c r="AA294" i="10"/>
  <c r="AG294" i="10" s="1"/>
  <c r="AF294" i="10"/>
  <c r="AJ294" i="10" s="1"/>
  <c r="AG36" i="10"/>
  <c r="AJ36" i="10" s="1"/>
  <c r="AJ44" i="10"/>
  <c r="AG54" i="10"/>
  <c r="AF54" i="10"/>
  <c r="AJ54" i="10" s="1"/>
  <c r="AJ60" i="10"/>
  <c r="AJ63" i="10"/>
  <c r="AG64" i="10"/>
  <c r="AF64" i="10"/>
  <c r="AJ64" i="10" s="1"/>
  <c r="AJ69" i="10"/>
  <c r="AJ72" i="10"/>
  <c r="AG73" i="10"/>
  <c r="AF73" i="10"/>
  <c r="AJ73" i="10" s="1"/>
  <c r="AG79" i="10"/>
  <c r="AJ79" i="10" s="1"/>
  <c r="AJ80" i="10"/>
  <c r="AG85" i="10"/>
  <c r="AF85" i="10"/>
  <c r="AJ89" i="10"/>
  <c r="AJ90" i="10"/>
  <c r="AJ103" i="10"/>
  <c r="AJ108" i="10"/>
  <c r="AG109" i="10"/>
  <c r="AF109" i="10"/>
  <c r="AJ109" i="10" s="1"/>
  <c r="AJ120" i="10"/>
  <c r="AG121" i="10"/>
  <c r="AF121" i="10"/>
  <c r="AJ121" i="10" s="1"/>
  <c r="AJ126" i="10"/>
  <c r="AJ137" i="10"/>
  <c r="AJ147" i="10"/>
  <c r="AJ163" i="10"/>
  <c r="AJ203" i="10"/>
  <c r="AJ214" i="10"/>
  <c r="AJ226" i="10"/>
  <c r="AJ229" i="10"/>
  <c r="AJ236" i="10"/>
  <c r="AA259" i="10"/>
  <c r="AF259" i="10"/>
  <c r="AJ167" i="10"/>
  <c r="AJ172" i="10"/>
  <c r="AJ174" i="10"/>
  <c r="AJ176" i="10"/>
  <c r="AJ233" i="10"/>
  <c r="AA315" i="10"/>
  <c r="AG315" i="10" s="1"/>
  <c r="AF315" i="10"/>
  <c r="AJ384" i="10"/>
  <c r="AJ185" i="10"/>
  <c r="AJ193" i="10"/>
  <c r="AJ197" i="10"/>
  <c r="AJ207" i="10"/>
  <c r="AG215" i="10"/>
  <c r="AJ216" i="10"/>
  <c r="AJ221" i="10"/>
  <c r="AJ225" i="10"/>
  <c r="AJ234" i="10"/>
  <c r="AJ235" i="10"/>
  <c r="AF262" i="10"/>
  <c r="AG159" i="10"/>
  <c r="AJ183" i="10"/>
  <c r="AJ191" i="10"/>
  <c r="AJ200" i="10"/>
  <c r="AJ205" i="10"/>
  <c r="AJ209" i="10"/>
  <c r="AJ217" i="10"/>
  <c r="AJ219" i="10"/>
  <c r="AJ232" i="10"/>
  <c r="AJ238" i="10"/>
  <c r="AJ246" i="10"/>
  <c r="AJ254" i="10"/>
  <c r="AJ258" i="10"/>
  <c r="AA265" i="10"/>
  <c r="AF265" i="10"/>
  <c r="AJ267" i="10"/>
  <c r="AJ268" i="10"/>
  <c r="AJ307" i="10"/>
  <c r="AA352" i="10"/>
  <c r="AG352" i="10" s="1"/>
  <c r="AF352" i="10"/>
  <c r="AF202" i="10"/>
  <c r="AJ202" i="10" s="1"/>
  <c r="AF215" i="10"/>
  <c r="AF232" i="10"/>
  <c r="AF256" i="10"/>
  <c r="AF266" i="10"/>
  <c r="AJ266" i="10" s="1"/>
  <c r="AJ299" i="10"/>
  <c r="AJ309" i="10"/>
  <c r="AJ315" i="10"/>
  <c r="AJ327" i="10"/>
  <c r="AJ352" i="10"/>
  <c r="AJ358" i="10"/>
  <c r="AJ363" i="10"/>
  <c r="AJ366" i="10"/>
  <c r="AJ371" i="10"/>
  <c r="AJ379" i="10"/>
  <c r="AJ427" i="10"/>
  <c r="AJ442" i="10"/>
  <c r="AF260" i="10"/>
  <c r="AJ260" i="10" s="1"/>
  <c r="AJ275" i="10"/>
  <c r="AJ285" i="10"/>
  <c r="AJ291" i="10"/>
  <c r="AJ295" i="10"/>
  <c r="AJ303" i="10"/>
  <c r="AJ316" i="10"/>
  <c r="AJ326" i="10"/>
  <c r="AJ333" i="10"/>
  <c r="AJ337" i="10"/>
  <c r="AJ339" i="10"/>
  <c r="AJ343" i="10"/>
  <c r="AJ346" i="10"/>
  <c r="AJ354" i="10"/>
  <c r="AJ357" i="10"/>
  <c r="AJ360" i="10"/>
  <c r="AJ365" i="10"/>
  <c r="AJ368" i="10"/>
  <c r="AJ373" i="10"/>
  <c r="AJ376" i="10"/>
  <c r="AF382" i="10"/>
  <c r="AJ408" i="10"/>
  <c r="AJ411" i="10"/>
  <c r="AJ422" i="10"/>
  <c r="AJ437" i="10"/>
  <c r="AG259" i="10"/>
  <c r="AG262" i="10"/>
  <c r="AG265" i="10"/>
  <c r="AJ269" i="10"/>
  <c r="AJ271" i="10"/>
  <c r="AJ273" i="10"/>
  <c r="AJ287" i="10"/>
  <c r="AJ290" i="10"/>
  <c r="AJ293" i="10"/>
  <c r="AG296" i="10"/>
  <c r="AJ296" i="10" s="1"/>
  <c r="AJ302" i="10"/>
  <c r="AJ306" i="10"/>
  <c r="AJ308" i="10"/>
  <c r="AJ312" i="10"/>
  <c r="AG317" i="10"/>
  <c r="AJ317" i="10" s="1"/>
  <c r="AJ321" i="10"/>
  <c r="AG334" i="10"/>
  <c r="AJ334" i="10" s="1"/>
  <c r="AJ338" i="10"/>
  <c r="AJ345" i="10"/>
  <c r="AJ359" i="10"/>
  <c r="AJ362" i="10"/>
  <c r="AJ367" i="10"/>
  <c r="AJ370" i="10"/>
  <c r="AJ375" i="10"/>
  <c r="AJ378" i="10"/>
  <c r="AJ386" i="10"/>
  <c r="AF383" i="10"/>
  <c r="AJ393" i="10"/>
  <c r="AJ400" i="10"/>
  <c r="AJ406" i="10"/>
  <c r="AJ418" i="10"/>
  <c r="AJ429" i="10"/>
  <c r="AJ433" i="10"/>
  <c r="AJ390" i="10"/>
  <c r="AJ395" i="10"/>
  <c r="AJ398" i="10"/>
  <c r="AJ402" i="10"/>
  <c r="AJ407" i="10"/>
  <c r="AJ413" i="10"/>
  <c r="AJ425" i="10"/>
  <c r="AJ440" i="10"/>
  <c r="AJ445" i="10"/>
  <c r="AJ463" i="10"/>
  <c r="AI11" i="11"/>
  <c r="AG382" i="10"/>
  <c r="AJ389" i="10"/>
  <c r="AJ392" i="10"/>
  <c r="AJ397" i="10"/>
  <c r="AJ404" i="10"/>
  <c r="AJ405" i="10"/>
  <c r="AG420" i="10"/>
  <c r="AJ421" i="10"/>
  <c r="AG435" i="10"/>
  <c r="AJ436" i="10"/>
  <c r="AJ441" i="10"/>
  <c r="AJ446" i="10"/>
  <c r="AA448" i="10"/>
  <c r="AF448" i="10"/>
  <c r="AA470" i="10"/>
  <c r="AG470" i="10" s="1"/>
  <c r="AF470" i="10"/>
  <c r="AJ479" i="10"/>
  <c r="AA490" i="10"/>
  <c r="AF490" i="10"/>
  <c r="AF412" i="10"/>
  <c r="AJ412" i="10" s="1"/>
  <c r="AF420" i="10"/>
  <c r="AF424" i="10"/>
  <c r="AJ424" i="10" s="1"/>
  <c r="AF428" i="10"/>
  <c r="AF431" i="10"/>
  <c r="AJ431" i="10" s="1"/>
  <c r="AF435" i="10"/>
  <c r="AJ435" i="10" s="1"/>
  <c r="AF439" i="10"/>
  <c r="AJ439" i="10" s="1"/>
  <c r="AF443" i="10"/>
  <c r="AJ443" i="10" s="1"/>
  <c r="AF449" i="10"/>
  <c r="AJ449" i="10" s="1"/>
  <c r="AJ475" i="10"/>
  <c r="AJ486" i="10"/>
  <c r="AJ452" i="10"/>
  <c r="AG460" i="10"/>
  <c r="AJ461" i="10"/>
  <c r="AJ466" i="10"/>
  <c r="AG467" i="10"/>
  <c r="AF467" i="10"/>
  <c r="AJ467" i="10" s="1"/>
  <c r="AJ471" i="10"/>
  <c r="AG474" i="10"/>
  <c r="AF474" i="10"/>
  <c r="AJ474" i="10" s="1"/>
  <c r="AG481" i="10"/>
  <c r="AJ481" i="10" s="1"/>
  <c r="AJ482" i="10"/>
  <c r="AI8" i="11"/>
  <c r="AI14" i="11"/>
  <c r="AI22" i="11"/>
  <c r="AI30" i="11"/>
  <c r="AI38" i="11"/>
  <c r="AG448" i="10"/>
  <c r="AG454" i="10"/>
  <c r="AJ454" i="10" s="1"/>
  <c r="AJ457" i="10"/>
  <c r="AJ462" i="10"/>
  <c r="AJ464" i="10"/>
  <c r="AJ469" i="10"/>
  <c r="AG477" i="10"/>
  <c r="AJ478" i="10"/>
  <c r="AJ483" i="10"/>
  <c r="AJ485" i="10"/>
  <c r="AJ489" i="10"/>
  <c r="AG490" i="10"/>
  <c r="AJ490" i="10" s="1"/>
  <c r="AI17" i="11"/>
  <c r="AI21" i="11"/>
  <c r="AI25" i="11"/>
  <c r="AI29" i="11"/>
  <c r="AI33" i="11"/>
  <c r="AI37" i="11"/>
  <c r="AI41" i="11"/>
  <c r="AI16" i="11"/>
  <c r="AI20" i="11"/>
  <c r="AI24" i="11"/>
  <c r="AI28" i="11"/>
  <c r="AI32" i="11"/>
  <c r="AI36" i="11"/>
  <c r="AI40" i="11"/>
  <c r="AI43" i="11"/>
  <c r="AI45" i="11"/>
  <c r="AI47" i="11"/>
  <c r="AI49" i="11"/>
  <c r="AI51" i="11"/>
  <c r="AI53" i="11"/>
  <c r="AI55" i="11"/>
  <c r="AI57" i="11"/>
  <c r="AI59" i="11"/>
  <c r="AI61" i="11"/>
  <c r="AI69" i="11"/>
  <c r="AI15" i="11"/>
  <c r="AI19" i="11"/>
  <c r="AI23" i="11"/>
  <c r="AI27" i="11"/>
  <c r="AI31" i="11"/>
  <c r="AI35" i="11"/>
  <c r="AI39" i="11"/>
  <c r="AI3" i="11" s="1"/>
  <c r="AJ74" i="10" l="1"/>
  <c r="AJ256" i="10"/>
  <c r="AJ477" i="10"/>
  <c r="AJ420" i="10"/>
  <c r="AJ470" i="10"/>
  <c r="AJ24" i="10"/>
  <c r="AJ2" i="10" s="1"/>
  <c r="G5" i="2" s="1"/>
  <c r="AJ484" i="10"/>
  <c r="AJ460" i="10"/>
  <c r="AJ3" i="10" s="1"/>
  <c r="AJ428" i="10"/>
  <c r="AJ215" i="10"/>
  <c r="AJ85" i="10"/>
  <c r="AJ472" i="10"/>
  <c r="AI2" i="11"/>
  <c r="H662" i="12" s="1"/>
  <c r="H663" i="12" s="1"/>
  <c r="AI4" i="11"/>
  <c r="AJ262" i="10"/>
  <c r="AJ259" i="10"/>
  <c r="AJ159" i="10"/>
  <c r="AJ382" i="10"/>
  <c r="AJ265" i="10"/>
  <c r="AJ4" i="10"/>
  <c r="AJ448" i="10"/>
  <c r="H5" i="2" l="1"/>
  <c r="G5" i="1" l="1"/>
  <c r="G6" i="1" s="1"/>
  <c r="H5" i="1"/>
  <c r="E5" i="1"/>
  <c r="F5" i="1"/>
  <c r="F6" i="1" s="1"/>
  <c r="F4" i="1"/>
  <c r="E4" i="1"/>
  <c r="E19" i="4"/>
  <c r="D18" i="4" s="1"/>
  <c r="F26" i="3"/>
  <c r="E25" i="3" s="1"/>
  <c r="E3" i="1"/>
  <c r="F3" i="1"/>
  <c r="G3" i="1"/>
  <c r="H3" i="1"/>
  <c r="E2" i="1"/>
  <c r="D13" i="4"/>
  <c r="D12" i="4"/>
  <c r="D8" i="4"/>
  <c r="E14" i="3"/>
  <c r="E18" i="3" s="1"/>
  <c r="E19" i="3" s="1"/>
  <c r="D7" i="2"/>
  <c r="C6" i="1"/>
  <c r="H2" i="1"/>
  <c r="G2" i="1"/>
  <c r="F2" i="1"/>
  <c r="I5" i="1" l="1"/>
  <c r="E6" i="1"/>
  <c r="I3" i="1"/>
  <c r="D17" i="4"/>
  <c r="D19" i="4" s="1"/>
  <c r="E24" i="3"/>
  <c r="E26" i="3" s="1"/>
  <c r="I2" i="1"/>
  <c r="D12" i="2" l="1"/>
  <c r="D11" i="2"/>
  <c r="H4" i="1" l="1"/>
  <c r="D13" i="2"/>
  <c r="D15" i="2" s="1"/>
  <c r="D16" i="2" s="1"/>
  <c r="I4" i="1" l="1"/>
  <c r="I6" i="1" s="1"/>
  <c r="H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Hodgson, Andrew</author>
  </authors>
  <commentList>
    <comment ref="Z455" authorId="0" shapeId="0" xr:uid="{B3F42329-7F30-4DF8-949F-DC09A61AE067}">
      <text>
        <r>
          <rPr>
            <b/>
            <sz val="9"/>
            <color indexed="81"/>
            <rFont val="Tahoma"/>
            <family val="2"/>
          </rPr>
          <t>Hodgson, Andrew:</t>
        </r>
        <r>
          <rPr>
            <sz val="9"/>
            <color indexed="81"/>
            <rFont val="Tahoma"/>
            <family val="2"/>
          </rPr>
          <t xml:space="preserve">
Units rates are very different. A review of last years consumption shows A = 55% and B = 45%</t>
        </r>
      </text>
    </comment>
    <comment ref="Z456" authorId="0" shapeId="0" xr:uid="{C1F19277-241F-4632-A622-2C8FAF567FB3}">
      <text>
        <r>
          <rPr>
            <b/>
            <sz val="9"/>
            <color indexed="81"/>
            <rFont val="Tahoma"/>
            <family val="2"/>
          </rPr>
          <t>Hodgson, Andrew:</t>
        </r>
        <r>
          <rPr>
            <sz val="9"/>
            <color indexed="81"/>
            <rFont val="Tahoma"/>
            <family val="2"/>
          </rPr>
          <t xml:space="preserve">
Unit rates are very different. A review of last years consumption shows A= 59% and B = 41% and no units for E rating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<sst xmlns="http://schemas.openxmlformats.org/spreadsheetml/2006/main" count="5835" uniqueCount="983">
  <si>
    <t>No of accounts charged</t>
  </si>
  <si>
    <t>Total Service charges</t>
  </si>
  <si>
    <t>.</t>
  </si>
  <si>
    <t>£ share</t>
  </si>
  <si>
    <t>Tenants in receipt of lighting =</t>
  </si>
  <si>
    <t>Leaseholders/Other in receipt of lighting =</t>
  </si>
  <si>
    <t>Total Leaseholders &amp; Tenants in receipt of lighting =</t>
  </si>
  <si>
    <t>Charge per property (52 wk) =</t>
  </si>
  <si>
    <t>Less one-off charges and scheme decommissioning =</t>
  </si>
  <si>
    <t>Chargeable share 2023-24 =</t>
  </si>
  <si>
    <t>Number of Properties</t>
  </si>
  <si>
    <t>Costs</t>
  </si>
  <si>
    <t>Total Estimated 2023-24 Electricity Cost General Needs blocks =</t>
  </si>
  <si>
    <t>landscaping</t>
  </si>
  <si>
    <t>Eurobins</t>
  </si>
  <si>
    <t>Staffing</t>
  </si>
  <si>
    <t>Fleet</t>
  </si>
  <si>
    <t>Waste collection</t>
  </si>
  <si>
    <t>Pest Control general needs share</t>
  </si>
  <si>
    <t>Overheads / general management</t>
  </si>
  <si>
    <t>Minor /ad hoc works</t>
  </si>
  <si>
    <t>Service charges on leased general needs stock</t>
  </si>
  <si>
    <t>Ground maintenance general needs share</t>
  </si>
  <si>
    <t>Budgeted 23/24</t>
  </si>
  <si>
    <t>Total number of Tenants &amp; Leaseholders in receipt of Caretaking services =</t>
  </si>
  <si>
    <t>Charge per property per week (52 week basis) =</t>
  </si>
  <si>
    <t>Annual</t>
  </si>
  <si>
    <t>Supplies</t>
  </si>
  <si>
    <t>Average Charge per Tenant</t>
  </si>
  <si>
    <t>Leaseholders Excluded</t>
  </si>
  <si>
    <t>Tenant share</t>
  </si>
  <si>
    <t>Leasehold (Notional) share</t>
  </si>
  <si>
    <t>£</t>
  </si>
  <si>
    <t>Count properties</t>
  </si>
  <si>
    <t>Annual Tenant Recovery</t>
  </si>
  <si>
    <t>Annual Tenant Cost</t>
  </si>
  <si>
    <t>Tenant</t>
  </si>
  <si>
    <t>Total</t>
  </si>
  <si>
    <t>Sub-Total</t>
  </si>
  <si>
    <t>GRANCOURT1-231GEN</t>
  </si>
  <si>
    <t>Leaseholder</t>
  </si>
  <si>
    <t>NORTNINTH1-199ODDSGE</t>
  </si>
  <si>
    <t>MULLAVENU80A-C&amp;82A-C</t>
  </si>
  <si>
    <t>MULLAVENU76A-C&amp;78A-C</t>
  </si>
  <si>
    <t>MULLAVENU24A-C&amp;26A-C</t>
  </si>
  <si>
    <t>DOWNBARNB64A-C66A-C</t>
  </si>
  <si>
    <t>DOWNBARNB28A-C&amp;30A-C</t>
  </si>
  <si>
    <t>DOWNBARNB24A-C&amp;26A-C</t>
  </si>
  <si>
    <t>RAMSAVENU&amp;31YARRPLAC</t>
  </si>
  <si>
    <t>RAMSAVENU&amp;29YARRPLAC</t>
  </si>
  <si>
    <t>RAMSAVENU&amp;32YARRPLAC</t>
  </si>
  <si>
    <t>RAMSAVENU&amp;30YARRPLAC</t>
  </si>
  <si>
    <t>RAMSAVENU&amp;29SPEEPLAC</t>
  </si>
  <si>
    <t>CONNBOU326A-C&amp;328A-C</t>
  </si>
  <si>
    <t>CONNBOU325A-C&amp;327A-C</t>
  </si>
  <si>
    <t>CONNBOULE&amp;3SPEEPLACE</t>
  </si>
  <si>
    <t>Shared Ownership</t>
  </si>
  <si>
    <t>CONNBOU265A-C&amp;267A-C</t>
  </si>
  <si>
    <t>CONNBOU257A-C&amp;259A-C</t>
  </si>
  <si>
    <t>BRAMAVENU96A-C&amp;98A-C</t>
  </si>
  <si>
    <t>BRAMAVENU28A-C&amp;30A-C</t>
  </si>
  <si>
    <t>Notes</t>
  </si>
  <si>
    <t>MKC units in HA/RSL Freehold blocks - MKC has leasehold</t>
  </si>
  <si>
    <t>Annual gas cost estimate 2023-24</t>
  </si>
  <si>
    <t>check costs forecasts file =</t>
  </si>
  <si>
    <t>Grand total</t>
  </si>
  <si>
    <t>Adjustments / rounding's</t>
  </si>
  <si>
    <t>Weekly share</t>
  </si>
  <si>
    <t>Leasehold/  Tenant</t>
  </si>
  <si>
    <t>Property Ref</t>
  </si>
  <si>
    <t>52 week basis</t>
  </si>
  <si>
    <t>Rounded</t>
  </si>
  <si>
    <t>Block</t>
  </si>
  <si>
    <t>Weekly HEAT charge 2023-24 to Tenant (52 week basis) or Leasehold notional share</t>
  </si>
  <si>
    <t>variance/rounding/nonrecovery</t>
  </si>
  <si>
    <t>Energy Use In Year</t>
  </si>
  <si>
    <t>Units rates</t>
  </si>
  <si>
    <t>Estimate Calculation for 2023 - 2024</t>
  </si>
  <si>
    <t>Milton Keynes Council - Utility Landlord Records from the  SIGMA database as at December 2022</t>
  </si>
  <si>
    <t xml:space="preserve">HISTORIC CONSUMPTION DATA </t>
  </si>
  <si>
    <t>Energy</t>
  </si>
  <si>
    <t>1 April to 30 September</t>
  </si>
  <si>
    <t>1 October to 31 March</t>
  </si>
  <si>
    <t>All rates are in Pence per Kwh</t>
  </si>
  <si>
    <t>Summer Months</t>
  </si>
  <si>
    <t>Winter Months</t>
  </si>
  <si>
    <t>Standing Charges</t>
  </si>
  <si>
    <t>Cost based on Consumption x Unit rate</t>
  </si>
  <si>
    <t>Electricity</t>
  </si>
  <si>
    <t>Electricity Uplift 1-10-2023</t>
  </si>
  <si>
    <t>Standing Charge Uplift</t>
  </si>
  <si>
    <t>Account Number</t>
  </si>
  <si>
    <t>Site / Property Type</t>
  </si>
  <si>
    <t>Utility Type</t>
  </si>
  <si>
    <t>Meter Number</t>
  </si>
  <si>
    <t>2017 -  2018</t>
  </si>
  <si>
    <t>2018 - 2019</t>
  </si>
  <si>
    <t>2019 - 2020</t>
  </si>
  <si>
    <t>2020 - 2021</t>
  </si>
  <si>
    <t>2021 - 2022</t>
  </si>
  <si>
    <t>2022 - 2023</t>
  </si>
  <si>
    <t>Average over Years 1 to 5</t>
  </si>
  <si>
    <t>ESTIMATED UNITS</t>
  </si>
  <si>
    <t>Standing Charge [Pence per Day]</t>
  </si>
  <si>
    <t>CCL - Climate Change Levy</t>
  </si>
  <si>
    <t>Consumption</t>
  </si>
  <si>
    <t>Pre - 1 October 2022</t>
  </si>
  <si>
    <t>Post - 1 October 2022</t>
  </si>
  <si>
    <t>Average Unit rate Cost</t>
  </si>
  <si>
    <t>From - 1 October 2023</t>
  </si>
  <si>
    <t>Days in Year</t>
  </si>
  <si>
    <t>1 April 2023 to 30 September 2023</t>
  </si>
  <si>
    <t>1 October 2023 to 31 March 2024</t>
  </si>
  <si>
    <t>TOTAL ESTIMATED COST</t>
  </si>
  <si>
    <t>YEAR 1</t>
  </si>
  <si>
    <t>YEAR 2</t>
  </si>
  <si>
    <t>YEAR 3</t>
  </si>
  <si>
    <t>YEAR 4</t>
  </si>
  <si>
    <t>YEAR 5</t>
  </si>
  <si>
    <t>CURRENT</t>
  </si>
  <si>
    <t>Pre 01-10-2022</t>
  </si>
  <si>
    <t>Post 01-10-2022</t>
  </si>
  <si>
    <t>Summer</t>
  </si>
  <si>
    <t>Winter</t>
  </si>
  <si>
    <t>General Needs</t>
  </si>
  <si>
    <t>A 16.6930 B 11.18900 C 14.2160</t>
  </si>
  <si>
    <t>A. 27.44355 B 25.01265 C 25.33079</t>
  </si>
  <si>
    <t>A.16.7740 B 11.119300 C. 14.24500</t>
  </si>
  <si>
    <t>A. 27.45338 B. 25.02322 C. 25.39770</t>
  </si>
  <si>
    <t>Calverton House</t>
  </si>
  <si>
    <t>A. 16.59100 B. 11.14300</t>
  </si>
  <si>
    <t>A. 27.35077 B. 25.22353</t>
  </si>
  <si>
    <t>Glamis House - TV AMP (UNMTRD)</t>
  </si>
  <si>
    <t>A. 16.5770 B. 11.184</t>
  </si>
  <si>
    <t>A. 27.17209 B 25.04854</t>
  </si>
  <si>
    <t>A.165770 B. 11.1840</t>
  </si>
  <si>
    <t>A. 27.21369 B. 25.09009</t>
  </si>
  <si>
    <t>A. 15.82300 B. 11.11100</t>
  </si>
  <si>
    <t>A. 26.59287 B. 25.10823</t>
  </si>
  <si>
    <t>A. 15.8230 B. 11.1110</t>
  </si>
  <si>
    <t>A. 26.62478 B. 25.14164</t>
  </si>
  <si>
    <t>A. 16.57700 B. 11.184.00</t>
  </si>
  <si>
    <t>A. 27.20667 B. 25.08306</t>
  </si>
  <si>
    <t>L/LORDS - ANTRIM HOUSE</t>
  </si>
  <si>
    <t>A. 16.5960 B. 11.1300</t>
  </si>
  <si>
    <t>A. 27.19180 B. 25.21490</t>
  </si>
  <si>
    <t>L/LORDS - ARGYLL HOUSE</t>
  </si>
  <si>
    <t>L/LORDS - AVON GROVE</t>
  </si>
  <si>
    <t>A. 16.7740 B. 11.1930 C. 14.2450</t>
  </si>
  <si>
    <t>A. 27.40541 B. 24.97251 C. 25.34702</t>
  </si>
  <si>
    <t>A. 16.7740 B. 11.19300 C. 14.24500</t>
  </si>
  <si>
    <t>A. 27.40417 B. 24.97211 C. 25.34727</t>
  </si>
  <si>
    <t>A. 27.38514 B. 24.95341 C. 25.32806</t>
  </si>
  <si>
    <t>L/LORDS - BALMORAL COURT</t>
  </si>
  <si>
    <t>A. 16.77400 B. 11.19300 C. 14.24500</t>
  </si>
  <si>
    <t>A. 27.43758 B. 25.00613 C. 25.38018</t>
  </si>
  <si>
    <t>A. 16.69330B. 11.18900 C. 14.2160</t>
  </si>
  <si>
    <t>A. 27.42068 B. 24.9960 C. 25.31020</t>
  </si>
  <si>
    <t>L/LORDS - BRIDGE STREET</t>
  </si>
  <si>
    <t>A. 26.64323 B. 25.16313</t>
  </si>
  <si>
    <t>A. 26.6300 B. 25.14077</t>
  </si>
  <si>
    <t>A. 27.15839 B. 25.03475</t>
  </si>
  <si>
    <t>A. 16.6170 B. 12.3870 C. 14.1390</t>
  </si>
  <si>
    <t>A. 27.31694 B. 24.88929 C. 25.20888</t>
  </si>
  <si>
    <t>A. 16.69300 B. 11.18900 C. 14.21600</t>
  </si>
  <si>
    <t>A. 27.40433 B. 24.97352 C. 25.29345</t>
  </si>
  <si>
    <t>A. 27.48165 B. 25.05208 C. 25.37169</t>
  </si>
  <si>
    <t>L/LORDS - BUCKINGHAM HOUSE</t>
  </si>
  <si>
    <t>A. 27.40875 B. 24.97780 C. 25.35245</t>
  </si>
  <si>
    <t>L/LORDS - BUSHFIELDS</t>
  </si>
  <si>
    <t>A. 27.33331 B. 24.90246 C. 25.27685</t>
  </si>
  <si>
    <t>A. 15.800 B. 11.1980</t>
  </si>
  <si>
    <t>A. 26.73014 B. 25.09986</t>
  </si>
  <si>
    <t>A. 26.85771 B. 25.18882</t>
  </si>
  <si>
    <t>A. 16.57700 B. 11.18400</t>
  </si>
  <si>
    <t>A. 27.16370B. 25.04057</t>
  </si>
  <si>
    <t>A. 16.5770 B. 11.1840</t>
  </si>
  <si>
    <t>A. 27.13226 B. 25.00908</t>
  </si>
  <si>
    <t>A. 27.15107 B. 25.02671</t>
  </si>
  <si>
    <t>A. 27.35586 B. 25.18882</t>
  </si>
  <si>
    <t>L/LORDS - CHERWELL HSE</t>
  </si>
  <si>
    <t>A. 15.80 B. 11.198</t>
  </si>
  <si>
    <t>A. 26.70836 B. 25.07765</t>
  </si>
  <si>
    <t>A. 16.5930 B. 11.1890 C. 14.2160</t>
  </si>
  <si>
    <t>A. 27.48304 B. 25.05264 C. 25.37103</t>
  </si>
  <si>
    <t>A. 16.6930 B. 11.1890 C. 14.2160</t>
  </si>
  <si>
    <t>A. 27.41702 B. 24.98750 C. 25.30713</t>
  </si>
  <si>
    <t>A: 16.693
B:11.189
C: 14.216</t>
  </si>
  <si>
    <t>A: 27.38995
B: 24.95712
C: 25.27654</t>
  </si>
  <si>
    <t>A: 27.47077
B: 25.04083
C: 25.36048</t>
  </si>
  <si>
    <t>A.16.6930 B. 11.1890 C. 14.2160</t>
  </si>
  <si>
    <t>A. 27.47974 B. 25.05006 C. 23.36915</t>
  </si>
  <si>
    <t>A. 26.72709 B. 25.09636</t>
  </si>
  <si>
    <t>A. 27.47312 B. 25.04395 C. 25.36357</t>
  </si>
  <si>
    <t>A. 16.69300 B. 11.1890 C. 14.21600</t>
  </si>
  <si>
    <t>A. 27.45641 B. 25.02647 C. 25.34560</t>
  </si>
  <si>
    <t>A. 16.69300 B. 11.189.0 C. 14.2160</t>
  </si>
  <si>
    <t>A. 27.45618 B. 25.02723 C. 25.34619</t>
  </si>
  <si>
    <t>A. 27.36322 B. 24.93460 C. 25.25356</t>
  </si>
  <si>
    <t>L/LORDS - CROWLAND HOUSE</t>
  </si>
  <si>
    <t>A. 16.591. B. 11.1430</t>
  </si>
  <si>
    <t>A. 27.018191 B. 25.05432</t>
  </si>
  <si>
    <t>L/LORDS - Cumberland House</t>
  </si>
  <si>
    <t>A. 15.8130 B. 11.1430</t>
  </si>
  <si>
    <t>A. 26.71635 B. 25.07730</t>
  </si>
  <si>
    <t>A. 26.71642 B. 25.07805</t>
  </si>
  <si>
    <t>A. 15.820 B. 11.122</t>
  </si>
  <si>
    <t>A. 26.76557 B 25.28439</t>
  </si>
  <si>
    <t>A. 26.71965 B. 25.23863</t>
  </si>
  <si>
    <t>A. 26.71064 B. 25.07988</t>
  </si>
  <si>
    <t>A. 26.73487 B. 25.10423</t>
  </si>
  <si>
    <t>A. 26.73389 B. 25.10319</t>
  </si>
  <si>
    <t>A. 26.70339 B. 25.07233</t>
  </si>
  <si>
    <t>L/LORDS - DORSET HOUSE</t>
  </si>
  <si>
    <t>A. 26.64352 B. 25.1622</t>
  </si>
  <si>
    <t>L/LORDS - DOUNE HOUSE FLATS</t>
  </si>
  <si>
    <t>A. 26.72725 B. 25.09630</t>
  </si>
  <si>
    <t>A. 27.36907 B. 24.94011 C. 25.25968</t>
  </si>
  <si>
    <t>A. 27.33065 B. 24.90255 C. 25.22171</t>
  </si>
  <si>
    <t>A. 27.38133 B. 24.95195 C. 25.27159</t>
  </si>
  <si>
    <t>A. 16.693 B. 11.189 C. 14.216</t>
  </si>
  <si>
    <t>A. 27.32318 B. 24.89067 C. 25.20896</t>
  </si>
  <si>
    <t>A. 27.32025 B. 24.89055 C. 25.20952</t>
  </si>
  <si>
    <t>L/LORDS - DURHAM HOUSE</t>
  </si>
  <si>
    <t>A. 16.593 B. 11.140</t>
  </si>
  <si>
    <t>A. 27.19392 B. 25.21743</t>
  </si>
  <si>
    <t>L/LORDS - Durrans Court</t>
  </si>
  <si>
    <t>A. 16.774 B. 11.193 C. 14.245</t>
  </si>
  <si>
    <t>A. 27.39725 B. 24.96565 C. 25.33999</t>
  </si>
  <si>
    <t>A. 27.47883 B. 25.05340 C. 25.37570</t>
  </si>
  <si>
    <t>A. 26.73635 B. 25.10401</t>
  </si>
  <si>
    <t>A. 26.73425 B. 25.10328</t>
  </si>
  <si>
    <t>L/LORDS - FIFE HOUSE</t>
  </si>
  <si>
    <t>A. 26.71671 B. 25.08475</t>
  </si>
  <si>
    <t>L/LORDS - FLATS WOOD STREET</t>
  </si>
  <si>
    <t>A. 16.774B. 11.193 C. 14.245</t>
  </si>
  <si>
    <t>A. 27.47281 B. 25.04099 C. 25.41434</t>
  </si>
  <si>
    <t>L/LORDS - FLINT HOUSE</t>
  </si>
  <si>
    <t>A. 16.596 B. 11.1300</t>
  </si>
  <si>
    <t>A. 27.3401 B. 25.18882</t>
  </si>
  <si>
    <t>A. 27.07910 B. 25.10285</t>
  </si>
  <si>
    <t>L/LORDS - GLAMIS HOUSE</t>
  </si>
  <si>
    <t>A. 27.40719 B. 24.97570 C. 25.35127</t>
  </si>
  <si>
    <t>A. 16.7740 B. 11.193 C. 14.245</t>
  </si>
  <si>
    <t>A. 27.40378 B. 24.97270 C. 25.34529</t>
  </si>
  <si>
    <t>L/LORDS - HAMPSHIRE COURT</t>
  </si>
  <si>
    <t>L/LORDS - HARRIER COURT</t>
  </si>
  <si>
    <t>A. 15.095 B. 10.03 C. 12.934</t>
  </si>
  <si>
    <t>L/LORDS - HEREFORD HOUSE</t>
  </si>
  <si>
    <t>A: 16.593
B: 11.14</t>
  </si>
  <si>
    <t>A: 27.21193
B:25.23511</t>
  </si>
  <si>
    <t>L/LORDS - HIGH ST FLATS</t>
  </si>
  <si>
    <t>A: 16.577
B:11.184</t>
  </si>
  <si>
    <t>A: 27.21361
B: 25.09042</t>
  </si>
  <si>
    <t>A:16.577
B: 11.184</t>
  </si>
  <si>
    <t>A: 27.21495
B: 25.09089</t>
  </si>
  <si>
    <t>L/LORDS - KENT HOUSE</t>
  </si>
  <si>
    <t>A: 15.8
B: 11.1980</t>
  </si>
  <si>
    <t>A: 26.72093
B: 25.09016</t>
  </si>
  <si>
    <t>A: 16.577
B: 11.184</t>
  </si>
  <si>
    <t>A: 27.21426
B: 25.09115</t>
  </si>
  <si>
    <t>A: 27.21409
B: 25.09091</t>
  </si>
  <si>
    <t>A: 27.14636
B: 25.02359</t>
  </si>
  <si>
    <t>A: 27.14667
B: 25.02360</t>
  </si>
  <si>
    <t>L/LORDS - LANARK HOUSE</t>
  </si>
  <si>
    <t>A: 27.18209
B: 25.05878</t>
  </si>
  <si>
    <t>A: 27.4337
B: 25.04380
C: 25.36308</t>
  </si>
  <si>
    <t>L/LORDS - LEWES HOUSE</t>
  </si>
  <si>
    <t>A: 16.693
B: 11.189
C: 14.216</t>
  </si>
  <si>
    <t>A: 27.47980
B: 25.04972
C: 25.36849</t>
  </si>
  <si>
    <t>A: 27.35411
B: 25.92409
C: 25.24311</t>
  </si>
  <si>
    <t>L/LORDS - MELLISH CRT</t>
  </si>
  <si>
    <t xml:space="preserve">A: 13.618
B: 9.867
</t>
  </si>
  <si>
    <t xml:space="preserve">A: 14.935
B: 10.939
</t>
  </si>
  <si>
    <t>A: 27.14687
B: 25.02344</t>
  </si>
  <si>
    <t>L/LORDS - NORFOLK HOUSE</t>
  </si>
  <si>
    <t>A:27.4097
B:24.97966
C: 25.2988</t>
  </si>
  <si>
    <t>L/LORDS - NORTHUMBERLAND HSE</t>
  </si>
  <si>
    <t>A: 26.7312
B: 25.10013</t>
  </si>
  <si>
    <t>A: 15.823
B: 11.111</t>
  </si>
  <si>
    <t>A: 26.70178
B: 25.22061</t>
  </si>
  <si>
    <t>A: 27.3119
B: 24.88113
C: 25.20063</t>
  </si>
  <si>
    <t>A: 27.2142
B: 25.09082</t>
  </si>
  <si>
    <t>A: 27.16685
B: 25.04324</t>
  </si>
  <si>
    <t>A: 27.18615
B: 25.06233</t>
  </si>
  <si>
    <t>A: 27.19732
B: 24.07370</t>
  </si>
  <si>
    <t>L/LORDS - PEMBROKE HOUSE</t>
  </si>
  <si>
    <t>A:16.693
B: 11.189
C: 14.216</t>
  </si>
  <si>
    <t>A: 27.46326
B: 25.03337
C: 25.35281</t>
  </si>
  <si>
    <t>L/LORDS - PROVIDENCE PLACE</t>
  </si>
  <si>
    <t>L/LORDS - RADNOR HOUSE</t>
  </si>
  <si>
    <t>A: 26.71966
B: 25.05524</t>
  </si>
  <si>
    <t>A: 15.813
B: 11.143</t>
  </si>
  <si>
    <t>A: 26.74955
B: 25.26816</t>
  </si>
  <si>
    <t>A: 27.34186
B: 24.91049
C: 25.22969</t>
  </si>
  <si>
    <t>A: 16.617
B: 12.387
C: 14.139</t>
  </si>
  <si>
    <t>A: 27.34486
B: 24.91463
C: 25.2339</t>
  </si>
  <si>
    <t>A: 27.46996
B: 25.04039
C: 25.36024</t>
  </si>
  <si>
    <t>A: 27.46764
B: 25.03845
C: 25.35765</t>
  </si>
  <si>
    <t>A: 27.3968
B: 24.96755
C: 25.2864</t>
  </si>
  <si>
    <t>A: 27.32044
B: 24.89187
C: 25.21162</t>
  </si>
  <si>
    <t>L/LORDS - RUTLAND HOUSE</t>
  </si>
  <si>
    <t>A: 16.774
B: 11.193
C: 14.245</t>
  </si>
  <si>
    <t>A: 27.47578
B: 25.0445
C: 25.42125</t>
  </si>
  <si>
    <t>L/LORDS - SALOP HOUSE</t>
  </si>
  <si>
    <t>L/LORDS - SANDRINGHAM HOUSE</t>
  </si>
  <si>
    <t>A; 27.46809
B: 25.03613
C: 24.41055</t>
  </si>
  <si>
    <t>L/LORDS - Sawley House</t>
  </si>
  <si>
    <t>L/LORDS - SERPENTINE CT.</t>
  </si>
  <si>
    <t>A: 15.723
B: 12.396</t>
  </si>
  <si>
    <t>A: 26.6923
B: 25.06111</t>
  </si>
  <si>
    <t>A: 26.73458
B: 25.10349</t>
  </si>
  <si>
    <t>A: 26.6993
B: 25.06881</t>
  </si>
  <si>
    <t>A: 16.698
B: 12.391
C: 14.169</t>
  </si>
  <si>
    <t>A: 27.53023
B: 25.09867
C: 25.47335</t>
  </si>
  <si>
    <t>A: 27.47583
B: 25.04425
C: 25.41879</t>
  </si>
  <si>
    <t>A: 27.52584
B: 25.09471
C: 25.47005</t>
  </si>
  <si>
    <t>A. 27.47728 B. 25.04562 C. 25.42018</t>
  </si>
  <si>
    <t>A. 16.698 B. 12.391 C. 14.169</t>
  </si>
  <si>
    <t>A. 27.44941 B. 25.01799 C. 25.39252</t>
  </si>
  <si>
    <t>A. 16.577 B. 11.184</t>
  </si>
  <si>
    <t>A. 27.21446 B. 25.09079</t>
  </si>
  <si>
    <t>L/LORDS - SHENLEY ROAD</t>
  </si>
  <si>
    <t>A. 15.813 B. 11.143</t>
  </si>
  <si>
    <t>A. 26.71509 B. 25.07570</t>
  </si>
  <si>
    <t>A. 27.24813 B. 25.12518</t>
  </si>
  <si>
    <t>A. 26.70487 B. 25.07439</t>
  </si>
  <si>
    <t>L/LORDS - ST GEORGES BLK G</t>
  </si>
  <si>
    <t>A. 26.68851 B. 25.05721</t>
  </si>
  <si>
    <t>A. 27.35929 B. 24.92916 C. 25.24792</t>
  </si>
  <si>
    <t>A. 27.21353 B. 25.09061</t>
  </si>
  <si>
    <t>L/LORDS - STIRLING HOUSE</t>
  </si>
  <si>
    <t>A. 27.46189 B. 25.03166 C. 25.35005</t>
  </si>
  <si>
    <t>A. 27.91327 B. 25.18882 C. 25.32975</t>
  </si>
  <si>
    <t>L/LORDS - Tamar House</t>
  </si>
  <si>
    <t>A. 27.42508 B. 24.99474 C. 25.37104</t>
  </si>
  <si>
    <t>A. 15.825 B. 11.170</t>
  </si>
  <si>
    <t>A. 26.72602 B. 25.09196</t>
  </si>
  <si>
    <t>L/LORDS - THE GABLES</t>
  </si>
  <si>
    <t>A. 15.847 B. 10.947</t>
  </si>
  <si>
    <t>A. 26.58264 B. 25.22587</t>
  </si>
  <si>
    <t>L/LORDS - TINTERN HOUSE</t>
  </si>
  <si>
    <t>A. 27.21418 B. 25.09061</t>
  </si>
  <si>
    <t>A. 27.21337 B. 25.08997</t>
  </si>
  <si>
    <t>A. 27.09520 B. 24.97365</t>
  </si>
  <si>
    <t>A. 27.21269 B. 25.08925</t>
  </si>
  <si>
    <t>L/LORDS - WELLAND HOUSE</t>
  </si>
  <si>
    <t>A 15.80
B 11.198</t>
  </si>
  <si>
    <t>A 26.72457
B 25.09277</t>
  </si>
  <si>
    <t>A 16.69300
B 11.18900
C 14.21600</t>
  </si>
  <si>
    <t>A 27.42746
B 24.99841
C 25.31696</t>
  </si>
  <si>
    <t>L/LORDS - WESTMORLAND HSE</t>
  </si>
  <si>
    <t>L/LORDS - WILTSHIRE HOUSE</t>
  </si>
  <si>
    <t>A 27.32488
B 24.89528
C 25.21438</t>
  </si>
  <si>
    <t>A 16.77400
B 11.19300
C 14.24500</t>
  </si>
  <si>
    <t>A 27.43870
B 25.00784
C 25.38307</t>
  </si>
  <si>
    <t>A 27.34039
B 24.91384
C 25.23082</t>
  </si>
  <si>
    <t>L/LORDS - WORCESTER HOUSE</t>
  </si>
  <si>
    <t>L/LORDS - YORK HOUSE</t>
  </si>
  <si>
    <t>A 16.57700
B 11.18400</t>
  </si>
  <si>
    <t>A 27.16224
B 25.03809</t>
  </si>
  <si>
    <t>A 27.35252
B 24.92125
C 25.29341</t>
  </si>
  <si>
    <t>A 27.47435
B 25.04184
C 25.41704</t>
  </si>
  <si>
    <t>L/LORDS &amp; SECURITY DEVON CLOSE</t>
  </si>
  <si>
    <t>A 15.81300
B 11.14300</t>
  </si>
  <si>
    <t>A 26.75706
B 25.27578</t>
  </si>
  <si>
    <t>L/Lords and Boiler House - Granby Court</t>
  </si>
  <si>
    <t>A 16.61700
B 12.38700
C 14.14000</t>
  </si>
  <si>
    <t>A 27.32663
B 24.89706
C 25.21619</t>
  </si>
  <si>
    <t>A 16.61700
B 12.38700
C 14.13900</t>
  </si>
  <si>
    <t>A 27.48403
B 25.05439
C 25.37349</t>
  </si>
  <si>
    <t>A 27.47909
B 25.04972
C 25.36893</t>
  </si>
  <si>
    <t>A 27.48184
B 25.05241
C 25.37170</t>
  </si>
  <si>
    <t>A 27.47283
B 25.04344
C 25.36276</t>
  </si>
  <si>
    <t>A.16.617 B. 12.387 C. 14.139</t>
  </si>
  <si>
    <t>A. 27.48517 B. 25.05569 C. 25.37478</t>
  </si>
  <si>
    <t>A. 16.617 B. 12.387 C. 14.139</t>
  </si>
  <si>
    <t>A. 27.48324 B. 25.05385 C. 25.37314</t>
  </si>
  <si>
    <t>A. 27.47328 B. 25.04396 C. 25.36365</t>
  </si>
  <si>
    <t>A. 27.48301 B. 25.05360 C. 25.37268</t>
  </si>
  <si>
    <t>A. 27.48351 B. 25.05391 C. 25.37289</t>
  </si>
  <si>
    <t>A. 16.617 B. 12.387  C. 14.139</t>
  </si>
  <si>
    <t>A. 27.65534 B. 25.22568 C. 25.54466</t>
  </si>
  <si>
    <t>A. 27.47848 B. 25.04882 C. 25.36768</t>
  </si>
  <si>
    <t>A. 27.4775 B. 25.04815 C. 25.36726</t>
  </si>
  <si>
    <t>L/Lords and Boiler Rm - Nth 9th - 10th ST.&amp; Silbury Bvd</t>
  </si>
  <si>
    <t>A. 15.723 B. 12.396</t>
  </si>
  <si>
    <t>A. 26.73933 B. 25.10818</t>
  </si>
  <si>
    <t>A. 26.73538 B. 25.10428</t>
  </si>
  <si>
    <t>A. 27.47094 B. 25.004148 C. 25.36054</t>
  </si>
  <si>
    <t>A. 27.66333 B. 25.23374 C. 25.55280</t>
  </si>
  <si>
    <t>A. 27.45196 B. 25.02242 C. 25.34148</t>
  </si>
  <si>
    <t>A. 27.47851 B. 25.04875 C. 25.36784</t>
  </si>
  <si>
    <t>A. 27.46410 B. 25.03459 C. 25.35369</t>
  </si>
  <si>
    <t>A. 27.45653 B. 25.02686 C. 25.34587</t>
  </si>
  <si>
    <t>A. 26.71722 B. 25.08606</t>
  </si>
  <si>
    <t>A. 27.48835 B. 25.05867 C. 25.37786</t>
  </si>
  <si>
    <t>A. 27.47187 B. 25.04235 C. 25.36151</t>
  </si>
  <si>
    <t>A. 27.47589 B. 25.046312 C. 25.36527</t>
  </si>
  <si>
    <t>A. 16.617 B. 12.387 C. 14.140</t>
  </si>
  <si>
    <t>A. 27.51536 B. 25.08565 C. 25.40491</t>
  </si>
  <si>
    <t>A. 27.47267 B. 25.04320 C. 25.36215</t>
  </si>
  <si>
    <t>A. 16.698 B. 12.3910 C. 14.169</t>
  </si>
  <si>
    <t>A. 27.47112 B. 25.03950 C. 25.41417</t>
  </si>
  <si>
    <t>L/LORDS Ltg - The Forge</t>
  </si>
  <si>
    <t>LANCASTER GATE /ENTRANCE</t>
  </si>
  <si>
    <t>A. 27.44744 B. 25.01855 C. 25.33631</t>
  </si>
  <si>
    <t>BELLFOUNDER HOUSE</t>
  </si>
  <si>
    <t>Sheltered</t>
  </si>
  <si>
    <t>A 16.65300
B 12.36700
C 14.15400</t>
  </si>
  <si>
    <t>A 27.50774
B 25.08529
C 25.45069</t>
  </si>
  <si>
    <t>A 27.48554
B 25.05646
C 25.37577</t>
  </si>
  <si>
    <t>BYER HOUSE</t>
  </si>
  <si>
    <t>A 15.72300
B 12.39600</t>
  </si>
  <si>
    <t>A 26.75910
B 25.12799</t>
  </si>
  <si>
    <t>CARPENTER COURT</t>
  </si>
  <si>
    <t>A 27.50875
B 25.08632
C 25.45169</t>
  </si>
  <si>
    <t>CHARTWELL ROAD</t>
  </si>
  <si>
    <t>A 16.57700
B11.18400</t>
  </si>
  <si>
    <t>A 27.23471
B 25.11052</t>
  </si>
  <si>
    <t>A 27.54696
B 25.11750
C 25.43675</t>
  </si>
  <si>
    <t>CLIFTON COURT</t>
  </si>
  <si>
    <t>COURTNEYS LODGE</t>
  </si>
  <si>
    <t>DEXTER HOUSE</t>
  </si>
  <si>
    <t>A 27.52445
B 25.10202
C 25.46741</t>
  </si>
  <si>
    <t>DOVECOTE</t>
  </si>
  <si>
    <t>A 27.44035
B 25.01084
C 25.32996</t>
  </si>
  <si>
    <t>DURRANS HOUSE</t>
  </si>
  <si>
    <t>A 27.50663
B 25.08420
C 25.44960</t>
  </si>
  <si>
    <t>EVERGLADES</t>
  </si>
  <si>
    <t>A 27.58226
B 25.15982
C 25.52518</t>
  </si>
  <si>
    <t>FALAISE</t>
  </si>
  <si>
    <t>A 26.76214
B 25.13104</t>
  </si>
  <si>
    <t>FLINTERGILL COURT</t>
  </si>
  <si>
    <t>A 27.50999
B 25.08044
C 25.39956</t>
  </si>
  <si>
    <t>HERONS LODGE</t>
  </si>
  <si>
    <t>A 15.74900
B 12.36700</t>
  </si>
  <si>
    <t>A 26.75527
B 25.12155</t>
  </si>
  <si>
    <t>HINTON COURT</t>
  </si>
  <si>
    <t>A 14.72300
B 10.92300</t>
  </si>
  <si>
    <t>A 26.25526
B 25.15407</t>
  </si>
  <si>
    <t>HUNGERFORD HOUSE</t>
  </si>
  <si>
    <t>A 26.74796
B 25.11685</t>
  </si>
  <si>
    <t>KILKENNY HOUSE</t>
  </si>
  <si>
    <t>A 27.46951
B 25.04706
C 25.41245</t>
  </si>
  <si>
    <t>LINCOLN COURT</t>
  </si>
  <si>
    <t>A 26.75968
B 25.12857</t>
  </si>
  <si>
    <t>MAGDALEN HOUSE</t>
  </si>
  <si>
    <t>A 16.17100
B 10.95100</t>
  </si>
  <si>
    <t>A 26.87951
B 25.26936</t>
  </si>
  <si>
    <t>PERMAYNE</t>
  </si>
  <si>
    <t>A 26.71503
B 25.08394</t>
  </si>
  <si>
    <t>A 27.22889
B 25.10570</t>
  </si>
  <si>
    <t>PETWORTH HOUSE</t>
  </si>
  <si>
    <t>A 27.51323
B 25.09078
C 25.45619</t>
  </si>
  <si>
    <t>PRITCHARD COURT</t>
  </si>
  <si>
    <t>27.50698
25.07745
25.39657</t>
  </si>
  <si>
    <t>PUTMAN HOUSE</t>
  </si>
  <si>
    <t>A 16.10800
B 10.94400</t>
  </si>
  <si>
    <t>26.72811
25.24854</t>
  </si>
  <si>
    <t>RADCOTE LODGE</t>
  </si>
  <si>
    <t>27.50191
25.07947
25.44489</t>
  </si>
  <si>
    <t>Shelton Court</t>
  </si>
  <si>
    <t>27.49877
25.06919
25.38831</t>
  </si>
  <si>
    <t>27.51772
25.09529
25.46070</t>
  </si>
  <si>
    <t>SPRINGFIELD COURT</t>
  </si>
  <si>
    <t>27.51899
25.08939
25.40856</t>
  </si>
  <si>
    <t>SUDGROVE HOUSE</t>
  </si>
  <si>
    <t>26.75954
25.12843</t>
  </si>
  <si>
    <t>Gas</t>
  </si>
  <si>
    <t>Gas Uplift expected 1-10-2023</t>
  </si>
  <si>
    <t>Pence Per Kwh</t>
  </si>
  <si>
    <t>Standing Charge [£ Per Day]</t>
  </si>
  <si>
    <t>1 April 2022 to 30 September 2023</t>
  </si>
  <si>
    <t>GENERAL NEEDS</t>
  </si>
  <si>
    <t>BELLFOUNDER HOUSE - Main boilerhouse</t>
  </si>
  <si>
    <t>BELLFOUNDER HOUSE - Flats meter</t>
  </si>
  <si>
    <t>BYERLEY HOUSE</t>
  </si>
  <si>
    <t>CARPENTER COURT - whole scheme coverage</t>
  </si>
  <si>
    <t>CHARTWELL ROAD - Hastings House</t>
  </si>
  <si>
    <t>DOVECOTE - Common Room</t>
  </si>
  <si>
    <t>HINTON COURT Shown as Hinton Lodge</t>
  </si>
  <si>
    <t>PERMAYNE - Community rooms</t>
  </si>
  <si>
    <t>SHELTON COURT</t>
  </si>
  <si>
    <t>SOVEREIGN LODGE - Shown as Sovereign Court</t>
  </si>
  <si>
    <t>source =</t>
  </si>
  <si>
    <t>ID (sequence NOT related to Address sequence to maintain confidentiality)</t>
  </si>
  <si>
    <t>HRA General Needs stock Recharges Apr 2023</t>
  </si>
  <si>
    <t>no communal boiler link</t>
  </si>
  <si>
    <t xml:space="preserve">Milton Keynes Council - Utility Landlord Records from the  SIGMA database as at December </t>
  </si>
  <si>
    <t>Agreed 65% uplift with Energy Manager</t>
  </si>
  <si>
    <t xml:space="preserve"> L/LORDS - THE BOUNDARY</t>
  </si>
  <si>
    <t>CAERNARVON CRES ENTRANCE</t>
  </si>
  <si>
    <t>CHESTER CLOSE/ENTRANCE</t>
  </si>
  <si>
    <t>Denmead Communal Electricity</t>
  </si>
  <si>
    <t>HARLECH PLACE/STAIRWAY</t>
  </si>
  <si>
    <t>FLATS ST Mary's Ave</t>
  </si>
  <si>
    <t>FLATS ST MARY'S AVENUE</t>
  </si>
  <si>
    <t>L/LORD LTG - BLOCK  Leys Court</t>
  </si>
  <si>
    <t>L/LORDS -  Waltham House</t>
  </si>
  <si>
    <t>L/LORDS -  Kernow Cresc &amp;  Fishermead Bvd</t>
  </si>
  <si>
    <t>L/LORDS - Fishermead blvd block</t>
  </si>
  <si>
    <t>L/LORDS -  CHURCH STREET</t>
  </si>
  <si>
    <t>L/LORDS -  BUCKFAST Av</t>
  </si>
  <si>
    <t>L/LORDS - The High Street, Two Mile Ash</t>
  </si>
  <si>
    <t>L/LORDS -  NORTH ROW</t>
  </si>
  <si>
    <t>L/LORDS - BAYARD AV</t>
  </si>
  <si>
    <t>L/LORDS - BEADLEMEAD</t>
  </si>
  <si>
    <t>L/LORDS - Beadlemead</t>
  </si>
  <si>
    <t>L/LORDS - BELLWETHER</t>
  </si>
  <si>
    <t>L/LORDS - BELSIZE AV.</t>
  </si>
  <si>
    <t>L/LORDS - Blackmoor Gate</t>
  </si>
  <si>
    <t>L/LORDS - BOSSINEY PL</t>
  </si>
  <si>
    <t>L/LORDS - BOYCOTT AV</t>
  </si>
  <si>
    <t>L/LORDS - BRIDGEFORD CT</t>
  </si>
  <si>
    <t>L/LORDS - Bridgeford Ct.</t>
  </si>
  <si>
    <t>L/LORDS - BRIDGEWAY</t>
  </si>
  <si>
    <t>L/LORDS - BROADLANDS</t>
  </si>
  <si>
    <t xml:space="preserve">L/LORDS - BROADLANDS </t>
  </si>
  <si>
    <t>L/LORDS - Broadlands</t>
  </si>
  <si>
    <t xml:space="preserve">L/LORDS - Burnet </t>
  </si>
  <si>
    <t>L/LORDS - Burnet</t>
  </si>
  <si>
    <t xml:space="preserve">L/LORDS - CAMPION </t>
  </si>
  <si>
    <t>L/LORDS - CAMPION</t>
  </si>
  <si>
    <t>L/LORDS - CARRICK RD</t>
  </si>
  <si>
    <t>L/LORDS - CAWARDEN</t>
  </si>
  <si>
    <t>L/LORDS - CENTURY AV</t>
  </si>
  <si>
    <t>L/LORDS - CENTURY AVE</t>
  </si>
  <si>
    <t>L/LORDS - CHAPMAN AV</t>
  </si>
  <si>
    <t>L/LORDS - CHESTNUT CL.</t>
  </si>
  <si>
    <t>L/LORDS - CLEAVERS AV</t>
  </si>
  <si>
    <t>L/LORDS - CLEAVERS AV.</t>
  </si>
  <si>
    <t>L/LORDS - CONNIBRW</t>
  </si>
  <si>
    <t>L/LORDS - CONNIBURROW</t>
  </si>
  <si>
    <t>L/LORDS - CONNIBW BD</t>
  </si>
  <si>
    <t>L/LORDS - CORNWALL GR.</t>
  </si>
  <si>
    <t>L/LORDS - CULRAIN PL.</t>
  </si>
  <si>
    <t>L/LORDS - DALVINA PL.</t>
  </si>
  <si>
    <t>L/LORDS - DERWENT DRV</t>
  </si>
  <si>
    <t>L/LORDS - DEVON CLOSE</t>
  </si>
  <si>
    <t>L/LORDS - DORCHESTER</t>
  </si>
  <si>
    <t>L/LORDS - DORCHESTER AV</t>
  </si>
  <si>
    <t>L/LORDS - DORSET CLOSE</t>
  </si>
  <si>
    <t>L/LORDS - DOWNSBARN BV</t>
  </si>
  <si>
    <t>L/LORDS - DOWNSBRN BD</t>
  </si>
  <si>
    <t>L/LORDS - DOWNSBRN BVD</t>
  </si>
  <si>
    <t>L/LORDS - DOWNSBRN BVD -</t>
  </si>
  <si>
    <t>L/LORDS - DUNVEDIN PL. -</t>
  </si>
  <si>
    <t>L/LORDS - Durrans Court - -</t>
  </si>
  <si>
    <t>L/LORDS - EDINBURGH HSE -</t>
  </si>
  <si>
    <t>L/LORDS - ENTRANCE xx THAMES</t>
  </si>
  <si>
    <t>L/LORDS - ENTRANCE  - THAMES</t>
  </si>
  <si>
    <t>L/LORDS - FALCON AVE A-F</t>
  </si>
  <si>
    <t>L/LORDS - FARMBOROUGH -</t>
  </si>
  <si>
    <t>L/LORDS - Farmborough - M</t>
  </si>
  <si>
    <t xml:space="preserve">L/LORDS - FARTHING GR </t>
  </si>
  <si>
    <t>L/LORDS - FARTHING GR. -</t>
  </si>
  <si>
    <t>L/LORDS - Farthing Grove -</t>
  </si>
  <si>
    <t>L/LORDS - Farthing Grove</t>
  </si>
  <si>
    <t>L/LORDS - Farthing Grove. -</t>
  </si>
  <si>
    <t>L/LORDS - FIELD COURT FLATS -</t>
  </si>
  <si>
    <t>L/LORDS - FISHERMD BV -</t>
  </si>
  <si>
    <t>L/LORDS - Fishermead BV xx</t>
  </si>
  <si>
    <t>L/LORDS - Fishermead Bvd a-d</t>
  </si>
  <si>
    <t>L/LORDS - FISHRMEAD BV AF</t>
  </si>
  <si>
    <t>L/LORDS - FISHRMEAD BV A-E</t>
  </si>
  <si>
    <t>L/LORDS - FLATS - NEWPORT ROAD</t>
  </si>
  <si>
    <t>L/LORDS - FOWLER -</t>
  </si>
  <si>
    <t>L/LORDS - Fowler -</t>
  </si>
  <si>
    <t>L/LORDS - GLEDFIELD PL</t>
  </si>
  <si>
    <t>L/LORDS - GORING</t>
  </si>
  <si>
    <t>L/LORDS - Goring</t>
  </si>
  <si>
    <t>L/LORDS - GT BRICKHILL</t>
  </si>
  <si>
    <t>L/LORDS - Gurnards Ave,</t>
  </si>
  <si>
    <t xml:space="preserve">L/LORDS - HARRIER COURT - Block </t>
  </si>
  <si>
    <t>L/LORDS - HELFORD PL</t>
  </si>
  <si>
    <t xml:space="preserve">L/LORDS - Helford Pl. </t>
  </si>
  <si>
    <t>L/LORDS - Helford Pl.</t>
  </si>
  <si>
    <t>L/LORDS - HELFORD PL.</t>
  </si>
  <si>
    <t>L/LORDS - HIGH ST</t>
  </si>
  <si>
    <t>L/LORDS - HIGH ST.</t>
  </si>
  <si>
    <t>L/LORDS - HUTTON AV</t>
  </si>
  <si>
    <t>L/LORDS - ILLINGWORTH</t>
  </si>
  <si>
    <t>L/LORDS - JENNINGS</t>
  </si>
  <si>
    <t>L/LORDS - KERNOW CRES</t>
  </si>
  <si>
    <t>L/LORDS - KERNOW CRESC</t>
  </si>
  <si>
    <t xml:space="preserve">L/LORDS - KERSEY </t>
  </si>
  <si>
    <t>L/LORDS - KERSEY</t>
  </si>
  <si>
    <t>L/LORDS - KILDONAN PL</t>
  </si>
  <si>
    <t>L/LORDS - KILDONAN PL.</t>
  </si>
  <si>
    <t>L/LORDS - KIRKSTALL PL</t>
  </si>
  <si>
    <t>L/LORDS - LANGLAND RD</t>
  </si>
  <si>
    <t>L/LORDS - Langland Rd,</t>
  </si>
  <si>
    <t>L/LORDS - Langland Rd.</t>
  </si>
  <si>
    <t>L/LORDS - LARWOOD PL.</t>
  </si>
  <si>
    <t>L/LORDS - LEABERRY</t>
  </si>
  <si>
    <t>L/LORDS - MALLETTS CL</t>
  </si>
  <si>
    <t>L/LORDS - MASON</t>
  </si>
  <si>
    <t>L/LORDS - Mason</t>
  </si>
  <si>
    <t>L/LORDS - MEADS CLOSE</t>
  </si>
  <si>
    <t>L/LORDS - MIDDLESEX DR</t>
  </si>
  <si>
    <t>L/LORDS - MIDDLESEX DV</t>
  </si>
  <si>
    <t>L/LORDS - MIDDX DRIVE</t>
  </si>
  <si>
    <t>L/LORDS - MILBURN AV</t>
  </si>
  <si>
    <t>L/LORDS - MILL LANE</t>
  </si>
  <si>
    <t>L/LORDS - MOORFOOT</t>
  </si>
  <si>
    <t>L/LORDS - MULLEN AV.</t>
  </si>
  <si>
    <t>L/LORDS - MULLION PL</t>
  </si>
  <si>
    <t>L/LORDS - Mullion Pl.</t>
  </si>
  <si>
    <t>L/LORDS - MULLION PL.</t>
  </si>
  <si>
    <t>L/LORDS - MULLION PL. A-F</t>
  </si>
  <si>
    <t>L/LORDS - Mullion Pl. A-F</t>
  </si>
  <si>
    <t>L/LORDS - Mullion Place A-E</t>
  </si>
  <si>
    <t>L/LORDS - Mullion PlL. A-D</t>
  </si>
  <si>
    <t>L/LORDS - NORTH TH ST</t>
  </si>
  <si>
    <t>L/LORDS - NORTH TH ST -</t>
  </si>
  <si>
    <t>L/LORDS - NORTH ROW -</t>
  </si>
  <si>
    <t>L/LORDS - NTH TH ST -</t>
  </si>
  <si>
    <t>L/LORDS - OLDBRK BV -</t>
  </si>
  <si>
    <t>L/LORDS - OLDBROOK BVD -</t>
  </si>
  <si>
    <t>L/LORDS - PADDOCK WAY -</t>
  </si>
  <si>
    <t>L/LORDS - PADSTOW AV. A-F</t>
  </si>
  <si>
    <t>L/LORDS - PENCARROW PL A-F</t>
  </si>
  <si>
    <t>L/LORDS - PENRYN AVE A-E</t>
  </si>
  <si>
    <t>L/LORDS - PENRYN AVE A-F</t>
  </si>
  <si>
    <t>L/LORDS - PERRAN AV. A-E</t>
  </si>
  <si>
    <t>L/LORDS - PERRAN AVE A-E</t>
  </si>
  <si>
    <t>L/LORDS - Perran Ave. A-E</t>
  </si>
  <si>
    <t>L/LORDS - PLUMSTEAD AV -</t>
  </si>
  <si>
    <t>L/LORDS - Polruan PL. A-E</t>
  </si>
  <si>
    <t>L/LORDS - POLRUAN PL. A-F</t>
  </si>
  <si>
    <t>L/LORDS - POLRUN PL. A-E</t>
  </si>
  <si>
    <t>L/LORDS - POLRUN PL</t>
  </si>
  <si>
    <t>L/LORDS - PROSPECT RD. -</t>
  </si>
  <si>
    <t>L/LORDS - Ramsons Av -</t>
  </si>
  <si>
    <t>L/LORDS - Ramsons Av. -</t>
  </si>
  <si>
    <t>L/LORDS - RAVIGILL PL. -</t>
  </si>
  <si>
    <t>L/LORDS - ROSSAL PL. -</t>
  </si>
  <si>
    <t>L/LORDS - SHACKELTON PL -</t>
  </si>
  <si>
    <t>L/LORDS - SHACKLETON PL -</t>
  </si>
  <si>
    <t>L/LORDS - SHEARMANS -</t>
  </si>
  <si>
    <t>L/LORDS - SHEPHERDS -</t>
  </si>
  <si>
    <t>L/LORDS - SOUTH TH ST</t>
  </si>
  <si>
    <t>L/LORDS - SPRINGFLD BV A</t>
  </si>
  <si>
    <t>L/LORDS - SPRINGFLD BV A-E</t>
  </si>
  <si>
    <t>L/LORDS - SPRINGFLD BV A-F</t>
  </si>
  <si>
    <t>L/LORDS - ST GEORGES -</t>
  </si>
  <si>
    <t>L/LORDS - STAMFORD AV. A-E</t>
  </si>
  <si>
    <t>L/LORDS - STANTONBURY CL -</t>
  </si>
  <si>
    <t xml:space="preserve">L/LORDS - Station Road, </t>
  </si>
  <si>
    <t>L/LORDS - STH TH ST -</t>
  </si>
  <si>
    <t>L/LORDS - STH.TH.ST.</t>
  </si>
  <si>
    <t>L/LORDS - STOWE COURT -</t>
  </si>
  <si>
    <t>L/LORDS - STRATHNAVER -</t>
  </si>
  <si>
    <t>L/LORDS - TALLAND AV A-D</t>
  </si>
  <si>
    <t>L/LORDS - TALLAND AV. A-F</t>
  </si>
  <si>
    <t>L/LORDS - THAMES CLOSE -</t>
  </si>
  <si>
    <t>L/LORDS - THANE COURT -</t>
  </si>
  <si>
    <t>L/LORDS - THE BOUNDARY -</t>
  </si>
  <si>
    <t>L/LORDS - The Hide -</t>
  </si>
  <si>
    <t xml:space="preserve">L/LORDS - THE HIDE </t>
  </si>
  <si>
    <t xml:space="preserve">L/LORDS - The Hide </t>
  </si>
  <si>
    <t>L/LORDS - THE HIDE -</t>
  </si>
  <si>
    <t>L/LORDS - TOLCARNE AV. A-D</t>
  </si>
  <si>
    <t>L/LORDS - TOLCARNE AV. A-E</t>
  </si>
  <si>
    <t>L/LORDS - TOLCARNE AVE A-E</t>
  </si>
  <si>
    <t>L/LORDS - Towaan Ave. A-E</t>
  </si>
  <si>
    <t>L/LORDS - TOWAN AVE A-E</t>
  </si>
  <si>
    <t>L/LORDS - Towan Ave A-E</t>
  </si>
  <si>
    <t>L/LORDS - TOWAN AVE  A-E</t>
  </si>
  <si>
    <t>L/LORDS - Towan Ave. A-E</t>
  </si>
  <si>
    <t>L/LORDS - TURNMILL AV. A</t>
  </si>
  <si>
    <t>L/LORDS - TURNMILL AV. A-F</t>
  </si>
  <si>
    <t>L/LORDS - TURNMILL AV. A-E</t>
  </si>
  <si>
    <t>L/LORDS - TYBURN AVE A-F</t>
  </si>
  <si>
    <t>L/LORDS - TYRILL -</t>
  </si>
  <si>
    <t>L/LORDS - ULYETT PL -</t>
  </si>
  <si>
    <t>L/LORDS - UNDERWOOD PL -</t>
  </si>
  <si>
    <t>L/LORDS - Underwood Pl -</t>
  </si>
  <si>
    <t>L/LORDS - VELLAN AV. A-E</t>
  </si>
  <si>
    <t>L/LORDS - VERRAN PL. A-E</t>
  </si>
  <si>
    <t>L/LORDS - WALBROOK AV. A-F</t>
  </si>
  <si>
    <t>L/LORDS - WALBROOK AV. A-C</t>
  </si>
  <si>
    <t>L/LORDS - WEAVERS HILL -</t>
  </si>
  <si>
    <t>L/LORDS - Whitethorns -</t>
  </si>
  <si>
    <t>L/LORDS - WILIAMS CL. A</t>
  </si>
  <si>
    <t>L/LORDS - WILLIAMS CL -</t>
  </si>
  <si>
    <t>L/LORDS - WILLIAMS CL. -</t>
  </si>
  <si>
    <t>L/LORDS - WISLEY AV -</t>
  </si>
  <si>
    <t>L/LORDS - WOODRUFF AV -</t>
  </si>
  <si>
    <t>L/LORDS - WOOLMANS -</t>
  </si>
  <si>
    <t>L/LORDS - Woolmans -</t>
  </si>
  <si>
    <t>L/LORDS - WYNESS AV. -</t>
  </si>
  <si>
    <t>L/Lords and Boiler Rm -  - Downsbarn Bvd</t>
  </si>
  <si>
    <t>L/Lords and Boiler Rm - - Conniburrow</t>
  </si>
  <si>
    <t>L/Lords and Boiler Rm - - CONNIBURROW</t>
  </si>
  <si>
    <t>L/Lords and Boiler Rm - - CONNIBURROW BVD</t>
  </si>
  <si>
    <t>L/Lords and Boiler Rm - - Ramsons Av.</t>
  </si>
  <si>
    <t>L/Lords and Boiler Rm - BRAMBLE AV -</t>
  </si>
  <si>
    <t>L/Lords and Boiler Rm - Downsbarn Bvd -</t>
  </si>
  <si>
    <t>L/Lords and Boiler Rm - Mullen Av. -</t>
  </si>
  <si>
    <t>L/Lords and Boiler Rm - Nth th - th ST.&amp; Silbury Bvd</t>
  </si>
  <si>
    <t>L/Lords and Boiler Rm - Nth th - th ST.&amp; - Silbury Bvd</t>
  </si>
  <si>
    <t>L/Lords and Boiler Rm - Nth th - th ST.&amp; Silbury Bvd - - NORTH TH STREET</t>
  </si>
  <si>
    <t>L/Lords and Boiler Rm - Nth th - th ST.&amp; Silbury Bvd - . NORTH TH STREET</t>
  </si>
  <si>
    <t>L/Lords and Boiler Rm - Nth th - th ST.&amp; Silbury Bvd - - SILBURY BOULEVARD</t>
  </si>
  <si>
    <t>L/Lords and Boiler Rm - Nth th - th ST.&amp; Silbury Bvd - NORTH TH STREET</t>
  </si>
  <si>
    <t>L/Lords and Boiler Rm - Ramsons Av -</t>
  </si>
  <si>
    <t>L/Lords and Boiler Rm - Ramsons Av</t>
  </si>
  <si>
    <t>L/LORDS Boiler - Bramble Ave.</t>
  </si>
  <si>
    <t>L/Lords Lighting -  Caernarvon Cres. Entrance</t>
  </si>
  <si>
    <t>St Georges Road - Communal lighting</t>
  </si>
  <si>
    <t>SOVEREIGN COURT</t>
  </si>
  <si>
    <t>Agreed uplifts with Energy Manager</t>
  </si>
  <si>
    <t>L/LORDS Boiler - Bramble Ave. -</t>
  </si>
  <si>
    <t>PERMAYNE - Number  - Office</t>
  </si>
  <si>
    <t>Buckley Court</t>
  </si>
  <si>
    <t>Clailey Court</t>
  </si>
  <si>
    <t>Cottesloe Court</t>
  </si>
  <si>
    <t>Mursley Court</t>
  </si>
  <si>
    <t>Redbourne Court</t>
  </si>
  <si>
    <t>Roveley Court</t>
  </si>
  <si>
    <t>Stotfold Court</t>
  </si>
  <si>
    <t>Willey Court</t>
  </si>
  <si>
    <t>Haywards Croft</t>
  </si>
  <si>
    <t>Pinders Croft</t>
  </si>
  <si>
    <t>Wainers Croft</t>
  </si>
  <si>
    <t>Drovers Croft</t>
  </si>
  <si>
    <t>Bounds Croft</t>
  </si>
  <si>
    <t>Calvards Croft</t>
  </si>
  <si>
    <t>Barkers Croft</t>
  </si>
  <si>
    <t>Lamberts Croft</t>
  </si>
  <si>
    <t>Franklins Croft</t>
  </si>
  <si>
    <t>Horners Croft</t>
  </si>
  <si>
    <t>Goddards Croft</t>
  </si>
  <si>
    <t>Rossal Place</t>
  </si>
  <si>
    <t>Culrain Place</t>
  </si>
  <si>
    <t>Gledfield Place</t>
  </si>
  <si>
    <t>Ravigill Place</t>
  </si>
  <si>
    <t>Dunvedin Place</t>
  </si>
  <si>
    <t>Kildonan Place</t>
  </si>
  <si>
    <t>Dalvina Place</t>
  </si>
  <si>
    <t>Strathnaver Place</t>
  </si>
  <si>
    <t>Grangers Croft</t>
  </si>
  <si>
    <t>Reeves Croft</t>
  </si>
  <si>
    <t>Woolmans</t>
  </si>
  <si>
    <t>Bellwether</t>
  </si>
  <si>
    <t>Weavers Hill</t>
  </si>
  <si>
    <t>Moorfoot</t>
  </si>
  <si>
    <t>Shepherds</t>
  </si>
  <si>
    <t>Shearmans</t>
  </si>
  <si>
    <t>Malletts Close</t>
  </si>
  <si>
    <t>Tyrill</t>
  </si>
  <si>
    <t>Goring</t>
  </si>
  <si>
    <t>Fowler</t>
  </si>
  <si>
    <t>Thane Court</t>
  </si>
  <si>
    <t>Jennings</t>
  </si>
  <si>
    <t>Cawarden</t>
  </si>
  <si>
    <t>Burnet</t>
  </si>
  <si>
    <t>Kersey</t>
  </si>
  <si>
    <t>Stowe Court</t>
  </si>
  <si>
    <t>Mason</t>
  </si>
  <si>
    <t>Walsh'S Manor</t>
  </si>
  <si>
    <t>Albany Court</t>
  </si>
  <si>
    <t>Campion</t>
  </si>
  <si>
    <t>France Furlong</t>
  </si>
  <si>
    <t>Hasgill Court</t>
  </si>
  <si>
    <t>Smithergill Court</t>
  </si>
  <si>
    <t>Summergill Court</t>
  </si>
  <si>
    <t>Tranlands Brigg</t>
  </si>
  <si>
    <t>Swinden Court</t>
  </si>
  <si>
    <t>Conniburrow Boulevard</t>
  </si>
  <si>
    <t>Bramble Avenue</t>
  </si>
  <si>
    <t>Ramsons Avenue</t>
  </si>
  <si>
    <t>Yarrow Place</t>
  </si>
  <si>
    <t>Speedwell Place</t>
  </si>
  <si>
    <t>Stonecrop Place</t>
  </si>
  <si>
    <t>Marigold Place</t>
  </si>
  <si>
    <t>Woodruff Avenue</t>
  </si>
  <si>
    <t>Cleavers Avenue</t>
  </si>
  <si>
    <t>Downs Barn Boulevard</t>
  </si>
  <si>
    <t>Mullen Avenue</t>
  </si>
  <si>
    <t>Bayard Avenue</t>
  </si>
  <si>
    <t>Chapman Avenue</t>
  </si>
  <si>
    <t>Plumstead Avenue</t>
  </si>
  <si>
    <t>Wisley Avenue</t>
  </si>
  <si>
    <t>Mitcham Place</t>
  </si>
  <si>
    <t>Silbury Boulevard</t>
  </si>
  <si>
    <t>North Row</t>
  </si>
  <si>
    <t>North Ninth Street</t>
  </si>
  <si>
    <t>North Tenth Street</t>
  </si>
  <si>
    <t>North Eleventh Street</t>
  </si>
  <si>
    <t>North Twelfth Street</t>
  </si>
  <si>
    <t>Coopers Mews</t>
  </si>
  <si>
    <t>Currier Drive</t>
  </si>
  <si>
    <t>Vintners Mews</t>
  </si>
  <si>
    <t>Salters Mews</t>
  </si>
  <si>
    <t>Turners Mews</t>
  </si>
  <si>
    <t>Gilders Mews</t>
  </si>
  <si>
    <t>Taylors Mews</t>
  </si>
  <si>
    <t>Carvers Mews</t>
  </si>
  <si>
    <t>Fletchers Mews</t>
  </si>
  <si>
    <t>Bowyers Mews</t>
  </si>
  <si>
    <t>Cutlers Mews</t>
  </si>
  <si>
    <t>Barbers Mews</t>
  </si>
  <si>
    <t>Founders Mews</t>
  </si>
  <si>
    <t>Wheelwrights Mews</t>
  </si>
  <si>
    <t>Glazier Drive</t>
  </si>
  <si>
    <t>Carpenter Court</t>
  </si>
  <si>
    <t>Coachmaker Court</t>
  </si>
  <si>
    <t>Cordwainer Court</t>
  </si>
  <si>
    <t>Innholder Court</t>
  </si>
  <si>
    <t>Gunmaker Court</t>
  </si>
  <si>
    <t>Whitebaker Court</t>
  </si>
  <si>
    <t>Brownbaker Court</t>
  </si>
  <si>
    <t>The High Street</t>
  </si>
  <si>
    <t>Fishermead Boulevard</t>
  </si>
  <si>
    <t>Penryn Avenue</t>
  </si>
  <si>
    <t>Gurnards Avenue</t>
  </si>
  <si>
    <t>Pencarrow Place</t>
  </si>
  <si>
    <t>Padstow Avenue</t>
  </si>
  <si>
    <t>Talland Avenue</t>
  </si>
  <si>
    <t>Bossiney Place</t>
  </si>
  <si>
    <t>Polruan Place</t>
  </si>
  <si>
    <t>Perran Avenue</t>
  </si>
  <si>
    <t>Tolcarne Avenue</t>
  </si>
  <si>
    <t>Towan Avenue</t>
  </si>
  <si>
    <t>Vellan Avenue</t>
  </si>
  <si>
    <t>Mullion Place</t>
  </si>
  <si>
    <t>Helford Place</t>
  </si>
  <si>
    <t>Kernow Crescent</t>
  </si>
  <si>
    <t>Springfield Boulevard</t>
  </si>
  <si>
    <t>Tyburn Avenue</t>
  </si>
  <si>
    <t>Falcon Avenue</t>
  </si>
  <si>
    <t>Walbrook Avenue</t>
  </si>
  <si>
    <t>Turnmill Avenue</t>
  </si>
  <si>
    <t>Stamford Avenue</t>
  </si>
  <si>
    <t>Belsize Avenue</t>
  </si>
  <si>
    <t>Oldbrook Boulevard</t>
  </si>
  <si>
    <t>Larwood Place</t>
  </si>
  <si>
    <t>Shackleton Place</t>
  </si>
  <si>
    <t>Hutton Avenue</t>
  </si>
  <si>
    <t>Kirkstall Place</t>
  </si>
  <si>
    <t>Bridgeford Court</t>
  </si>
  <si>
    <t>Underwood Place</t>
  </si>
  <si>
    <t>Century Avenue</t>
  </si>
  <si>
    <t>Sutcliffe Avenue</t>
  </si>
  <si>
    <t>South Eighth Street</t>
  </si>
  <si>
    <t>South Ninth Street</t>
  </si>
  <si>
    <t>Harrier Court</t>
  </si>
  <si>
    <t>Specklands</t>
  </si>
  <si>
    <t>Granby Court</t>
  </si>
  <si>
    <t>Granby court</t>
  </si>
  <si>
    <t>Durrans Court</t>
  </si>
  <si>
    <t>Langland Road</t>
  </si>
  <si>
    <t>Beadlemead</t>
  </si>
  <si>
    <t>Farmborough</t>
  </si>
  <si>
    <t>The Hide</t>
  </si>
  <si>
    <t>Farthing Grove</t>
  </si>
  <si>
    <t>Broadlands</t>
  </si>
  <si>
    <t>Warren Bank</t>
  </si>
  <si>
    <t>Whaddon Way</t>
  </si>
  <si>
    <t>Angus Drive</t>
  </si>
  <si>
    <t>Cornwall Grove</t>
  </si>
  <si>
    <t>Devon Close</t>
  </si>
  <si>
    <t>Dorchester Avenue</t>
  </si>
  <si>
    <t>Dorset Close</t>
  </si>
  <si>
    <t>Essex Close</t>
  </si>
  <si>
    <t>Serpentine Court</t>
  </si>
  <si>
    <t>Forfar Drive</t>
  </si>
  <si>
    <t>Melrose Avenue</t>
  </si>
  <si>
    <t>Middlesex Drive</t>
  </si>
  <si>
    <t>Selkirk Grove</t>
  </si>
  <si>
    <t>Somerset Close</t>
  </si>
  <si>
    <t>Suffolk Close</t>
  </si>
  <si>
    <t>Surrey Road</t>
  </si>
  <si>
    <t>Ayr Way</t>
  </si>
  <si>
    <t>Nairn Court</t>
  </si>
  <si>
    <t>Surrey Place</t>
  </si>
  <si>
    <t>Bolton Close</t>
  </si>
  <si>
    <t>Buckfast Avenue</t>
  </si>
  <si>
    <t>Torre Close</t>
  </si>
  <si>
    <t>Glastonbury Close</t>
  </si>
  <si>
    <t>Westminster Drive</t>
  </si>
  <si>
    <t>Shaftesbury Crescent</t>
  </si>
  <si>
    <t>Cumbria Close</t>
  </si>
  <si>
    <t>Avon Grove</t>
  </si>
  <si>
    <t>Derwent Drive</t>
  </si>
  <si>
    <t>Kennet Drive</t>
  </si>
  <si>
    <t>Shenley Road</t>
  </si>
  <si>
    <t>Thames Close</t>
  </si>
  <si>
    <t>Trent Road</t>
  </si>
  <si>
    <t>Caernarvon Crescent</t>
  </si>
  <si>
    <t>Chester Close</t>
  </si>
  <si>
    <t>Buckingham Road</t>
  </si>
  <si>
    <t>Warwick Place</t>
  </si>
  <si>
    <t>Harlech Place</t>
  </si>
  <si>
    <t>Lancaster Gate</t>
  </si>
  <si>
    <t>Warwick Road</t>
  </si>
  <si>
    <t>Saint Mary'S Avenue</t>
  </si>
  <si>
    <t>Paddock Way</t>
  </si>
  <si>
    <t>Wyness Avenue</t>
  </si>
  <si>
    <t>Great Brickhill Lane</t>
  </si>
  <si>
    <t>Silver Street</t>
  </si>
  <si>
    <t>Oxford Street</t>
  </si>
  <si>
    <t>Chestnut Close</t>
  </si>
  <si>
    <t>Ousebank Way</t>
  </si>
  <si>
    <t>Boundary Crescent</t>
  </si>
  <si>
    <t>Prospect Road</t>
  </si>
  <si>
    <t>Mill Lane</t>
  </si>
  <si>
    <t>Green Lane</t>
  </si>
  <si>
    <t>Saint Georges Way</t>
  </si>
  <si>
    <t>Wood Street</t>
  </si>
  <si>
    <t>Queen Anne Street</t>
  </si>
  <si>
    <t>Saint Giles Street</t>
  </si>
  <si>
    <t>Stantonbury Close</t>
  </si>
  <si>
    <t>Saint Peters Way</t>
  </si>
  <si>
    <t>Leaberry</t>
  </si>
  <si>
    <t>Earls Willow</t>
  </si>
  <si>
    <t>Bridgeway</t>
  </si>
  <si>
    <t>Thompson Street</t>
  </si>
  <si>
    <t>Meads Close</t>
  </si>
  <si>
    <t>Bridge Street</t>
  </si>
  <si>
    <t>Church Street</t>
  </si>
  <si>
    <t>Wolverton Road</t>
  </si>
  <si>
    <t>Williams Close</t>
  </si>
  <si>
    <t>Providence Place</t>
  </si>
  <si>
    <t>The Forge</t>
  </si>
  <si>
    <t>Olney Road</t>
  </si>
  <si>
    <t>Leys Court</t>
  </si>
  <si>
    <t>Finch Close</t>
  </si>
  <si>
    <t>Field Court</t>
  </si>
  <si>
    <t>Whitethorns</t>
  </si>
  <si>
    <t>Balmoral Court</t>
  </si>
  <si>
    <t>Sandringham Court</t>
  </si>
  <si>
    <t>Buckingham Court</t>
  </si>
  <si>
    <t>High Street</t>
  </si>
  <si>
    <t>Newport Road</t>
  </si>
  <si>
    <t>No  Station Road</t>
  </si>
  <si>
    <t>Walsh's Manor</t>
  </si>
  <si>
    <t>Towan Ave</t>
  </si>
  <si>
    <t>Minton Close</t>
  </si>
  <si>
    <t>Bradwell Common Boulevard</t>
  </si>
  <si>
    <t>Somerest Close</t>
  </si>
  <si>
    <t>Saint Georges Road</t>
  </si>
  <si>
    <t>Almond Close</t>
  </si>
  <si>
    <t xml:space="preserve">Galapagos Grove </t>
  </si>
  <si>
    <t>Staverton Grove</t>
  </si>
  <si>
    <t>Bow Road</t>
  </si>
  <si>
    <t>East Moor Drive</t>
  </si>
  <si>
    <t>Bantock Close</t>
  </si>
  <si>
    <t>Goodrington Place</t>
  </si>
  <si>
    <t>Pomander Crescent</t>
  </si>
  <si>
    <t>Bowling Green Close</t>
  </si>
  <si>
    <t>North 0th Street</t>
  </si>
  <si>
    <t>Tanfield Lane</t>
  </si>
  <si>
    <t>Queensway House</t>
  </si>
  <si>
    <t>Benbow Court</t>
  </si>
  <si>
    <t>Turnstone House</t>
  </si>
  <si>
    <t>Stratford Road</t>
  </si>
  <si>
    <t>London Road</t>
  </si>
  <si>
    <t>North th St</t>
  </si>
  <si>
    <t>Denmead</t>
  </si>
  <si>
    <t>Studley Knapp</t>
  </si>
  <si>
    <t>Jersey Road</t>
  </si>
  <si>
    <t>Wheatcroft</t>
  </si>
  <si>
    <t>The Laurels  High Street</t>
  </si>
  <si>
    <t>Coltsfoot Court</t>
  </si>
  <si>
    <t>Communal Boiler factor per leases FOR GAS RECHARGE</t>
  </si>
  <si>
    <t>Full Address [ID's for individual properties removed to maintain confidentiality]</t>
  </si>
  <si>
    <t>Property Ref NEC System (removed)</t>
  </si>
  <si>
    <r>
      <t xml:space="preserve">Weekly Charges 3 April 2023 </t>
    </r>
    <r>
      <rPr>
        <sz val="12"/>
        <color theme="1"/>
        <rFont val="Arial"/>
        <family val="2"/>
      </rPr>
      <t>(52 week basis)</t>
    </r>
  </si>
  <si>
    <t>ID (sequence NOT related to Address)</t>
  </si>
  <si>
    <r>
      <t xml:space="preserve">Caretakers - </t>
    </r>
    <r>
      <rPr>
        <b/>
        <i/>
        <sz val="12"/>
        <color theme="1"/>
        <rFont val="Arial"/>
        <family val="2"/>
      </rPr>
      <t>Council wide rate £5.31</t>
    </r>
  </si>
  <si>
    <r>
      <t xml:space="preserve">Cleaning - </t>
    </r>
    <r>
      <rPr>
        <b/>
        <i/>
        <sz val="12"/>
        <color theme="1"/>
        <rFont val="Arial"/>
        <family val="2"/>
      </rPr>
      <t>Council wide rate £2.88</t>
    </r>
  </si>
  <si>
    <r>
      <t>Heating -</t>
    </r>
    <r>
      <rPr>
        <b/>
        <i/>
        <sz val="12"/>
        <color theme="1"/>
        <rFont val="Arial"/>
        <family val="2"/>
      </rPr>
      <t xml:space="preserve"> property specific rate</t>
    </r>
  </si>
  <si>
    <r>
      <t xml:space="preserve">Electricity  </t>
    </r>
    <r>
      <rPr>
        <b/>
        <i/>
        <sz val="12"/>
        <color theme="1"/>
        <rFont val="Arial"/>
        <family val="2"/>
      </rPr>
      <t>Lighting - Council wide rate £2.88</t>
    </r>
  </si>
  <si>
    <t>Estimated 2023 -2024 Caretaking costs Cost General Needs</t>
  </si>
  <si>
    <t>Estimated 2023 - 2024 Caretaking costs Cost General Needs</t>
  </si>
  <si>
    <t>General Needs blocks Gas Element estimates for 2023 - 2024</t>
  </si>
  <si>
    <t>Estimated 2023 -2024 Electricity Cost General Needs</t>
  </si>
  <si>
    <t>Full Site Address</t>
  </si>
  <si>
    <t>Block or Scheme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</si>
</sst>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\(#,##0\);\-"/>
    <numFmt numFmtId="165" formatCode="_-* #,##0_-;\-* #,##0_-;_-* &quot;-&quot;??_-;_-@_-"/>
    <numFmt numFmtId="166" formatCode="_-&quot;£&quot;* #,##0_-;\-&quot;£&quot;* #,##0_-;_-&quot;£&quot;* &quot;-&quot;??_-;_-@_-"/>
    <numFmt numFmtId="167" formatCode="0.0000"/>
    <numFmt numFmtId="168" formatCode="0.000%"/>
    <numFmt numFmtId="169" formatCode="0.00000"/>
    <numFmt numFmtId="170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4"/>
      <name val="Calibri"/>
      <family val="2"/>
    </font>
    <font>
      <u/>
      <sz val="10"/>
      <name val="Calibri"/>
      <family val="2"/>
    </font>
    <font>
      <sz val="10"/>
      <color rgb="FF00B050"/>
      <name val="Calibri"/>
      <family val="2"/>
    </font>
    <font>
      <b/>
      <u/>
      <sz val="12"/>
      <color theme="1"/>
      <name val="Arial"/>
      <family val="2"/>
    </font>
    <font>
      <b/>
      <sz val="14"/>
      <color theme="0"/>
      <name val="Arial"/>
      <family val="2"/>
    </font>
    <font>
      <b/>
      <i/>
      <sz val="14"/>
      <color rgb="FF00B050"/>
      <name val="Arial"/>
      <family val="2"/>
    </font>
    <font>
      <b/>
      <i/>
      <sz val="14"/>
      <color rgb="FFFF00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8"/>
      <color rgb="FFFF0000"/>
      <name val="Arial"/>
      <family val="2"/>
    </font>
    <font>
      <b/>
      <sz val="12"/>
      <color rgb="FF0070C0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i/>
      <sz val="12"/>
      <name val="Arial"/>
      <family val="2"/>
    </font>
    <font>
      <b/>
      <i/>
      <sz val="12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666666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63">
    <xf numFmtId="0" fontId="0" fillId="0" borderId="0" xfId="0"/>
    <xf numFmtId="0" fontId="0" fillId="3" borderId="0" xfId="0" applyFill="1"/>
    <xf numFmtId="0" fontId="0" fillId="3" borderId="0" xfId="0" applyFill="1" applyAlignment="1">
      <alignment horizontal="right"/>
    </xf>
    <xf numFmtId="44" fontId="0" fillId="3" borderId="0" xfId="2" applyFont="1" applyFill="1"/>
    <xf numFmtId="44" fontId="3" fillId="3" borderId="0" xfId="2" applyFont="1" applyFill="1"/>
    <xf numFmtId="44" fontId="0" fillId="3" borderId="0" xfId="0" applyNumberFormat="1" applyFill="1"/>
    <xf numFmtId="44" fontId="1" fillId="3" borderId="0" xfId="2" applyFont="1" applyFill="1"/>
    <xf numFmtId="44" fontId="1" fillId="3" borderId="1" xfId="2" applyFont="1" applyFill="1" applyBorder="1"/>
    <xf numFmtId="0" fontId="3" fillId="3" borderId="0" xfId="0" applyFont="1" applyFill="1" applyAlignment="1">
      <alignment horizontal="right"/>
    </xf>
    <xf numFmtId="165" fontId="0" fillId="3" borderId="0" xfId="1" applyNumberFormat="1" applyFont="1" applyFill="1"/>
    <xf numFmtId="165" fontId="0" fillId="3" borderId="1" xfId="1" applyNumberFormat="1" applyFont="1" applyFill="1" applyBorder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44" fontId="0" fillId="3" borderId="1" xfId="2" applyFont="1" applyFill="1" applyBorder="1"/>
    <xf numFmtId="0" fontId="9" fillId="4" borderId="0" xfId="0" applyFont="1" applyFill="1" applyAlignment="1">
      <alignment horizontal="right"/>
    </xf>
    <xf numFmtId="44" fontId="9" fillId="4" borderId="2" xfId="2" applyFont="1" applyFill="1" applyBorder="1"/>
    <xf numFmtId="0" fontId="10" fillId="3" borderId="0" xfId="0" applyFont="1" applyFill="1"/>
    <xf numFmtId="44" fontId="0" fillId="3" borderId="0" xfId="2" applyNumberFormat="1" applyFont="1" applyFill="1"/>
    <xf numFmtId="44" fontId="0" fillId="3" borderId="1" xfId="2" applyNumberFormat="1" applyFont="1" applyFill="1" applyBorder="1"/>
    <xf numFmtId="44" fontId="3" fillId="3" borderId="0" xfId="2" applyNumberFormat="1" applyFont="1" applyFill="1"/>
    <xf numFmtId="165" fontId="3" fillId="3" borderId="0" xfId="1" applyNumberFormat="1" applyFont="1" applyFill="1"/>
    <xf numFmtId="0" fontId="11" fillId="4" borderId="0" xfId="0" applyFont="1" applyFill="1"/>
    <xf numFmtId="0" fontId="2" fillId="3" borderId="0" xfId="0" applyFont="1" applyFill="1"/>
    <xf numFmtId="0" fontId="12" fillId="3" borderId="0" xfId="0" applyFont="1" applyFill="1" applyAlignment="1">
      <alignment horizontal="right"/>
    </xf>
    <xf numFmtId="44" fontId="12" fillId="3" borderId="0" xfId="0" applyNumberFormat="1" applyFont="1" applyFill="1"/>
    <xf numFmtId="165" fontId="3" fillId="3" borderId="0" xfId="1" applyNumberFormat="1" applyFont="1" applyFill="1" applyAlignment="1">
      <alignment vertical="center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right" vertical="top" wrapText="1"/>
    </xf>
    <xf numFmtId="0" fontId="12" fillId="3" borderId="0" xfId="0" applyFont="1" applyFill="1"/>
    <xf numFmtId="0" fontId="12" fillId="3" borderId="1" xfId="0" applyFont="1" applyFill="1" applyBorder="1"/>
    <xf numFmtId="44" fontId="12" fillId="3" borderId="1" xfId="0" applyNumberFormat="1" applyFont="1" applyFill="1" applyBorder="1"/>
    <xf numFmtId="0" fontId="0" fillId="3" borderId="3" xfId="0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0" fillId="3" borderId="6" xfId="0" applyFill="1" applyBorder="1"/>
    <xf numFmtId="0" fontId="12" fillId="3" borderId="0" xfId="0" applyFont="1" applyFill="1" applyBorder="1" applyAlignment="1">
      <alignment horizontal="right"/>
    </xf>
    <xf numFmtId="44" fontId="12" fillId="3" borderId="0" xfId="0" applyNumberFormat="1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0" fillId="3" borderId="9" xfId="0" applyFill="1" applyBorder="1"/>
    <xf numFmtId="0" fontId="6" fillId="0" borderId="0" xfId="6"/>
    <xf numFmtId="0" fontId="6" fillId="0" borderId="0" xfId="6" applyAlignment="1">
      <alignment horizontal="center"/>
    </xf>
    <xf numFmtId="0" fontId="6" fillId="7" borderId="0" xfId="6" applyFill="1"/>
    <xf numFmtId="1" fontId="6" fillId="0" borderId="0" xfId="7" applyNumberFormat="1" applyFont="1" applyAlignment="1">
      <alignment horizontal="center"/>
    </xf>
    <xf numFmtId="168" fontId="7" fillId="0" borderId="0" xfId="7" applyNumberFormat="1" applyFont="1" applyAlignment="1">
      <alignment horizontal="center"/>
    </xf>
    <xf numFmtId="0" fontId="23" fillId="0" borderId="0" xfId="6" applyFont="1"/>
    <xf numFmtId="2" fontId="7" fillId="0" borderId="0" xfId="6" applyNumberFormat="1" applyFont="1"/>
    <xf numFmtId="0" fontId="7" fillId="0" borderId="0" xfId="6" applyFont="1"/>
    <xf numFmtId="169" fontId="7" fillId="0" borderId="0" xfId="6" applyNumberFormat="1" applyFont="1" applyAlignment="1">
      <alignment horizontal="left"/>
    </xf>
    <xf numFmtId="10" fontId="6" fillId="0" borderId="0" xfId="6" applyNumberFormat="1" applyAlignment="1">
      <alignment horizontal="center"/>
    </xf>
    <xf numFmtId="0" fontId="25" fillId="0" borderId="0" xfId="6" applyFont="1" applyAlignment="1">
      <alignment horizontal="left"/>
    </xf>
    <xf numFmtId="0" fontId="24" fillId="0" borderId="0" xfId="6" applyFont="1" applyAlignment="1">
      <alignment horizontal="center"/>
    </xf>
    <xf numFmtId="1" fontId="24" fillId="0" borderId="0" xfId="6" applyNumberFormat="1" applyFont="1" applyAlignment="1">
      <alignment horizontal="center"/>
    </xf>
    <xf numFmtId="169" fontId="6" fillId="0" borderId="0" xfId="6" applyNumberFormat="1"/>
    <xf numFmtId="10" fontId="7" fillId="9" borderId="0" xfId="7" applyNumberFormat="1" applyFont="1" applyFill="1" applyAlignment="1">
      <alignment horizontal="center"/>
    </xf>
    <xf numFmtId="10" fontId="7" fillId="9" borderId="0" xfId="6" applyNumberFormat="1" applyFont="1" applyFill="1" applyAlignment="1">
      <alignment horizontal="center"/>
    </xf>
    <xf numFmtId="166" fontId="7" fillId="0" borderId="0" xfId="9" applyNumberFormat="1" applyFont="1"/>
    <xf numFmtId="0" fontId="26" fillId="0" borderId="0" xfId="6" applyFont="1" applyAlignment="1">
      <alignment horizontal="left"/>
    </xf>
    <xf numFmtId="0" fontId="7" fillId="0" borderId="0" xfId="6" applyFont="1" applyAlignment="1">
      <alignment horizontal="center"/>
    </xf>
    <xf numFmtId="0" fontId="7" fillId="7" borderId="0" xfId="6" applyFont="1" applyFill="1"/>
    <xf numFmtId="1" fontId="7" fillId="0" borderId="0" xfId="7" applyNumberFormat="1" applyFont="1" applyAlignment="1">
      <alignment horizontal="center"/>
    </xf>
    <xf numFmtId="0" fontId="8" fillId="0" borderId="0" xfId="6" applyFont="1"/>
    <xf numFmtId="169" fontId="7" fillId="0" borderId="0" xfId="6" applyNumberFormat="1" applyFont="1"/>
    <xf numFmtId="0" fontId="8" fillId="0" borderId="0" xfId="6" applyFont="1" applyAlignment="1">
      <alignment horizontal="center"/>
    </xf>
    <xf numFmtId="2" fontId="8" fillId="0" borderId="0" xfId="6" applyNumberFormat="1" applyFont="1"/>
    <xf numFmtId="0" fontId="7" fillId="7" borderId="0" xfId="6" applyFont="1" applyFill="1" applyAlignment="1">
      <alignment horizontal="center" vertical="center" wrapText="1"/>
    </xf>
    <xf numFmtId="0" fontId="27" fillId="7" borderId="0" xfId="6" applyFont="1" applyFill="1" applyAlignment="1">
      <alignment horizontal="center" vertical="center" wrapText="1"/>
    </xf>
    <xf numFmtId="1" fontId="27" fillId="7" borderId="0" xfId="6" applyNumberFormat="1" applyFont="1" applyFill="1" applyAlignment="1">
      <alignment horizontal="center" vertical="center" wrapText="1"/>
    </xf>
    <xf numFmtId="169" fontId="7" fillId="6" borderId="0" xfId="6" applyNumberFormat="1" applyFont="1" applyFill="1" applyAlignment="1">
      <alignment horizontal="center" vertical="center" wrapText="1"/>
    </xf>
    <xf numFmtId="0" fontId="7" fillId="8" borderId="0" xfId="6" applyFont="1" applyFill="1" applyAlignment="1">
      <alignment vertical="center" wrapText="1"/>
    </xf>
    <xf numFmtId="0" fontId="7" fillId="8" borderId="0" xfId="6" applyFont="1" applyFill="1" applyAlignment="1">
      <alignment horizontal="center" vertical="center" wrapText="1"/>
    </xf>
    <xf numFmtId="0" fontId="6" fillId="11" borderId="0" xfId="6" applyFill="1"/>
    <xf numFmtId="0" fontId="6" fillId="7" borderId="0" xfId="6" applyFill="1" applyAlignment="1">
      <alignment horizontal="center" vertical="center" wrapText="1"/>
    </xf>
    <xf numFmtId="165" fontId="6" fillId="0" borderId="0" xfId="8" applyNumberFormat="1" applyFont="1" applyAlignment="1">
      <alignment horizontal="center"/>
    </xf>
    <xf numFmtId="165" fontId="6" fillId="0" borderId="0" xfId="8" applyNumberFormat="1" applyFont="1" applyFill="1" applyAlignment="1">
      <alignment horizontal="center"/>
    </xf>
    <xf numFmtId="165" fontId="7" fillId="0" borderId="0" xfId="8" applyNumberFormat="1" applyFont="1" applyAlignment="1">
      <alignment horizontal="center"/>
    </xf>
    <xf numFmtId="0" fontId="6" fillId="0" borderId="0" xfId="6" applyAlignment="1">
      <alignment horizontal="center" vertical="center" wrapText="1"/>
    </xf>
    <xf numFmtId="170" fontId="6" fillId="0" borderId="0" xfId="6" applyNumberFormat="1" applyAlignment="1">
      <alignment horizontal="center" vertical="center" wrapText="1"/>
    </xf>
    <xf numFmtId="169" fontId="6" fillId="0" borderId="0" xfId="6" applyNumberFormat="1" applyAlignment="1">
      <alignment horizontal="center" vertical="center" wrapText="1"/>
    </xf>
    <xf numFmtId="167" fontId="6" fillId="0" borderId="0" xfId="6" applyNumberFormat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44" fontId="6" fillId="0" borderId="0" xfId="9" applyFont="1" applyAlignment="1">
      <alignment horizontal="center" vertical="center" wrapText="1"/>
    </xf>
    <xf numFmtId="44" fontId="7" fillId="6" borderId="0" xfId="9" applyFont="1" applyFill="1" applyAlignment="1">
      <alignment horizontal="center" vertical="center" wrapText="1"/>
    </xf>
    <xf numFmtId="44" fontId="7" fillId="0" borderId="0" xfId="9" applyFont="1" applyAlignment="1">
      <alignment horizontal="center" vertical="center" wrapText="1"/>
    </xf>
    <xf numFmtId="0" fontId="28" fillId="0" borderId="0" xfId="6" applyFont="1"/>
    <xf numFmtId="0" fontId="7" fillId="4" borderId="0" xfId="6" applyFont="1" applyFill="1" applyAlignment="1">
      <alignment horizontal="center" vertical="center" wrapText="1"/>
    </xf>
    <xf numFmtId="0" fontId="13" fillId="0" borderId="0" xfId="6" applyFont="1"/>
    <xf numFmtId="1" fontId="6" fillId="0" borderId="0" xfId="6" applyNumberFormat="1" applyAlignment="1">
      <alignment horizontal="left"/>
    </xf>
    <xf numFmtId="0" fontId="6" fillId="4" borderId="0" xfId="6" applyFill="1" applyAlignment="1">
      <alignment horizontal="center" vertical="center" wrapText="1"/>
    </xf>
    <xf numFmtId="169" fontId="6" fillId="4" borderId="0" xfId="6" applyNumberFormat="1" applyFill="1" applyAlignment="1">
      <alignment horizontal="center" vertical="center" wrapText="1"/>
    </xf>
    <xf numFmtId="165" fontId="28" fillId="0" borderId="0" xfId="8" applyNumberFormat="1" applyFont="1" applyAlignment="1">
      <alignment horizontal="center"/>
    </xf>
    <xf numFmtId="0" fontId="6" fillId="0" borderId="0" xfId="6" applyAlignment="1">
      <alignment wrapText="1"/>
    </xf>
    <xf numFmtId="1" fontId="6" fillId="0" borderId="0" xfId="6" applyNumberFormat="1"/>
    <xf numFmtId="0" fontId="6" fillId="0" borderId="11" xfId="6" applyBorder="1" applyAlignment="1">
      <alignment horizontal="left"/>
    </xf>
    <xf numFmtId="0" fontId="28" fillId="0" borderId="0" xfId="6" applyFont="1" applyAlignment="1">
      <alignment horizontal="left"/>
    </xf>
    <xf numFmtId="0" fontId="6" fillId="7" borderId="0" xfId="6" applyFill="1" applyAlignment="1">
      <alignment horizontal="center"/>
    </xf>
    <xf numFmtId="1" fontId="6" fillId="7" borderId="0" xfId="7" applyNumberFormat="1" applyFont="1" applyFill="1" applyAlignment="1">
      <alignment horizontal="center"/>
    </xf>
    <xf numFmtId="2" fontId="6" fillId="0" borderId="0" xfId="6" applyNumberFormat="1"/>
    <xf numFmtId="165" fontId="24" fillId="0" borderId="0" xfId="8" applyNumberFormat="1" applyFont="1" applyAlignment="1">
      <alignment horizontal="center"/>
    </xf>
    <xf numFmtId="10" fontId="6" fillId="0" borderId="0" xfId="7" applyNumberFormat="1" applyFont="1" applyFill="1" applyAlignment="1">
      <alignment horizontal="center"/>
    </xf>
    <xf numFmtId="0" fontId="6" fillId="0" borderId="0" xfId="6" applyAlignment="1">
      <alignment vertical="top"/>
    </xf>
    <xf numFmtId="2" fontId="6" fillId="0" borderId="0" xfId="6" applyNumberFormat="1" applyAlignment="1">
      <alignment horizontal="center" vertical="center" wrapText="1"/>
    </xf>
    <xf numFmtId="2" fontId="6" fillId="0" borderId="0" xfId="6" applyNumberFormat="1" applyAlignment="1">
      <alignment horizontal="center"/>
    </xf>
    <xf numFmtId="167" fontId="7" fillId="0" borderId="0" xfId="6" applyNumberFormat="1" applyFont="1" applyAlignment="1">
      <alignment horizontal="center" vertical="center" wrapText="1"/>
    </xf>
    <xf numFmtId="165" fontId="13" fillId="0" borderId="0" xfId="8" applyNumberFormat="1" applyFont="1" applyAlignment="1">
      <alignment horizontal="center"/>
    </xf>
    <xf numFmtId="170" fontId="6" fillId="0" borderId="0" xfId="6" applyNumberFormat="1" applyAlignment="1">
      <alignment horizontal="center"/>
    </xf>
    <xf numFmtId="165" fontId="7" fillId="7" borderId="0" xfId="8" applyNumberFormat="1" applyFont="1" applyFill="1" applyAlignment="1">
      <alignment horizontal="center"/>
    </xf>
    <xf numFmtId="165" fontId="6" fillId="7" borderId="0" xfId="8" applyNumberFormat="1" applyFont="1" applyFill="1" applyAlignment="1">
      <alignment horizontal="center"/>
    </xf>
    <xf numFmtId="2" fontId="6" fillId="7" borderId="0" xfId="6" applyNumberFormat="1" applyFill="1"/>
    <xf numFmtId="43" fontId="7" fillId="0" borderId="0" xfId="8" applyFont="1"/>
    <xf numFmtId="2" fontId="0" fillId="3" borderId="0" xfId="0" applyNumberFormat="1" applyFill="1"/>
    <xf numFmtId="43" fontId="0" fillId="3" borderId="0" xfId="1" applyFont="1" applyFill="1"/>
    <xf numFmtId="0" fontId="6" fillId="0" borderId="0" xfId="6" applyAlignment="1">
      <alignment horizontal="right"/>
    </xf>
    <xf numFmtId="44" fontId="6" fillId="0" borderId="0" xfId="9" applyFont="1" applyFill="1" applyAlignment="1">
      <alignment horizontal="center" vertical="center" wrapText="1"/>
    </xf>
    <xf numFmtId="0" fontId="7" fillId="4" borderId="0" xfId="6" applyFont="1" applyFill="1"/>
    <xf numFmtId="164" fontId="5" fillId="3" borderId="11" xfId="4" applyNumberFormat="1" applyFont="1" applyFill="1" applyBorder="1" applyAlignment="1">
      <alignment horizontal="left" vertical="center"/>
    </xf>
    <xf numFmtId="0" fontId="0" fillId="0" borderId="11" xfId="0" applyBorder="1"/>
    <xf numFmtId="0" fontId="5" fillId="2" borderId="11" xfId="3" applyFont="1" applyFill="1" applyBorder="1" applyAlignment="1">
      <alignment horizontal="center" vertical="top" wrapText="1"/>
    </xf>
    <xf numFmtId="4" fontId="7" fillId="5" borderId="11" xfId="3" applyNumberFormat="1" applyFont="1" applyFill="1" applyBorder="1" applyAlignment="1">
      <alignment horizontal="center" vertical="top" wrapText="1"/>
    </xf>
    <xf numFmtId="44" fontId="7" fillId="4" borderId="11" xfId="2" applyFont="1" applyFill="1" applyBorder="1" applyAlignment="1">
      <alignment vertical="center"/>
    </xf>
    <xf numFmtId="0" fontId="30" fillId="2" borderId="11" xfId="3" applyFont="1" applyFill="1" applyBorder="1" applyAlignment="1">
      <alignment horizontal="left" vertical="center"/>
    </xf>
    <xf numFmtId="0" fontId="5" fillId="2" borderId="11" xfId="3" applyFont="1" applyFill="1" applyBorder="1" applyAlignment="1">
      <alignment horizontal="left" vertical="center"/>
    </xf>
    <xf numFmtId="164" fontId="13" fillId="3" borderId="11" xfId="3" applyNumberFormat="1" applyFont="1" applyFill="1" applyBorder="1" applyAlignment="1">
      <alignment horizontal="center" vertical="top"/>
    </xf>
    <xf numFmtId="164" fontId="5" fillId="3" borderId="11" xfId="3" applyNumberFormat="1" applyFont="1" applyFill="1" applyBorder="1" applyAlignment="1">
      <alignment horizontal="center" vertical="top"/>
    </xf>
    <xf numFmtId="0" fontId="6" fillId="0" borderId="11" xfId="0" applyFont="1" applyBorder="1"/>
    <xf numFmtId="164" fontId="13" fillId="3" borderId="11" xfId="4" applyNumberFormat="1" applyFont="1" applyFill="1" applyBorder="1" applyAlignment="1">
      <alignment horizontal="left" vertical="center"/>
    </xf>
    <xf numFmtId="164" fontId="13" fillId="3" borderId="11" xfId="4" applyNumberFormat="1" applyFont="1" applyFill="1" applyBorder="1" applyAlignment="1">
      <alignment horizontal="right" vertical="center"/>
    </xf>
    <xf numFmtId="44" fontId="13" fillId="3" borderId="11" xfId="5" applyFont="1" applyFill="1" applyBorder="1" applyAlignment="1">
      <alignment horizontal="left" vertical="center"/>
    </xf>
    <xf numFmtId="43" fontId="13" fillId="3" borderId="11" xfId="4" applyFont="1" applyFill="1" applyBorder="1" applyAlignment="1">
      <alignment horizontal="left" vertical="center"/>
    </xf>
    <xf numFmtId="164" fontId="5" fillId="3" borderId="11" xfId="4" applyNumberFormat="1" applyFont="1" applyFill="1" applyBorder="1" applyAlignment="1">
      <alignment horizontal="right" vertical="center"/>
    </xf>
    <xf numFmtId="44" fontId="5" fillId="3" borderId="11" xfId="2" applyFont="1" applyFill="1" applyBorder="1" applyAlignment="1">
      <alignment vertical="top"/>
    </xf>
    <xf numFmtId="44" fontId="6" fillId="0" borderId="11" xfId="0" applyNumberFormat="1" applyFont="1" applyBorder="1"/>
    <xf numFmtId="164" fontId="13" fillId="3" borderId="11" xfId="5" applyNumberFormat="1" applyFont="1" applyFill="1" applyBorder="1" applyAlignment="1">
      <alignment horizontal="left" vertical="center"/>
    </xf>
    <xf numFmtId="44" fontId="13" fillId="3" borderId="11" xfId="2" applyFont="1" applyFill="1" applyBorder="1" applyAlignment="1">
      <alignment vertical="top"/>
    </xf>
    <xf numFmtId="43" fontId="6" fillId="0" borderId="11" xfId="1" applyFont="1" applyBorder="1"/>
    <xf numFmtId="44" fontId="6" fillId="3" borderId="11" xfId="2" applyFont="1" applyFill="1" applyBorder="1" applyAlignment="1">
      <alignment vertical="center"/>
    </xf>
    <xf numFmtId="164" fontId="13" fillId="3" borderId="11" xfId="3" applyNumberFormat="1" applyFont="1" applyFill="1" applyBorder="1" applyAlignment="1">
      <alignment horizontal="center" vertical="center" wrapText="1"/>
    </xf>
    <xf numFmtId="164" fontId="31" fillId="3" borderId="11" xfId="4" applyNumberFormat="1" applyFont="1" applyFill="1" applyBorder="1" applyAlignment="1">
      <alignment horizontal="right" vertical="center"/>
    </xf>
    <xf numFmtId="44" fontId="31" fillId="3" borderId="11" xfId="2" applyFont="1" applyFill="1" applyBorder="1" applyAlignment="1">
      <alignment vertical="top"/>
    </xf>
    <xf numFmtId="164" fontId="32" fillId="3" borderId="11" xfId="3" applyNumberFormat="1" applyFont="1" applyFill="1" applyBorder="1" applyAlignment="1">
      <alignment horizontal="center" vertical="center" wrapText="1"/>
    </xf>
    <xf numFmtId="164" fontId="31" fillId="3" borderId="11" xfId="3" applyNumberFormat="1" applyFont="1" applyFill="1" applyBorder="1" applyAlignment="1">
      <alignment horizontal="center" vertical="center" wrapText="1"/>
    </xf>
    <xf numFmtId="49" fontId="5" fillId="2" borderId="11" xfId="3" applyNumberFormat="1" applyFont="1" applyFill="1" applyBorder="1" applyAlignment="1">
      <alignment horizontal="center" vertical="center" wrapText="1"/>
    </xf>
    <xf numFmtId="164" fontId="33" fillId="3" borderId="11" xfId="3" applyNumberFormat="1" applyFont="1" applyFill="1" applyBorder="1" applyAlignment="1">
      <alignment horizontal="center" vertical="top" wrapText="1"/>
    </xf>
    <xf numFmtId="4" fontId="5" fillId="3" borderId="11" xfId="5" applyNumberFormat="1" applyFont="1" applyFill="1" applyBorder="1" applyAlignment="1">
      <alignment horizontal="center" vertical="top" wrapText="1"/>
    </xf>
    <xf numFmtId="0" fontId="13" fillId="2" borderId="11" xfId="3" applyFont="1" applyFill="1" applyBorder="1" applyAlignment="1">
      <alignment horizontal="left" vertical="center"/>
    </xf>
    <xf numFmtId="0" fontId="13" fillId="0" borderId="11" xfId="3" applyFont="1" applyFill="1" applyBorder="1" applyAlignment="1">
      <alignment horizontal="left" vertical="center"/>
    </xf>
    <xf numFmtId="0" fontId="13" fillId="0" borderId="11" xfId="3" applyFont="1" applyFill="1" applyBorder="1" applyAlignment="1">
      <alignment horizontal="center" vertical="center"/>
    </xf>
    <xf numFmtId="0" fontId="6" fillId="0" borderId="11" xfId="0" applyFont="1" applyFill="1" applyBorder="1"/>
    <xf numFmtId="2" fontId="13" fillId="0" borderId="11" xfId="3" applyNumberFormat="1" applyFont="1" applyFill="1" applyBorder="1" applyAlignment="1">
      <alignment horizontal="center" vertical="top"/>
    </xf>
    <xf numFmtId="2" fontId="5" fillId="0" borderId="11" xfId="3" applyNumberFormat="1" applyFont="1" applyFill="1" applyBorder="1" applyAlignment="1">
      <alignment horizontal="center" vertical="top"/>
    </xf>
    <xf numFmtId="2" fontId="6" fillId="0" borderId="11" xfId="0" applyNumberFormat="1" applyFont="1" applyBorder="1" applyAlignment="1">
      <alignment horizontal="center"/>
    </xf>
    <xf numFmtId="164" fontId="6" fillId="3" borderId="11" xfId="4" applyNumberFormat="1" applyFont="1" applyFill="1" applyBorder="1" applyAlignment="1">
      <alignment horizontal="center" vertical="center"/>
    </xf>
    <xf numFmtId="0" fontId="35" fillId="3" borderId="0" xfId="0" applyFont="1" applyFill="1"/>
    <xf numFmtId="0" fontId="36" fillId="3" borderId="0" xfId="0" applyFont="1" applyFill="1"/>
    <xf numFmtId="0" fontId="20" fillId="3" borderId="11" xfId="6" applyFont="1" applyFill="1" applyBorder="1" applyAlignment="1">
      <alignment horizontal="left" vertical="top"/>
    </xf>
    <xf numFmtId="0" fontId="18" fillId="3" borderId="11" xfId="6" applyFont="1" applyFill="1" applyBorder="1" applyAlignment="1">
      <alignment horizontal="center" vertical="top"/>
    </xf>
    <xf numFmtId="0" fontId="18" fillId="3" borderId="11" xfId="6" applyFont="1" applyFill="1" applyBorder="1" applyAlignment="1">
      <alignment vertical="top"/>
    </xf>
    <xf numFmtId="167" fontId="18" fillId="3" borderId="11" xfId="6" applyNumberFormat="1" applyFont="1" applyFill="1" applyBorder="1" applyAlignment="1">
      <alignment horizontal="right" vertical="top"/>
    </xf>
    <xf numFmtId="44" fontId="18" fillId="3" borderId="11" xfId="2" applyFont="1" applyFill="1" applyBorder="1" applyAlignment="1">
      <alignment horizontal="right" vertical="top"/>
    </xf>
    <xf numFmtId="3" fontId="18" fillId="3" borderId="11" xfId="6" applyNumberFormat="1" applyFont="1" applyFill="1" applyBorder="1" applyAlignment="1">
      <alignment horizontal="right" vertical="top"/>
    </xf>
    <xf numFmtId="0" fontId="22" fillId="3" borderId="11" xfId="10" applyFont="1" applyFill="1" applyBorder="1"/>
    <xf numFmtId="0" fontId="21" fillId="3" borderId="11" xfId="10" applyFont="1" applyFill="1" applyBorder="1"/>
    <xf numFmtId="0" fontId="21" fillId="3" borderId="11" xfId="10" applyFont="1" applyFill="1" applyBorder="1" applyAlignment="1">
      <alignment horizontal="center" vertical="top"/>
    </xf>
    <xf numFmtId="0" fontId="18" fillId="3" borderId="11" xfId="6" applyFont="1" applyFill="1" applyBorder="1" applyAlignment="1">
      <alignment horizontal="left" vertical="top"/>
    </xf>
    <xf numFmtId="164" fontId="29" fillId="3" borderId="11" xfId="3" applyNumberFormat="1" applyFont="1" applyFill="1" applyBorder="1" applyAlignment="1">
      <alignment horizontal="center" vertical="center" wrapText="1"/>
    </xf>
    <xf numFmtId="0" fontId="17" fillId="3" borderId="11" xfId="6" applyFont="1" applyFill="1" applyBorder="1" applyAlignment="1">
      <alignment horizontal="left" vertical="top" wrapText="1"/>
    </xf>
    <xf numFmtId="44" fontId="19" fillId="3" borderId="11" xfId="2" applyFont="1" applyFill="1" applyBorder="1" applyAlignment="1">
      <alignment horizontal="center"/>
    </xf>
    <xf numFmtId="0" fontId="5" fillId="3" borderId="11" xfId="6" applyFont="1" applyFill="1" applyBorder="1" applyAlignment="1">
      <alignment horizontal="left" vertical="top" wrapText="1"/>
    </xf>
    <xf numFmtId="0" fontId="13" fillId="3" borderId="11" xfId="6" applyFont="1" applyFill="1" applyBorder="1" applyAlignment="1">
      <alignment horizontal="left" vertical="top"/>
    </xf>
    <xf numFmtId="0" fontId="13" fillId="3" borderId="11" xfId="6" applyFont="1" applyFill="1" applyBorder="1" applyAlignment="1">
      <alignment horizontal="center" vertical="top"/>
    </xf>
    <xf numFmtId="0" fontId="13" fillId="3" borderId="11" xfId="6" applyFont="1" applyFill="1" applyBorder="1" applyAlignment="1">
      <alignment vertical="top"/>
    </xf>
    <xf numFmtId="167" fontId="13" fillId="3" borderId="11" xfId="6" applyNumberFormat="1" applyFont="1" applyFill="1" applyBorder="1" applyAlignment="1">
      <alignment horizontal="right" vertical="top"/>
    </xf>
    <xf numFmtId="44" fontId="13" fillId="3" borderId="11" xfId="2" applyFont="1" applyFill="1" applyBorder="1" applyAlignment="1">
      <alignment horizontal="right" vertical="top"/>
    </xf>
    <xf numFmtId="4" fontId="13" fillId="3" borderId="11" xfId="6" applyNumberFormat="1" applyFont="1" applyFill="1" applyBorder="1" applyAlignment="1">
      <alignment horizontal="right" vertical="top"/>
    </xf>
    <xf numFmtId="43" fontId="13" fillId="3" borderId="11" xfId="1" applyFont="1" applyFill="1" applyBorder="1" applyAlignment="1">
      <alignment horizontal="right" vertical="top"/>
    </xf>
    <xf numFmtId="44" fontId="5" fillId="3" borderId="11" xfId="2" applyFont="1" applyFill="1" applyBorder="1" applyAlignment="1">
      <alignment horizontal="right" vertical="top"/>
    </xf>
    <xf numFmtId="0" fontId="5" fillId="4" borderId="11" xfId="6" applyFont="1" applyFill="1" applyBorder="1" applyAlignment="1">
      <alignment horizontal="center" vertical="top"/>
    </xf>
    <xf numFmtId="0" fontId="13" fillId="4" borderId="11" xfId="6" applyFont="1" applyFill="1" applyBorder="1" applyAlignment="1">
      <alignment horizontal="left" vertical="top"/>
    </xf>
    <xf numFmtId="0" fontId="5" fillId="4" borderId="11" xfId="6" applyFont="1" applyFill="1" applyBorder="1" applyAlignment="1">
      <alignment vertical="top"/>
    </xf>
    <xf numFmtId="167" fontId="5" fillId="4" borderId="11" xfId="6" applyNumberFormat="1" applyFont="1" applyFill="1" applyBorder="1" applyAlignment="1">
      <alignment horizontal="right" vertical="top"/>
    </xf>
    <xf numFmtId="44" fontId="5" fillId="4" borderId="11" xfId="2" applyFont="1" applyFill="1" applyBorder="1" applyAlignment="1">
      <alignment horizontal="right" vertical="top"/>
    </xf>
    <xf numFmtId="4" fontId="13" fillId="4" borderId="11" xfId="6" applyNumberFormat="1" applyFont="1" applyFill="1" applyBorder="1" applyAlignment="1">
      <alignment horizontal="right" vertical="top"/>
    </xf>
    <xf numFmtId="43" fontId="5" fillId="4" borderId="11" xfId="1" applyFont="1" applyFill="1" applyBorder="1" applyAlignment="1">
      <alignment horizontal="right" vertical="top"/>
    </xf>
    <xf numFmtId="9" fontId="13" fillId="3" borderId="11" xfId="7" applyFont="1" applyFill="1" applyBorder="1" applyAlignment="1">
      <alignment vertical="top"/>
    </xf>
    <xf numFmtId="4" fontId="13" fillId="3" borderId="11" xfId="6" applyNumberFormat="1" applyFont="1" applyFill="1" applyBorder="1" applyAlignment="1">
      <alignment vertical="top"/>
    </xf>
    <xf numFmtId="44" fontId="13" fillId="3" borderId="11" xfId="6" applyNumberFormat="1" applyFont="1" applyFill="1" applyBorder="1" applyAlignment="1">
      <alignment vertical="top"/>
    </xf>
    <xf numFmtId="0" fontId="33" fillId="3" borderId="11" xfId="6" applyFont="1" applyFill="1" applyBorder="1" applyAlignment="1">
      <alignment vertical="top"/>
    </xf>
    <xf numFmtId="0" fontId="13" fillId="3" borderId="11" xfId="6" applyFont="1" applyFill="1" applyBorder="1" applyAlignment="1">
      <alignment vertical="top" wrapText="1"/>
    </xf>
    <xf numFmtId="3" fontId="13" fillId="3" borderId="11" xfId="6" applyNumberFormat="1" applyFont="1" applyFill="1" applyBorder="1" applyAlignment="1">
      <alignment horizontal="right" vertical="top"/>
    </xf>
    <xf numFmtId="0" fontId="5" fillId="3" borderId="11" xfId="6" applyFont="1" applyFill="1" applyBorder="1" applyAlignment="1">
      <alignment horizontal="left" vertical="top"/>
    </xf>
    <xf numFmtId="0" fontId="5" fillId="3" borderId="11" xfId="6" applyFont="1" applyFill="1" applyBorder="1" applyAlignment="1">
      <alignment horizontal="center" vertical="top"/>
    </xf>
    <xf numFmtId="0" fontId="5" fillId="3" borderId="11" xfId="6" applyFont="1" applyFill="1" applyBorder="1" applyAlignment="1">
      <alignment vertical="top"/>
    </xf>
    <xf numFmtId="167" fontId="5" fillId="3" borderId="11" xfId="6" applyNumberFormat="1" applyFont="1" applyFill="1" applyBorder="1" applyAlignment="1">
      <alignment vertical="top"/>
    </xf>
    <xf numFmtId="3" fontId="5" fillId="3" borderId="11" xfId="6" applyNumberFormat="1" applyFont="1" applyFill="1" applyBorder="1" applyAlignment="1">
      <alignment horizontal="right" vertical="top"/>
    </xf>
    <xf numFmtId="4" fontId="5" fillId="3" borderId="11" xfId="6" applyNumberFormat="1" applyFont="1" applyFill="1" applyBorder="1" applyAlignment="1">
      <alignment horizontal="right" vertical="top"/>
    </xf>
    <xf numFmtId="0" fontId="5" fillId="3" borderId="11" xfId="6" applyFont="1" applyFill="1" applyBorder="1" applyAlignment="1">
      <alignment horizontal="center" vertical="top" wrapText="1"/>
    </xf>
    <xf numFmtId="0" fontId="17" fillId="3" borderId="11" xfId="6" applyFont="1" applyFill="1" applyBorder="1" applyAlignment="1">
      <alignment horizontal="right" vertical="top"/>
    </xf>
    <xf numFmtId="44" fontId="17" fillId="3" borderId="11" xfId="2" applyFont="1" applyFill="1" applyBorder="1" applyAlignment="1">
      <alignment vertical="top"/>
    </xf>
    <xf numFmtId="0" fontId="17" fillId="3" borderId="11" xfId="6" applyFont="1" applyFill="1" applyBorder="1" applyAlignment="1">
      <alignment vertical="top"/>
    </xf>
    <xf numFmtId="44" fontId="17" fillId="3" borderId="11" xfId="2" applyFont="1" applyFill="1" applyBorder="1" applyAlignment="1">
      <alignment horizontal="right" vertical="top"/>
    </xf>
    <xf numFmtId="0" fontId="5" fillId="6" borderId="11" xfId="6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1" xfId="6" applyFont="1" applyFill="1" applyBorder="1" applyAlignment="1">
      <alignment horizontal="center" vertical="center" wrapText="1"/>
    </xf>
    <xf numFmtId="44" fontId="5" fillId="6" borderId="11" xfId="2" applyFont="1" applyFill="1" applyBorder="1" applyAlignment="1">
      <alignment horizontal="center" vertical="center" wrapText="1"/>
    </xf>
    <xf numFmtId="0" fontId="5" fillId="6" borderId="11" xfId="6" applyFont="1" applyFill="1" applyBorder="1" applyAlignment="1">
      <alignment vertical="top" wrapText="1"/>
    </xf>
    <xf numFmtId="0" fontId="13" fillId="3" borderId="12" xfId="6" applyFont="1" applyFill="1" applyBorder="1" applyAlignment="1">
      <alignment horizontal="left" vertical="top"/>
    </xf>
    <xf numFmtId="0" fontId="13" fillId="3" borderId="12" xfId="6" applyFont="1" applyFill="1" applyBorder="1" applyAlignment="1">
      <alignment vertical="top"/>
    </xf>
    <xf numFmtId="167" fontId="13" fillId="3" borderId="12" xfId="6" applyNumberFormat="1" applyFont="1" applyFill="1" applyBorder="1" applyAlignment="1">
      <alignment horizontal="right" vertical="top"/>
    </xf>
    <xf numFmtId="44" fontId="13" fillId="3" borderId="12" xfId="2" applyFont="1" applyFill="1" applyBorder="1" applyAlignment="1">
      <alignment horizontal="right" vertical="top"/>
    </xf>
    <xf numFmtId="4" fontId="13" fillId="3" borderId="12" xfId="6" applyNumberFormat="1" applyFont="1" applyFill="1" applyBorder="1" applyAlignment="1">
      <alignment horizontal="right" vertical="top"/>
    </xf>
    <xf numFmtId="43" fontId="13" fillId="3" borderId="12" xfId="1" applyFont="1" applyFill="1" applyBorder="1" applyAlignment="1">
      <alignment horizontal="right" vertical="top"/>
    </xf>
    <xf numFmtId="44" fontId="5" fillId="3" borderId="12" xfId="2" applyFont="1" applyFill="1" applyBorder="1" applyAlignment="1">
      <alignment horizontal="right" vertical="top"/>
    </xf>
    <xf numFmtId="0" fontId="13" fillId="3" borderId="14" xfId="6" applyFont="1" applyFill="1" applyBorder="1" applyAlignment="1">
      <alignment horizontal="left" vertical="top"/>
    </xf>
    <xf numFmtId="0" fontId="13" fillId="3" borderId="14" xfId="6" applyFont="1" applyFill="1" applyBorder="1" applyAlignment="1">
      <alignment vertical="top"/>
    </xf>
    <xf numFmtId="167" fontId="13" fillId="3" borderId="14" xfId="6" applyNumberFormat="1" applyFont="1" applyFill="1" applyBorder="1" applyAlignment="1">
      <alignment horizontal="right" vertical="top"/>
    </xf>
    <xf numFmtId="44" fontId="13" fillId="3" borderId="14" xfId="2" applyFont="1" applyFill="1" applyBorder="1" applyAlignment="1">
      <alignment horizontal="right" vertical="top"/>
    </xf>
    <xf numFmtId="4" fontId="13" fillId="3" borderId="14" xfId="6" applyNumberFormat="1" applyFont="1" applyFill="1" applyBorder="1" applyAlignment="1">
      <alignment horizontal="right" vertical="top"/>
    </xf>
    <xf numFmtId="43" fontId="13" fillId="3" borderId="14" xfId="1" applyFont="1" applyFill="1" applyBorder="1" applyAlignment="1">
      <alignment horizontal="right" vertical="top"/>
    </xf>
    <xf numFmtId="44" fontId="5" fillId="3" borderId="14" xfId="2" applyFont="1" applyFill="1" applyBorder="1" applyAlignment="1">
      <alignment horizontal="right" vertical="top"/>
    </xf>
    <xf numFmtId="0" fontId="13" fillId="4" borderId="13" xfId="6" applyFont="1" applyFill="1" applyBorder="1" applyAlignment="1">
      <alignment horizontal="left" vertical="top"/>
    </xf>
    <xf numFmtId="0" fontId="5" fillId="4" borderId="13" xfId="6" applyFont="1" applyFill="1" applyBorder="1" applyAlignment="1">
      <alignment vertical="top"/>
    </xf>
    <xf numFmtId="167" fontId="5" fillId="4" borderId="13" xfId="6" applyNumberFormat="1" applyFont="1" applyFill="1" applyBorder="1" applyAlignment="1">
      <alignment horizontal="right" vertical="top"/>
    </xf>
    <xf numFmtId="44" fontId="5" fillId="4" borderId="13" xfId="2" applyFont="1" applyFill="1" applyBorder="1" applyAlignment="1">
      <alignment horizontal="right" vertical="top"/>
    </xf>
    <xf numFmtId="4" fontId="13" fillId="4" borderId="13" xfId="6" applyNumberFormat="1" applyFont="1" applyFill="1" applyBorder="1" applyAlignment="1">
      <alignment horizontal="right" vertical="top"/>
    </xf>
    <xf numFmtId="43" fontId="5" fillId="4" borderId="13" xfId="1" applyFont="1" applyFill="1" applyBorder="1" applyAlignment="1">
      <alignment horizontal="right" vertical="top"/>
    </xf>
    <xf numFmtId="3" fontId="13" fillId="4" borderId="13" xfId="6" applyNumberFormat="1" applyFont="1" applyFill="1" applyBorder="1" applyAlignment="1">
      <alignment horizontal="right" vertical="top"/>
    </xf>
    <xf numFmtId="0" fontId="13" fillId="4" borderId="12" xfId="6" applyFont="1" applyFill="1" applyBorder="1" applyAlignment="1">
      <alignment horizontal="left" vertical="top"/>
    </xf>
    <xf numFmtId="0" fontId="5" fillId="4" borderId="12" xfId="6" applyFont="1" applyFill="1" applyBorder="1" applyAlignment="1">
      <alignment vertical="top"/>
    </xf>
    <xf numFmtId="3" fontId="5" fillId="4" borderId="12" xfId="6" applyNumberFormat="1" applyFont="1" applyFill="1" applyBorder="1" applyAlignment="1">
      <alignment horizontal="right" vertical="top"/>
    </xf>
    <xf numFmtId="44" fontId="5" fillId="4" borderId="12" xfId="2" applyFont="1" applyFill="1" applyBorder="1" applyAlignment="1">
      <alignment horizontal="right" vertical="top"/>
    </xf>
    <xf numFmtId="3" fontId="13" fillId="4" borderId="12" xfId="6" applyNumberFormat="1" applyFont="1" applyFill="1" applyBorder="1" applyAlignment="1">
      <alignment horizontal="right" vertical="top"/>
    </xf>
    <xf numFmtId="0" fontId="13" fillId="0" borderId="15" xfId="6" applyFont="1" applyFill="1" applyBorder="1" applyAlignment="1">
      <alignment horizontal="left" vertical="top"/>
    </xf>
    <xf numFmtId="0" fontId="5" fillId="0" borderId="15" xfId="6" applyFont="1" applyFill="1" applyBorder="1" applyAlignment="1">
      <alignment vertical="top"/>
    </xf>
    <xf numFmtId="167" fontId="5" fillId="0" borderId="15" xfId="6" applyNumberFormat="1" applyFont="1" applyFill="1" applyBorder="1" applyAlignment="1">
      <alignment horizontal="right" vertical="top"/>
    </xf>
    <xf numFmtId="44" fontId="5" fillId="0" borderId="15" xfId="2" applyFont="1" applyFill="1" applyBorder="1" applyAlignment="1">
      <alignment horizontal="right" vertical="top"/>
    </xf>
    <xf numFmtId="3" fontId="13" fillId="0" borderId="15" xfId="6" applyNumberFormat="1" applyFont="1" applyFill="1" applyBorder="1" applyAlignment="1">
      <alignment horizontal="right" vertical="top"/>
    </xf>
    <xf numFmtId="43" fontId="5" fillId="0" borderId="15" xfId="1" applyFont="1" applyFill="1" applyBorder="1" applyAlignment="1">
      <alignment horizontal="right" vertical="top"/>
    </xf>
    <xf numFmtId="0" fontId="6" fillId="0" borderId="0" xfId="6" applyFill="1"/>
    <xf numFmtId="0" fontId="5" fillId="3" borderId="11" xfId="0" applyFont="1" applyFill="1" applyBorder="1" applyAlignment="1">
      <alignment vertical="top" wrapText="1"/>
    </xf>
    <xf numFmtId="0" fontId="7" fillId="4" borderId="11" xfId="3" applyFont="1" applyFill="1" applyBorder="1" applyAlignment="1">
      <alignment horizontal="center" vertical="top" wrapText="1"/>
    </xf>
    <xf numFmtId="0" fontId="23" fillId="4" borderId="0" xfId="6" applyFont="1" applyFill="1" applyAlignment="1">
      <alignment horizontal="center" vertical="center" wrapText="1"/>
    </xf>
    <xf numFmtId="0" fontId="7" fillId="4" borderId="0" xfId="6" applyFont="1" applyFill="1" applyAlignment="1">
      <alignment horizontal="center" vertical="center" wrapText="1"/>
    </xf>
    <xf numFmtId="0" fontId="7" fillId="6" borderId="0" xfId="6" applyFont="1" applyFill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2" fontId="7" fillId="6" borderId="0" xfId="6" applyNumberFormat="1" applyFont="1" applyFill="1" applyAlignment="1">
      <alignment horizontal="center" vertical="center" wrapText="1"/>
    </xf>
    <xf numFmtId="0" fontId="27" fillId="7" borderId="0" xfId="6" applyFont="1" applyFill="1" applyAlignment="1">
      <alignment horizontal="center" vertical="center" wrapText="1"/>
    </xf>
    <xf numFmtId="1" fontId="27" fillId="7" borderId="0" xfId="6" applyNumberFormat="1" applyFont="1" applyFill="1" applyAlignment="1">
      <alignment horizontal="center" vertical="center" wrapText="1"/>
    </xf>
    <xf numFmtId="0" fontId="7" fillId="8" borderId="0" xfId="6" applyFont="1" applyFill="1" applyAlignment="1">
      <alignment horizontal="center" vertical="center" wrapText="1"/>
    </xf>
    <xf numFmtId="0" fontId="7" fillId="10" borderId="0" xfId="6" applyFont="1" applyFill="1" applyAlignment="1">
      <alignment horizontal="center" vertical="center" wrapText="1"/>
    </xf>
    <xf numFmtId="0" fontId="7" fillId="10" borderId="10" xfId="6" applyFont="1" applyFill="1" applyBorder="1" applyAlignment="1">
      <alignment horizontal="center" vertical="center" wrapText="1"/>
    </xf>
    <xf numFmtId="0" fontId="23" fillId="8" borderId="0" xfId="6" applyFont="1" applyFill="1" applyAlignment="1">
      <alignment horizontal="center"/>
    </xf>
    <xf numFmtId="0" fontId="23" fillId="6" borderId="0" xfId="6" applyFont="1" applyFill="1" applyAlignment="1">
      <alignment horizontal="center"/>
    </xf>
    <xf numFmtId="0" fontId="7" fillId="4" borderId="0" xfId="6" applyFont="1" applyFill="1" applyAlignment="1">
      <alignment horizontal="center"/>
    </xf>
    <xf numFmtId="0" fontId="24" fillId="7" borderId="0" xfId="6" applyFont="1" applyFill="1" applyAlignment="1">
      <alignment horizontal="center" vertical="center"/>
    </xf>
    <xf numFmtId="0" fontId="23" fillId="0" borderId="0" xfId="6" applyFont="1" applyAlignment="1">
      <alignment horizontal="center"/>
    </xf>
    <xf numFmtId="0" fontId="7" fillId="6" borderId="0" xfId="6" applyFont="1" applyFill="1" applyAlignment="1">
      <alignment horizontal="center"/>
    </xf>
    <xf numFmtId="9" fontId="7" fillId="4" borderId="0" xfId="7" applyFont="1" applyFill="1" applyAlignment="1">
      <alignment horizontal="center"/>
    </xf>
    <xf numFmtId="0" fontId="7" fillId="0" borderId="0" xfId="6" applyFont="1" applyAlignment="1">
      <alignment horizontal="left"/>
    </xf>
    <xf numFmtId="9" fontId="6" fillId="0" borderId="0" xfId="7" applyFont="1" applyFill="1" applyAlignment="1">
      <alignment horizontal="center"/>
    </xf>
    <xf numFmtId="2" fontId="7" fillId="4" borderId="0" xfId="6" applyNumberFormat="1" applyFont="1" applyFill="1" applyAlignment="1">
      <alignment horizontal="center" vertical="center" wrapText="1"/>
    </xf>
    <xf numFmtId="165" fontId="27" fillId="7" borderId="0" xfId="8" applyNumberFormat="1" applyFont="1" applyFill="1" applyAlignment="1">
      <alignment horizontal="center" vertical="center" wrapText="1"/>
    </xf>
    <xf numFmtId="0" fontId="7" fillId="6" borderId="0" xfId="6" applyFont="1" applyFill="1" applyAlignment="1">
      <alignment horizontal="left"/>
    </xf>
  </cellXfs>
  <cellStyles count="14">
    <cellStyle name="Comma" xfId="1" builtinId="3"/>
    <cellStyle name="Comma 2" xfId="8" xr:uid="{34619EEF-6AE6-44BB-9CB0-052167D54113}"/>
    <cellStyle name="Comma 3" xfId="4" xr:uid="{6FC02DB3-5DCD-4036-8036-E09C88C5D88E}"/>
    <cellStyle name="Currency" xfId="2" builtinId="4"/>
    <cellStyle name="Currency 2" xfId="5" xr:uid="{EAD9BDED-4778-42C2-887C-5E24DC6B9092}"/>
    <cellStyle name="Currency 3" xfId="9" xr:uid="{0AEEEA8F-CEEC-4DBB-9F61-4546A3842B9F}"/>
    <cellStyle name="Currency 6" xfId="13" xr:uid="{AAA90E1F-DE8D-4DF4-9199-59104D7EFF00}"/>
    <cellStyle name="Hyperlink" xfId="10" builtinId="8"/>
    <cellStyle name="Normal" xfId="0" builtinId="0"/>
    <cellStyle name="Normal 2" xfId="6" xr:uid="{46E43C31-530C-495E-9AAB-96FB409A7026}"/>
    <cellStyle name="Normal 5" xfId="3" xr:uid="{4E1B64F6-51B8-49D0-9052-FD45F9A378D6}"/>
    <cellStyle name="Normal 7" xfId="12" xr:uid="{E9834152-EC33-448A-9CDE-34D6B4269BEC}"/>
    <cellStyle name="Percent 2" xfId="7" xr:uid="{CCB84B1D-F9A3-497F-B576-B91A53B70769}"/>
    <cellStyle name="Percent 7" xfId="11" xr:uid="{4834D0B9-074B-48F3-A3DE-CD9311A6311A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B5E6-3C8C-45A3-8A10-77182A17ADA8}">
  <sheetPr>
    <tabColor rgb="FFFFFF00"/>
  </sheetPr>
  <dimension ref="A1:M2354"/>
  <sheetViews>
    <sheetView topLeftCell="B1" workbookViewId="0">
      <pane ySplit="8" topLeftCell="A9" activePane="bottomLeft" state="frozen"/>
      <selection pane="bottomLeft" activeCell="D23" sqref="D23"/>
    </sheetView>
  </sheetViews>
  <sheetFormatPr defaultColWidth="9.109375" defaultRowHeight="15" x14ac:dyDescent="0.25"/>
  <cols>
    <col min="1" max="1" width="5.44140625" style="125" hidden="1" customWidth="1"/>
    <col min="2" max="2" width="19.33203125" style="125" customWidth="1"/>
    <col min="3" max="3" width="14.6640625" style="125" hidden="1" customWidth="1"/>
    <col min="4" max="4" width="34.33203125" style="125" bestFit="1" customWidth="1"/>
    <col min="5" max="5" width="22.109375" style="125" customWidth="1"/>
    <col min="6" max="6" width="21" style="125" customWidth="1"/>
    <col min="7" max="7" width="26.5546875" style="125" customWidth="1"/>
    <col min="8" max="9" width="21" style="125" customWidth="1"/>
    <col min="10" max="11" width="9.109375" style="125"/>
    <col min="12" max="12" width="10.5546875" style="125" bestFit="1" customWidth="1"/>
    <col min="13" max="16384" width="9.109375" style="125"/>
  </cols>
  <sheetData>
    <row r="1" spans="1:13" ht="15.6" x14ac:dyDescent="0.25">
      <c r="B1" s="121"/>
      <c r="C1" s="122"/>
      <c r="D1" s="116" t="s">
        <v>487</v>
      </c>
      <c r="E1" s="123"/>
      <c r="F1" s="123"/>
      <c r="G1" s="126" t="s">
        <v>29</v>
      </c>
      <c r="H1" s="123"/>
      <c r="I1" s="124"/>
    </row>
    <row r="2" spans="1:13" x14ac:dyDescent="0.25">
      <c r="B2" s="126"/>
      <c r="C2" s="126"/>
      <c r="D2" s="127" t="s">
        <v>0</v>
      </c>
      <c r="E2" s="152">
        <f>COUNTIF(E9:E2352,"&lt;&gt;0")</f>
        <v>1738</v>
      </c>
      <c r="F2" s="152">
        <f t="shared" ref="F2:I2" si="0">COUNTIF(F9:F2352,"&lt;&gt;0")</f>
        <v>1687</v>
      </c>
      <c r="G2" s="152">
        <f t="shared" si="0"/>
        <v>301</v>
      </c>
      <c r="H2" s="152">
        <f t="shared" si="0"/>
        <v>1795</v>
      </c>
      <c r="I2" s="152">
        <f t="shared" si="0"/>
        <v>1883</v>
      </c>
    </row>
    <row r="3" spans="1:13" ht="15.6" x14ac:dyDescent="0.25">
      <c r="A3" s="128"/>
      <c r="B3" s="128"/>
      <c r="C3" s="129"/>
      <c r="D3" s="130" t="s">
        <v>28</v>
      </c>
      <c r="E3" s="131">
        <f>AVERAGEIF(E9:E2352,"&lt;&gt;0")</f>
        <v>5.3100000000000991</v>
      </c>
      <c r="F3" s="131">
        <f>AVERAGEIF(F9:F2352,"&lt;&gt;0")</f>
        <v>2.8800000000000847</v>
      </c>
      <c r="G3" s="131">
        <f>AVERAGEIF(G9:G2352,"&lt;&gt;0")</f>
        <v>26.635581395348801</v>
      </c>
      <c r="H3" s="131">
        <f>AVERAGEIF(H9:H2352,"&lt;&gt;0")</f>
        <v>2.7299999999999423</v>
      </c>
      <c r="I3" s="131">
        <f>AVERAGEIF(I9:I2352,"&lt;&gt;0")</f>
        <v>14.341476367498247</v>
      </c>
      <c r="L3" s="132"/>
    </row>
    <row r="4" spans="1:13" x14ac:dyDescent="0.25">
      <c r="A4" s="133"/>
      <c r="B4" s="133"/>
      <c r="C4" s="133"/>
      <c r="D4" s="127" t="s">
        <v>35</v>
      </c>
      <c r="E4" s="134">
        <f>Caretaking!E24</f>
        <v>479819.26649540866</v>
      </c>
      <c r="F4" s="134">
        <f>Cleaning!D17</f>
        <v>253049.18321620356</v>
      </c>
      <c r="G4" s="134">
        <f>Gas!H670</f>
        <v>418347.66119998076</v>
      </c>
      <c r="H4" s="134">
        <f>Electricity!D11</f>
        <v>255069.95002261977</v>
      </c>
      <c r="I4" s="134">
        <f>SUM(E4:H4)</f>
        <v>1406286.0609342125</v>
      </c>
      <c r="J4" s="135"/>
      <c r="K4" s="135"/>
      <c r="L4" s="135"/>
      <c r="M4" s="135"/>
    </row>
    <row r="5" spans="1:13" ht="15.6" x14ac:dyDescent="0.25">
      <c r="A5" s="133"/>
      <c r="B5" s="133"/>
      <c r="C5" s="133"/>
      <c r="D5" s="127" t="s">
        <v>34</v>
      </c>
      <c r="E5" s="136">
        <f>SUBTOTAL(9,E9:E2352)*52</f>
        <v>479896.5600000089</v>
      </c>
      <c r="F5" s="136">
        <f>SUBTOTAL(9,F9:F2352)*52</f>
        <v>252645.12000000745</v>
      </c>
      <c r="G5" s="136">
        <f t="shared" ref="G5:H5" si="1">SUBTOTAL(9,G9:G2352)*52</f>
        <v>416900.11999999947</v>
      </c>
      <c r="H5" s="136">
        <f t="shared" si="1"/>
        <v>254818.19999999463</v>
      </c>
      <c r="I5" s="120">
        <f>SUBTOTAL(9,I9:I2352)*52</f>
        <v>1404259.9999999583</v>
      </c>
    </row>
    <row r="6" spans="1:13" ht="15.6" x14ac:dyDescent="0.25">
      <c r="A6" s="118"/>
      <c r="B6" s="118"/>
      <c r="C6" s="137">
        <f>SUBTOTAL(3,C9:C2352)</f>
        <v>0</v>
      </c>
      <c r="D6" s="138" t="s">
        <v>74</v>
      </c>
      <c r="E6" s="139">
        <f>E5-E4</f>
        <v>77.293504600238521</v>
      </c>
      <c r="F6" s="139">
        <f>F5-F4</f>
        <v>-404.06321619611117</v>
      </c>
      <c r="G6" s="139">
        <f>G5-G4</f>
        <v>-1447.5411999812932</v>
      </c>
      <c r="H6" s="139">
        <f>H5-H4</f>
        <v>-251.75002262514317</v>
      </c>
      <c r="I6" s="139">
        <f>I5-I4</f>
        <v>-2026.0609342542011</v>
      </c>
      <c r="J6" s="132"/>
      <c r="K6" s="132"/>
      <c r="L6" s="132"/>
      <c r="M6" s="132"/>
    </row>
    <row r="7" spans="1:13" ht="15.6" x14ac:dyDescent="0.25">
      <c r="A7" s="137"/>
      <c r="B7" s="137"/>
      <c r="C7" s="140"/>
      <c r="D7" s="140"/>
      <c r="E7" s="240" t="s">
        <v>971</v>
      </c>
      <c r="F7" s="240"/>
      <c r="G7" s="240"/>
      <c r="H7" s="240"/>
      <c r="I7" s="240"/>
      <c r="J7" s="141"/>
    </row>
    <row r="8" spans="1:13" ht="62.4" x14ac:dyDescent="0.25">
      <c r="A8" s="142"/>
      <c r="B8" s="239" t="s">
        <v>972</v>
      </c>
      <c r="C8" s="143" t="s">
        <v>970</v>
      </c>
      <c r="D8" s="144" t="s">
        <v>982</v>
      </c>
      <c r="E8" s="119" t="s">
        <v>973</v>
      </c>
      <c r="F8" s="119" t="s">
        <v>974</v>
      </c>
      <c r="G8" s="119" t="s">
        <v>975</v>
      </c>
      <c r="H8" s="119" t="s">
        <v>976</v>
      </c>
      <c r="I8" s="119" t="s">
        <v>1</v>
      </c>
    </row>
    <row r="9" spans="1:13" ht="15.6" x14ac:dyDescent="0.25">
      <c r="A9" s="145"/>
      <c r="B9" s="146">
        <v>141</v>
      </c>
      <c r="C9" s="147"/>
      <c r="D9" s="148" t="s">
        <v>736</v>
      </c>
      <c r="E9" s="149">
        <v>5.31</v>
      </c>
      <c r="F9" s="149">
        <v>2.88</v>
      </c>
      <c r="G9" s="149">
        <v>0</v>
      </c>
      <c r="H9" s="149">
        <v>2.73</v>
      </c>
      <c r="I9" s="150">
        <v>10.92</v>
      </c>
    </row>
    <row r="10" spans="1:13" ht="15.6" x14ac:dyDescent="0.25">
      <c r="A10" s="145"/>
      <c r="B10" s="146">
        <v>2059</v>
      </c>
      <c r="C10" s="147"/>
      <c r="D10" s="148" t="s">
        <v>759</v>
      </c>
      <c r="E10" s="149">
        <v>0</v>
      </c>
      <c r="F10" s="149">
        <v>0</v>
      </c>
      <c r="G10" s="149">
        <v>0</v>
      </c>
      <c r="H10" s="149">
        <v>2.73</v>
      </c>
      <c r="I10" s="150">
        <v>2.73</v>
      </c>
    </row>
    <row r="11" spans="1:13" ht="15.6" x14ac:dyDescent="0.25">
      <c r="A11" s="145"/>
      <c r="B11" s="146">
        <v>9138</v>
      </c>
      <c r="C11" s="147"/>
      <c r="D11" s="148" t="s">
        <v>780</v>
      </c>
      <c r="E11" s="149">
        <v>5.31</v>
      </c>
      <c r="F11" s="149">
        <v>2.88</v>
      </c>
      <c r="G11" s="149">
        <v>0</v>
      </c>
      <c r="H11" s="149">
        <v>2.73</v>
      </c>
      <c r="I11" s="150">
        <v>10.92</v>
      </c>
    </row>
    <row r="12" spans="1:13" ht="15.6" x14ac:dyDescent="0.25">
      <c r="A12" s="145"/>
      <c r="B12" s="146">
        <v>13618</v>
      </c>
      <c r="C12" s="147"/>
      <c r="D12" s="148" t="s">
        <v>748</v>
      </c>
      <c r="E12" s="149">
        <v>5.31</v>
      </c>
      <c r="F12" s="149">
        <v>2.88</v>
      </c>
      <c r="G12" s="149">
        <v>0</v>
      </c>
      <c r="H12" s="149">
        <v>2.73</v>
      </c>
      <c r="I12" s="150">
        <v>10.92</v>
      </c>
    </row>
    <row r="13" spans="1:13" ht="15.6" x14ac:dyDescent="0.25">
      <c r="A13" s="145"/>
      <c r="B13" s="146">
        <v>14843</v>
      </c>
      <c r="C13" s="147"/>
      <c r="D13" s="148" t="s">
        <v>868</v>
      </c>
      <c r="E13" s="149">
        <v>5.31</v>
      </c>
      <c r="F13" s="149">
        <v>2.88</v>
      </c>
      <c r="G13" s="149">
        <v>0</v>
      </c>
      <c r="H13" s="149">
        <v>2.73</v>
      </c>
      <c r="I13" s="150">
        <v>10.92</v>
      </c>
    </row>
    <row r="14" spans="1:13" ht="15.6" x14ac:dyDescent="0.25">
      <c r="A14" s="145"/>
      <c r="B14" s="146">
        <v>15852</v>
      </c>
      <c r="C14" s="147"/>
      <c r="D14" s="148" t="s">
        <v>917</v>
      </c>
      <c r="E14" s="149">
        <v>5.31</v>
      </c>
      <c r="F14" s="149">
        <v>2.88</v>
      </c>
      <c r="G14" s="149">
        <v>0</v>
      </c>
      <c r="H14" s="149">
        <v>2.73</v>
      </c>
      <c r="I14" s="150">
        <v>10.92</v>
      </c>
    </row>
    <row r="15" spans="1:13" ht="15.6" x14ac:dyDescent="0.25">
      <c r="A15" s="145"/>
      <c r="B15" s="146">
        <v>16325</v>
      </c>
      <c r="C15" s="147"/>
      <c r="D15" s="148" t="s">
        <v>746</v>
      </c>
      <c r="E15" s="149">
        <v>5.31</v>
      </c>
      <c r="F15" s="149">
        <v>2.88</v>
      </c>
      <c r="G15" s="149">
        <v>0</v>
      </c>
      <c r="H15" s="149">
        <v>2.73</v>
      </c>
      <c r="I15" s="150">
        <v>10.92</v>
      </c>
    </row>
    <row r="16" spans="1:13" ht="15.6" x14ac:dyDescent="0.25">
      <c r="A16" s="145"/>
      <c r="B16" s="146">
        <v>18654</v>
      </c>
      <c r="C16" s="147"/>
      <c r="D16" s="148" t="s">
        <v>762</v>
      </c>
      <c r="E16" s="149">
        <v>0</v>
      </c>
      <c r="F16" s="149">
        <v>0</v>
      </c>
      <c r="G16" s="149">
        <v>0</v>
      </c>
      <c r="H16" s="149">
        <v>0</v>
      </c>
      <c r="I16" s="150">
        <v>0</v>
      </c>
    </row>
    <row r="17" spans="1:9" ht="15.6" x14ac:dyDescent="0.25">
      <c r="A17" s="145"/>
      <c r="B17" s="146">
        <v>19061</v>
      </c>
      <c r="C17" s="147"/>
      <c r="D17" s="148" t="s">
        <v>855</v>
      </c>
      <c r="E17" s="149">
        <v>5.31</v>
      </c>
      <c r="F17" s="149">
        <v>2.88</v>
      </c>
      <c r="G17" s="149">
        <v>0</v>
      </c>
      <c r="H17" s="149">
        <v>2.73</v>
      </c>
      <c r="I17" s="150">
        <v>10.92</v>
      </c>
    </row>
    <row r="18" spans="1:9" ht="15.6" x14ac:dyDescent="0.25">
      <c r="A18" s="145"/>
      <c r="B18" s="146">
        <v>19080</v>
      </c>
      <c r="C18" s="147"/>
      <c r="D18" s="148" t="s">
        <v>891</v>
      </c>
      <c r="E18" s="149">
        <v>5.31</v>
      </c>
      <c r="F18" s="149">
        <v>2.88</v>
      </c>
      <c r="G18" s="149">
        <v>0</v>
      </c>
      <c r="H18" s="149">
        <v>2.73</v>
      </c>
      <c r="I18" s="150">
        <v>10.92</v>
      </c>
    </row>
    <row r="19" spans="1:9" ht="15.6" x14ac:dyDescent="0.25">
      <c r="A19" s="145"/>
      <c r="B19" s="146">
        <v>25146</v>
      </c>
      <c r="C19" s="147"/>
      <c r="D19" s="148" t="s">
        <v>919</v>
      </c>
      <c r="E19" s="149">
        <v>0</v>
      </c>
      <c r="F19" s="149">
        <v>0</v>
      </c>
      <c r="G19" s="149">
        <v>0</v>
      </c>
      <c r="H19" s="149">
        <v>0</v>
      </c>
      <c r="I19" s="150">
        <v>0</v>
      </c>
    </row>
    <row r="20" spans="1:9" ht="15.6" x14ac:dyDescent="0.25">
      <c r="A20" s="145"/>
      <c r="B20" s="146">
        <v>28972</v>
      </c>
      <c r="C20" s="147"/>
      <c r="D20" s="148" t="s">
        <v>893</v>
      </c>
      <c r="E20" s="149">
        <v>5.31</v>
      </c>
      <c r="F20" s="149">
        <v>2.88</v>
      </c>
      <c r="G20" s="149">
        <v>0</v>
      </c>
      <c r="H20" s="149">
        <v>2.73</v>
      </c>
      <c r="I20" s="150">
        <v>10.92</v>
      </c>
    </row>
    <row r="21" spans="1:9" ht="15.6" x14ac:dyDescent="0.25">
      <c r="A21" s="145"/>
      <c r="B21" s="146">
        <v>31084</v>
      </c>
      <c r="C21" s="147"/>
      <c r="D21" s="148" t="s">
        <v>868</v>
      </c>
      <c r="E21" s="149">
        <v>5.31</v>
      </c>
      <c r="F21" s="149">
        <v>2.88</v>
      </c>
      <c r="G21" s="149">
        <v>0</v>
      </c>
      <c r="H21" s="149">
        <v>2.73</v>
      </c>
      <c r="I21" s="150">
        <v>10.92</v>
      </c>
    </row>
    <row r="22" spans="1:9" ht="15.6" x14ac:dyDescent="0.25">
      <c r="A22" s="145"/>
      <c r="B22" s="146">
        <v>33714</v>
      </c>
      <c r="C22" s="147"/>
      <c r="D22" s="148" t="s">
        <v>932</v>
      </c>
      <c r="E22" s="149">
        <v>0</v>
      </c>
      <c r="F22" s="149">
        <v>0</v>
      </c>
      <c r="G22" s="149">
        <v>0</v>
      </c>
      <c r="H22" s="149">
        <v>2.73</v>
      </c>
      <c r="I22" s="150">
        <v>2.73</v>
      </c>
    </row>
    <row r="23" spans="1:9" ht="15.6" x14ac:dyDescent="0.25">
      <c r="A23" s="145"/>
      <c r="B23" s="146">
        <v>33999</v>
      </c>
      <c r="C23" s="147"/>
      <c r="D23" s="148" t="s">
        <v>744</v>
      </c>
      <c r="E23" s="149">
        <v>0</v>
      </c>
      <c r="F23" s="149">
        <v>0</v>
      </c>
      <c r="G23" s="149">
        <v>0</v>
      </c>
      <c r="H23" s="149">
        <v>0</v>
      </c>
      <c r="I23" s="150">
        <v>0</v>
      </c>
    </row>
    <row r="24" spans="1:9" ht="15.6" x14ac:dyDescent="0.25">
      <c r="A24" s="145"/>
      <c r="B24" s="146">
        <v>39226</v>
      </c>
      <c r="C24" s="147"/>
      <c r="D24" s="148" t="s">
        <v>868</v>
      </c>
      <c r="E24" s="149">
        <v>5.31</v>
      </c>
      <c r="F24" s="149">
        <v>2.88</v>
      </c>
      <c r="G24" s="149">
        <v>0</v>
      </c>
      <c r="H24" s="149">
        <v>2.73</v>
      </c>
      <c r="I24" s="150">
        <v>10.92</v>
      </c>
    </row>
    <row r="25" spans="1:9" ht="15.6" x14ac:dyDescent="0.25">
      <c r="A25" s="145"/>
      <c r="B25" s="146">
        <v>41304</v>
      </c>
      <c r="C25" s="147"/>
      <c r="D25" s="148" t="s">
        <v>751</v>
      </c>
      <c r="E25" s="149">
        <v>0</v>
      </c>
      <c r="F25" s="149">
        <v>0</v>
      </c>
      <c r="G25" s="149">
        <v>0</v>
      </c>
      <c r="H25" s="149">
        <v>0</v>
      </c>
      <c r="I25" s="150">
        <v>0</v>
      </c>
    </row>
    <row r="26" spans="1:9" ht="15.6" x14ac:dyDescent="0.25">
      <c r="A26" s="145"/>
      <c r="B26" s="146">
        <v>41504</v>
      </c>
      <c r="C26" s="147"/>
      <c r="D26" s="148" t="s">
        <v>887</v>
      </c>
      <c r="E26" s="149">
        <v>5.31</v>
      </c>
      <c r="F26" s="149">
        <v>2.88</v>
      </c>
      <c r="G26" s="149">
        <v>0</v>
      </c>
      <c r="H26" s="149">
        <v>2.73</v>
      </c>
      <c r="I26" s="150">
        <v>10.92</v>
      </c>
    </row>
    <row r="27" spans="1:9" ht="15.6" x14ac:dyDescent="0.25">
      <c r="A27" s="145"/>
      <c r="B27" s="146">
        <v>46698</v>
      </c>
      <c r="C27" s="147"/>
      <c r="D27" s="148" t="s">
        <v>780</v>
      </c>
      <c r="E27" s="149">
        <v>5.31</v>
      </c>
      <c r="F27" s="149">
        <v>2.88</v>
      </c>
      <c r="G27" s="149">
        <v>0</v>
      </c>
      <c r="H27" s="149">
        <v>2.73</v>
      </c>
      <c r="I27" s="150">
        <v>10.92</v>
      </c>
    </row>
    <row r="28" spans="1:9" ht="15.6" x14ac:dyDescent="0.25">
      <c r="A28" s="145"/>
      <c r="B28" s="146">
        <v>51238</v>
      </c>
      <c r="C28" s="147"/>
      <c r="D28" s="148" t="s">
        <v>898</v>
      </c>
      <c r="E28" s="149">
        <v>5.31</v>
      </c>
      <c r="F28" s="149">
        <v>2.88</v>
      </c>
      <c r="G28" s="149">
        <v>0</v>
      </c>
      <c r="H28" s="149">
        <v>2.73</v>
      </c>
      <c r="I28" s="150">
        <v>10.92</v>
      </c>
    </row>
    <row r="29" spans="1:9" ht="15.6" x14ac:dyDescent="0.25">
      <c r="A29" s="145"/>
      <c r="B29" s="146">
        <v>55012</v>
      </c>
      <c r="C29" s="147"/>
      <c r="D29" s="148" t="s">
        <v>851</v>
      </c>
      <c r="E29" s="149">
        <v>5.31</v>
      </c>
      <c r="F29" s="149">
        <v>2.88</v>
      </c>
      <c r="G29" s="149">
        <v>22.66</v>
      </c>
      <c r="H29" s="149">
        <v>2.73</v>
      </c>
      <c r="I29" s="150">
        <v>33.58</v>
      </c>
    </row>
    <row r="30" spans="1:9" ht="15.6" x14ac:dyDescent="0.25">
      <c r="A30" s="145"/>
      <c r="B30" s="146">
        <v>67006</v>
      </c>
      <c r="C30" s="147"/>
      <c r="D30" s="148" t="s">
        <v>779</v>
      </c>
      <c r="E30" s="149">
        <v>5.31</v>
      </c>
      <c r="F30" s="149">
        <v>2.88</v>
      </c>
      <c r="G30" s="149">
        <v>0</v>
      </c>
      <c r="H30" s="149">
        <v>2.73</v>
      </c>
      <c r="I30" s="150">
        <v>10.92</v>
      </c>
    </row>
    <row r="31" spans="1:9" ht="15.6" x14ac:dyDescent="0.25">
      <c r="A31" s="145"/>
      <c r="B31" s="146">
        <v>68767</v>
      </c>
      <c r="C31" s="147"/>
      <c r="D31" s="148" t="s">
        <v>911</v>
      </c>
      <c r="E31" s="149">
        <v>5.31</v>
      </c>
      <c r="F31" s="149">
        <v>0</v>
      </c>
      <c r="G31" s="149">
        <v>0</v>
      </c>
      <c r="H31" s="149">
        <v>2.73</v>
      </c>
      <c r="I31" s="150">
        <v>8.0399999999999991</v>
      </c>
    </row>
    <row r="32" spans="1:9" ht="15.6" x14ac:dyDescent="0.25">
      <c r="A32" s="145"/>
      <c r="B32" s="146">
        <v>72484</v>
      </c>
      <c r="C32" s="147"/>
      <c r="D32" s="148" t="s">
        <v>737</v>
      </c>
      <c r="E32" s="149">
        <v>5.31</v>
      </c>
      <c r="F32" s="149">
        <v>2.88</v>
      </c>
      <c r="G32" s="149">
        <v>0</v>
      </c>
      <c r="H32" s="149">
        <v>2.73</v>
      </c>
      <c r="I32" s="150">
        <v>10.92</v>
      </c>
    </row>
    <row r="33" spans="1:9" ht="15.6" x14ac:dyDescent="0.25">
      <c r="A33" s="145"/>
      <c r="B33" s="146">
        <v>81126</v>
      </c>
      <c r="C33" s="147"/>
      <c r="D33" s="148" t="s">
        <v>817</v>
      </c>
      <c r="E33" s="149">
        <v>5.31</v>
      </c>
      <c r="F33" s="149">
        <v>2.88</v>
      </c>
      <c r="G33" s="149">
        <v>0</v>
      </c>
      <c r="H33" s="149">
        <v>2.73</v>
      </c>
      <c r="I33" s="150">
        <v>10.92</v>
      </c>
    </row>
    <row r="34" spans="1:9" ht="15.6" x14ac:dyDescent="0.25">
      <c r="A34" s="145"/>
      <c r="B34" s="146">
        <v>83999</v>
      </c>
      <c r="C34" s="147"/>
      <c r="D34" s="148" t="s">
        <v>883</v>
      </c>
      <c r="E34" s="149">
        <v>5.31</v>
      </c>
      <c r="F34" s="149">
        <v>2.88</v>
      </c>
      <c r="G34" s="149">
        <v>0</v>
      </c>
      <c r="H34" s="149">
        <v>2.73</v>
      </c>
      <c r="I34" s="150">
        <v>10.92</v>
      </c>
    </row>
    <row r="35" spans="1:9" ht="15.6" x14ac:dyDescent="0.25">
      <c r="A35" s="145"/>
      <c r="B35" s="146">
        <v>86220</v>
      </c>
      <c r="C35" s="147"/>
      <c r="D35" s="148" t="s">
        <v>854</v>
      </c>
      <c r="E35" s="149">
        <v>5.31</v>
      </c>
      <c r="F35" s="149">
        <v>2.88</v>
      </c>
      <c r="G35" s="149">
        <v>0</v>
      </c>
      <c r="H35" s="149">
        <v>2.73</v>
      </c>
      <c r="I35" s="150">
        <v>10.92</v>
      </c>
    </row>
    <row r="36" spans="1:9" ht="15.6" x14ac:dyDescent="0.25">
      <c r="A36" s="145"/>
      <c r="B36" s="146">
        <v>87203</v>
      </c>
      <c r="C36" s="147"/>
      <c r="D36" s="148" t="s">
        <v>851</v>
      </c>
      <c r="E36" s="149">
        <v>5.31</v>
      </c>
      <c r="F36" s="149">
        <v>2.88</v>
      </c>
      <c r="G36" s="149">
        <v>22.66</v>
      </c>
      <c r="H36" s="149">
        <v>2.73</v>
      </c>
      <c r="I36" s="150">
        <v>33.58</v>
      </c>
    </row>
    <row r="37" spans="1:9" ht="15.6" x14ac:dyDescent="0.25">
      <c r="A37" s="145"/>
      <c r="B37" s="146">
        <v>87978</v>
      </c>
      <c r="C37" s="147"/>
      <c r="D37" s="148" t="s">
        <v>857</v>
      </c>
      <c r="E37" s="149">
        <v>5.31</v>
      </c>
      <c r="F37" s="149">
        <v>2.88</v>
      </c>
      <c r="G37" s="149">
        <v>0</v>
      </c>
      <c r="H37" s="149">
        <v>2.73</v>
      </c>
      <c r="I37" s="150">
        <v>10.92</v>
      </c>
    </row>
    <row r="38" spans="1:9" ht="15.6" x14ac:dyDescent="0.25">
      <c r="A38" s="145"/>
      <c r="B38" s="146">
        <v>89186</v>
      </c>
      <c r="C38" s="147"/>
      <c r="D38" s="148" t="s">
        <v>857</v>
      </c>
      <c r="E38" s="149">
        <v>0</v>
      </c>
      <c r="F38" s="149">
        <v>0</v>
      </c>
      <c r="G38" s="149">
        <v>0</v>
      </c>
      <c r="H38" s="149">
        <v>0</v>
      </c>
      <c r="I38" s="150">
        <v>0</v>
      </c>
    </row>
    <row r="39" spans="1:9" ht="15.6" x14ac:dyDescent="0.25">
      <c r="A39" s="145"/>
      <c r="B39" s="146">
        <v>103030</v>
      </c>
      <c r="C39" s="147"/>
      <c r="D39" s="148" t="s">
        <v>831</v>
      </c>
      <c r="E39" s="149">
        <v>5.31</v>
      </c>
      <c r="F39" s="149">
        <v>2.88</v>
      </c>
      <c r="G39" s="149">
        <v>0</v>
      </c>
      <c r="H39" s="149">
        <v>2.73</v>
      </c>
      <c r="I39" s="150">
        <v>10.92</v>
      </c>
    </row>
    <row r="40" spans="1:9" ht="15.6" x14ac:dyDescent="0.25">
      <c r="A40" s="145"/>
      <c r="B40" s="146">
        <v>114859</v>
      </c>
      <c r="C40" s="147"/>
      <c r="D40" s="148" t="s">
        <v>763</v>
      </c>
      <c r="E40" s="149">
        <v>5.31</v>
      </c>
      <c r="F40" s="149">
        <v>0</v>
      </c>
      <c r="G40" s="149">
        <v>0</v>
      </c>
      <c r="H40" s="149">
        <v>0</v>
      </c>
      <c r="I40" s="150">
        <v>5.31</v>
      </c>
    </row>
    <row r="41" spans="1:9" ht="15.6" x14ac:dyDescent="0.25">
      <c r="A41" s="145"/>
      <c r="B41" s="146">
        <v>115925</v>
      </c>
      <c r="C41" s="147"/>
      <c r="D41" s="148" t="s">
        <v>900</v>
      </c>
      <c r="E41" s="149">
        <v>5.31</v>
      </c>
      <c r="F41" s="149">
        <v>2.88</v>
      </c>
      <c r="G41" s="149">
        <v>0</v>
      </c>
      <c r="H41" s="149">
        <v>2.73</v>
      </c>
      <c r="I41" s="150">
        <v>10.92</v>
      </c>
    </row>
    <row r="42" spans="1:9" ht="15.6" x14ac:dyDescent="0.25">
      <c r="A42" s="145"/>
      <c r="B42" s="146">
        <v>119953</v>
      </c>
      <c r="C42" s="147"/>
      <c r="D42" s="148" t="s">
        <v>868</v>
      </c>
      <c r="E42" s="149">
        <v>5.31</v>
      </c>
      <c r="F42" s="149">
        <v>2.88</v>
      </c>
      <c r="G42" s="149">
        <v>0</v>
      </c>
      <c r="H42" s="149">
        <v>2.73</v>
      </c>
      <c r="I42" s="150">
        <v>10.92</v>
      </c>
    </row>
    <row r="43" spans="1:9" ht="15.6" x14ac:dyDescent="0.25">
      <c r="A43" s="145"/>
      <c r="B43" s="146">
        <v>130864</v>
      </c>
      <c r="C43" s="147"/>
      <c r="D43" s="148" t="s">
        <v>900</v>
      </c>
      <c r="E43" s="149">
        <v>5.31</v>
      </c>
      <c r="F43" s="149">
        <v>2.88</v>
      </c>
      <c r="G43" s="149">
        <v>0</v>
      </c>
      <c r="H43" s="149">
        <v>2.73</v>
      </c>
      <c r="I43" s="150">
        <v>10.92</v>
      </c>
    </row>
    <row r="44" spans="1:9" ht="15.6" x14ac:dyDescent="0.25">
      <c r="A44" s="145"/>
      <c r="B44" s="146">
        <v>131893</v>
      </c>
      <c r="C44" s="147"/>
      <c r="D44" s="148" t="s">
        <v>780</v>
      </c>
      <c r="E44" s="149">
        <v>5.31</v>
      </c>
      <c r="F44" s="149">
        <v>2.88</v>
      </c>
      <c r="G44" s="149">
        <v>0</v>
      </c>
      <c r="H44" s="149">
        <v>2.73</v>
      </c>
      <c r="I44" s="150">
        <v>10.92</v>
      </c>
    </row>
    <row r="45" spans="1:9" ht="15.6" x14ac:dyDescent="0.25">
      <c r="A45" s="145"/>
      <c r="B45" s="146">
        <v>135491</v>
      </c>
      <c r="C45" s="147"/>
      <c r="D45" s="148" t="s">
        <v>781</v>
      </c>
      <c r="E45" s="149">
        <v>5.31</v>
      </c>
      <c r="F45" s="149">
        <v>2.88</v>
      </c>
      <c r="G45" s="149">
        <v>0</v>
      </c>
      <c r="H45" s="149">
        <v>2.73</v>
      </c>
      <c r="I45" s="150">
        <v>10.92</v>
      </c>
    </row>
    <row r="46" spans="1:9" ht="15.6" x14ac:dyDescent="0.25">
      <c r="A46" s="145"/>
      <c r="B46" s="146">
        <v>136245</v>
      </c>
      <c r="C46" s="147"/>
      <c r="D46" s="148" t="s">
        <v>823</v>
      </c>
      <c r="E46" s="149">
        <v>5.31</v>
      </c>
      <c r="F46" s="149">
        <v>2.88</v>
      </c>
      <c r="G46" s="149">
        <v>0</v>
      </c>
      <c r="H46" s="149">
        <v>2.73</v>
      </c>
      <c r="I46" s="150">
        <v>10.92</v>
      </c>
    </row>
    <row r="47" spans="1:9" ht="15.6" x14ac:dyDescent="0.25">
      <c r="A47" s="145"/>
      <c r="B47" s="146">
        <v>141077</v>
      </c>
      <c r="C47" s="147"/>
      <c r="D47" s="148" t="s">
        <v>789</v>
      </c>
      <c r="E47" s="149">
        <v>5.31</v>
      </c>
      <c r="F47" s="149">
        <v>2.88</v>
      </c>
      <c r="G47" s="149">
        <v>18.260000000000002</v>
      </c>
      <c r="H47" s="149">
        <v>2.73</v>
      </c>
      <c r="I47" s="150">
        <v>29.180000000000003</v>
      </c>
    </row>
    <row r="48" spans="1:9" ht="15.6" x14ac:dyDescent="0.25">
      <c r="A48" s="145"/>
      <c r="B48" s="146">
        <v>151535</v>
      </c>
      <c r="C48" s="147"/>
      <c r="D48" s="148" t="s">
        <v>925</v>
      </c>
      <c r="E48" s="149">
        <v>5.31</v>
      </c>
      <c r="F48" s="149">
        <v>2.88</v>
      </c>
      <c r="G48" s="149">
        <v>0</v>
      </c>
      <c r="H48" s="149">
        <v>0</v>
      </c>
      <c r="I48" s="150">
        <v>8.19</v>
      </c>
    </row>
    <row r="49" spans="1:9" ht="15.6" x14ac:dyDescent="0.25">
      <c r="A49" s="145"/>
      <c r="B49" s="146">
        <v>151906</v>
      </c>
      <c r="C49" s="147"/>
      <c r="D49" s="148" t="s">
        <v>816</v>
      </c>
      <c r="E49" s="149">
        <v>5.31</v>
      </c>
      <c r="F49" s="149">
        <v>2.88</v>
      </c>
      <c r="G49" s="149">
        <v>0</v>
      </c>
      <c r="H49" s="149">
        <v>2.73</v>
      </c>
      <c r="I49" s="150">
        <v>10.92</v>
      </c>
    </row>
    <row r="50" spans="1:9" ht="15.6" x14ac:dyDescent="0.25">
      <c r="A50" s="145"/>
      <c r="B50" s="146">
        <v>163262</v>
      </c>
      <c r="C50" s="147"/>
      <c r="D50" s="148" t="s">
        <v>827</v>
      </c>
      <c r="E50" s="149">
        <v>5.31</v>
      </c>
      <c r="F50" s="149">
        <v>2.88</v>
      </c>
      <c r="G50" s="149">
        <v>0</v>
      </c>
      <c r="H50" s="149">
        <v>2.73</v>
      </c>
      <c r="I50" s="150">
        <v>10.92</v>
      </c>
    </row>
    <row r="51" spans="1:9" ht="15.6" x14ac:dyDescent="0.25">
      <c r="A51" s="145"/>
      <c r="B51" s="146">
        <v>164288</v>
      </c>
      <c r="C51" s="147"/>
      <c r="D51" s="148" t="s">
        <v>871</v>
      </c>
      <c r="E51" s="149">
        <v>5.31</v>
      </c>
      <c r="F51" s="149">
        <v>2.88</v>
      </c>
      <c r="G51" s="149">
        <v>0</v>
      </c>
      <c r="H51" s="149">
        <v>2.73</v>
      </c>
      <c r="I51" s="150">
        <v>10.92</v>
      </c>
    </row>
    <row r="52" spans="1:9" ht="15.6" x14ac:dyDescent="0.25">
      <c r="A52" s="145"/>
      <c r="B52" s="146">
        <v>166135</v>
      </c>
      <c r="C52" s="147"/>
      <c r="D52" s="148" t="s">
        <v>790</v>
      </c>
      <c r="E52" s="149">
        <v>5.31</v>
      </c>
      <c r="F52" s="149">
        <v>2.88</v>
      </c>
      <c r="G52" s="149">
        <v>24.03</v>
      </c>
      <c r="H52" s="149">
        <v>2.73</v>
      </c>
      <c r="I52" s="150">
        <v>34.949999999999996</v>
      </c>
    </row>
    <row r="53" spans="1:9" ht="15.6" x14ac:dyDescent="0.25">
      <c r="A53" s="145"/>
      <c r="B53" s="146">
        <v>166562</v>
      </c>
      <c r="C53" s="147"/>
      <c r="D53" s="148" t="s">
        <v>921</v>
      </c>
      <c r="E53" s="149">
        <v>5.31</v>
      </c>
      <c r="F53" s="149">
        <v>2.88</v>
      </c>
      <c r="G53" s="149">
        <v>0</v>
      </c>
      <c r="H53" s="149">
        <v>2.73</v>
      </c>
      <c r="I53" s="150">
        <v>10.92</v>
      </c>
    </row>
    <row r="54" spans="1:9" ht="15.6" x14ac:dyDescent="0.25">
      <c r="A54" s="145"/>
      <c r="B54" s="146">
        <v>174761</v>
      </c>
      <c r="C54" s="147"/>
      <c r="D54" s="148" t="s">
        <v>864</v>
      </c>
      <c r="E54" s="149">
        <v>5.31</v>
      </c>
      <c r="F54" s="149">
        <v>2.88</v>
      </c>
      <c r="G54" s="149">
        <v>0</v>
      </c>
      <c r="H54" s="149">
        <v>2.73</v>
      </c>
      <c r="I54" s="150">
        <v>10.92</v>
      </c>
    </row>
    <row r="55" spans="1:9" ht="15.6" x14ac:dyDescent="0.25">
      <c r="A55" s="145"/>
      <c r="B55" s="146">
        <v>175485</v>
      </c>
      <c r="C55" s="147"/>
      <c r="D55" s="148" t="s">
        <v>790</v>
      </c>
      <c r="E55" s="149">
        <v>5.31</v>
      </c>
      <c r="F55" s="149">
        <v>2.88</v>
      </c>
      <c r="G55" s="149">
        <v>18.260000000000002</v>
      </c>
      <c r="H55" s="149">
        <v>2.73</v>
      </c>
      <c r="I55" s="150">
        <v>29.180000000000003</v>
      </c>
    </row>
    <row r="56" spans="1:9" ht="15.6" x14ac:dyDescent="0.25">
      <c r="A56" s="145"/>
      <c r="B56" s="146">
        <v>177973</v>
      </c>
      <c r="C56" s="147"/>
      <c r="D56" s="148" t="s">
        <v>919</v>
      </c>
      <c r="E56" s="149">
        <v>5.31</v>
      </c>
      <c r="F56" s="149">
        <v>2.88</v>
      </c>
      <c r="G56" s="149">
        <v>0</v>
      </c>
      <c r="H56" s="149">
        <v>2.73</v>
      </c>
      <c r="I56" s="150">
        <v>10.92</v>
      </c>
    </row>
    <row r="57" spans="1:9" ht="15.6" x14ac:dyDescent="0.25">
      <c r="A57" s="145"/>
      <c r="B57" s="146">
        <v>179898</v>
      </c>
      <c r="C57" s="147"/>
      <c r="D57" s="148" t="s">
        <v>716</v>
      </c>
      <c r="E57" s="149">
        <v>0</v>
      </c>
      <c r="F57" s="149">
        <v>0</v>
      </c>
      <c r="G57" s="149">
        <v>0</v>
      </c>
      <c r="H57" s="149">
        <v>0</v>
      </c>
      <c r="I57" s="150">
        <v>0</v>
      </c>
    </row>
    <row r="58" spans="1:9" ht="15.6" x14ac:dyDescent="0.25">
      <c r="A58" s="145"/>
      <c r="B58" s="146">
        <v>192062</v>
      </c>
      <c r="C58" s="147"/>
      <c r="D58" s="148" t="s">
        <v>745</v>
      </c>
      <c r="E58" s="149">
        <v>5.31</v>
      </c>
      <c r="F58" s="149">
        <v>2.88</v>
      </c>
      <c r="G58" s="149">
        <v>0</v>
      </c>
      <c r="H58" s="149">
        <v>2.73</v>
      </c>
      <c r="I58" s="150">
        <v>10.92</v>
      </c>
    </row>
    <row r="59" spans="1:9" ht="15.6" x14ac:dyDescent="0.25">
      <c r="A59" s="145"/>
      <c r="B59" s="146">
        <v>192171</v>
      </c>
      <c r="C59" s="147"/>
      <c r="D59" s="148" t="s">
        <v>787</v>
      </c>
      <c r="E59" s="149">
        <v>5.31</v>
      </c>
      <c r="F59" s="149">
        <v>2.88</v>
      </c>
      <c r="G59" s="149">
        <v>18.260000000000002</v>
      </c>
      <c r="H59" s="149">
        <v>2.73</v>
      </c>
      <c r="I59" s="150">
        <v>29.180000000000003</v>
      </c>
    </row>
    <row r="60" spans="1:9" ht="15.6" x14ac:dyDescent="0.25">
      <c r="A60" s="145"/>
      <c r="B60" s="146">
        <v>192684</v>
      </c>
      <c r="C60" s="147"/>
      <c r="D60" s="148" t="s">
        <v>912</v>
      </c>
      <c r="E60" s="149">
        <v>5.31</v>
      </c>
      <c r="F60" s="149">
        <v>2.88</v>
      </c>
      <c r="G60" s="149">
        <v>0</v>
      </c>
      <c r="H60" s="149">
        <v>2.73</v>
      </c>
      <c r="I60" s="150">
        <v>10.92</v>
      </c>
    </row>
    <row r="61" spans="1:9" ht="15.6" x14ac:dyDescent="0.25">
      <c r="A61" s="145"/>
      <c r="B61" s="146">
        <v>194195</v>
      </c>
      <c r="C61" s="147"/>
      <c r="D61" s="148" t="s">
        <v>773</v>
      </c>
      <c r="E61" s="149">
        <v>5.31</v>
      </c>
      <c r="F61" s="149">
        <v>2.88</v>
      </c>
      <c r="G61" s="149">
        <v>0</v>
      </c>
      <c r="H61" s="149">
        <v>2.73</v>
      </c>
      <c r="I61" s="150">
        <v>10.92</v>
      </c>
    </row>
    <row r="62" spans="1:9" ht="15.6" x14ac:dyDescent="0.25">
      <c r="A62" s="145"/>
      <c r="B62" s="146">
        <v>195497</v>
      </c>
      <c r="C62" s="147"/>
      <c r="D62" s="148" t="s">
        <v>925</v>
      </c>
      <c r="E62" s="149">
        <v>5.31</v>
      </c>
      <c r="F62" s="149">
        <v>2.88</v>
      </c>
      <c r="G62" s="149">
        <v>0</v>
      </c>
      <c r="H62" s="149">
        <v>2.73</v>
      </c>
      <c r="I62" s="150">
        <v>10.92</v>
      </c>
    </row>
    <row r="63" spans="1:9" ht="15.6" x14ac:dyDescent="0.25">
      <c r="A63" s="145"/>
      <c r="B63" s="146">
        <v>198422</v>
      </c>
      <c r="C63" s="147"/>
      <c r="D63" s="148" t="s">
        <v>868</v>
      </c>
      <c r="E63" s="149">
        <v>5.31</v>
      </c>
      <c r="F63" s="149">
        <v>2.88</v>
      </c>
      <c r="G63" s="149">
        <v>0</v>
      </c>
      <c r="H63" s="149">
        <v>2.73</v>
      </c>
      <c r="I63" s="150">
        <v>10.92</v>
      </c>
    </row>
    <row r="64" spans="1:9" ht="15.6" x14ac:dyDescent="0.25">
      <c r="A64" s="145"/>
      <c r="B64" s="146">
        <v>200638</v>
      </c>
      <c r="C64" s="147"/>
      <c r="D64" s="148" t="s">
        <v>857</v>
      </c>
      <c r="E64" s="149">
        <v>5.31</v>
      </c>
      <c r="F64" s="149">
        <v>2.88</v>
      </c>
      <c r="G64" s="149">
        <v>0</v>
      </c>
      <c r="H64" s="149">
        <v>2.73</v>
      </c>
      <c r="I64" s="150">
        <v>10.92</v>
      </c>
    </row>
    <row r="65" spans="1:9" ht="15.6" x14ac:dyDescent="0.25">
      <c r="A65" s="145"/>
      <c r="B65" s="146">
        <v>210245</v>
      </c>
      <c r="C65" s="147"/>
      <c r="D65" s="148" t="s">
        <v>857</v>
      </c>
      <c r="E65" s="149">
        <v>5.31</v>
      </c>
      <c r="F65" s="149">
        <v>2.88</v>
      </c>
      <c r="G65" s="149">
        <v>0</v>
      </c>
      <c r="H65" s="149">
        <v>2.73</v>
      </c>
      <c r="I65" s="150">
        <v>10.92</v>
      </c>
    </row>
    <row r="66" spans="1:9" ht="15.6" x14ac:dyDescent="0.25">
      <c r="A66" s="145"/>
      <c r="B66" s="146">
        <v>210396</v>
      </c>
      <c r="C66" s="147"/>
      <c r="D66" s="148" t="s">
        <v>762</v>
      </c>
      <c r="E66" s="149">
        <v>0</v>
      </c>
      <c r="F66" s="149">
        <v>0</v>
      </c>
      <c r="G66" s="149">
        <v>0</v>
      </c>
      <c r="H66" s="149">
        <v>0</v>
      </c>
      <c r="I66" s="150">
        <v>0</v>
      </c>
    </row>
    <row r="67" spans="1:9" ht="15.6" x14ac:dyDescent="0.25">
      <c r="A67" s="145"/>
      <c r="B67" s="146">
        <v>210905</v>
      </c>
      <c r="C67" s="147"/>
      <c r="D67" s="148" t="s">
        <v>773</v>
      </c>
      <c r="E67" s="149">
        <v>5.31</v>
      </c>
      <c r="F67" s="149">
        <v>2.88</v>
      </c>
      <c r="G67" s="149">
        <v>0</v>
      </c>
      <c r="H67" s="149">
        <v>2.73</v>
      </c>
      <c r="I67" s="150">
        <v>10.92</v>
      </c>
    </row>
    <row r="68" spans="1:9" ht="15.6" x14ac:dyDescent="0.25">
      <c r="A68" s="145"/>
      <c r="B68" s="146">
        <v>215554</v>
      </c>
      <c r="C68" s="147"/>
      <c r="D68" s="148" t="s">
        <v>822</v>
      </c>
      <c r="E68" s="149">
        <v>5.31</v>
      </c>
      <c r="F68" s="149">
        <v>2.88</v>
      </c>
      <c r="G68" s="149">
        <v>0</v>
      </c>
      <c r="H68" s="149">
        <v>2.73</v>
      </c>
      <c r="I68" s="150">
        <v>10.92</v>
      </c>
    </row>
    <row r="69" spans="1:9" ht="15.6" x14ac:dyDescent="0.25">
      <c r="A69" s="145"/>
      <c r="B69" s="146">
        <v>216542</v>
      </c>
      <c r="C69" s="147"/>
      <c r="D69" s="148" t="s">
        <v>931</v>
      </c>
      <c r="E69" s="149">
        <v>5.31</v>
      </c>
      <c r="F69" s="149">
        <v>2.88</v>
      </c>
      <c r="G69" s="149">
        <v>0</v>
      </c>
      <c r="H69" s="149">
        <v>2.73</v>
      </c>
      <c r="I69" s="150">
        <v>10.92</v>
      </c>
    </row>
    <row r="70" spans="1:9" ht="15.6" x14ac:dyDescent="0.25">
      <c r="A70" s="145"/>
      <c r="B70" s="146">
        <v>223738</v>
      </c>
      <c r="C70" s="147"/>
      <c r="D70" s="148" t="s">
        <v>931</v>
      </c>
      <c r="E70" s="149">
        <v>5.31</v>
      </c>
      <c r="F70" s="149">
        <v>2.88</v>
      </c>
      <c r="G70" s="149">
        <v>0</v>
      </c>
      <c r="H70" s="149">
        <v>2.73</v>
      </c>
      <c r="I70" s="150">
        <v>10.92</v>
      </c>
    </row>
    <row r="71" spans="1:9" ht="15.6" x14ac:dyDescent="0.25">
      <c r="A71" s="145"/>
      <c r="B71" s="146">
        <v>234940</v>
      </c>
      <c r="C71" s="147"/>
      <c r="D71" s="148" t="s">
        <v>851</v>
      </c>
      <c r="E71" s="149">
        <v>5.31</v>
      </c>
      <c r="F71" s="149">
        <v>2.88</v>
      </c>
      <c r="G71" s="149">
        <v>22.66</v>
      </c>
      <c r="H71" s="149">
        <v>2.73</v>
      </c>
      <c r="I71" s="150">
        <v>33.58</v>
      </c>
    </row>
    <row r="72" spans="1:9" ht="15.6" x14ac:dyDescent="0.25">
      <c r="A72" s="145"/>
      <c r="B72" s="146">
        <v>239953</v>
      </c>
      <c r="C72" s="147"/>
      <c r="D72" s="148" t="s">
        <v>773</v>
      </c>
      <c r="E72" s="149">
        <v>5.31</v>
      </c>
      <c r="F72" s="149">
        <v>2.88</v>
      </c>
      <c r="G72" s="149">
        <v>0</v>
      </c>
      <c r="H72" s="149">
        <v>2.73</v>
      </c>
      <c r="I72" s="150">
        <v>10.92</v>
      </c>
    </row>
    <row r="73" spans="1:9" ht="15.6" x14ac:dyDescent="0.25">
      <c r="A73" s="145"/>
      <c r="B73" s="146">
        <v>241122</v>
      </c>
      <c r="C73" s="147"/>
      <c r="D73" s="148" t="s">
        <v>733</v>
      </c>
      <c r="E73" s="149">
        <v>0</v>
      </c>
      <c r="F73" s="149">
        <v>0</v>
      </c>
      <c r="G73" s="149">
        <v>0</v>
      </c>
      <c r="H73" s="149">
        <v>0</v>
      </c>
      <c r="I73" s="150">
        <v>0</v>
      </c>
    </row>
    <row r="74" spans="1:9" ht="15.6" x14ac:dyDescent="0.25">
      <c r="A74" s="145"/>
      <c r="B74" s="146">
        <v>243164</v>
      </c>
      <c r="C74" s="147"/>
      <c r="D74" s="148" t="s">
        <v>922</v>
      </c>
      <c r="E74" s="149">
        <v>5.31</v>
      </c>
      <c r="F74" s="149">
        <v>2.88</v>
      </c>
      <c r="G74" s="149">
        <v>0</v>
      </c>
      <c r="H74" s="149">
        <v>2.73</v>
      </c>
      <c r="I74" s="150">
        <v>10.92</v>
      </c>
    </row>
    <row r="75" spans="1:9" ht="15.6" x14ac:dyDescent="0.25">
      <c r="A75" s="145"/>
      <c r="B75" s="146">
        <v>248873</v>
      </c>
      <c r="C75" s="147"/>
      <c r="D75" s="148" t="s">
        <v>891</v>
      </c>
      <c r="E75" s="149">
        <v>5.31</v>
      </c>
      <c r="F75" s="149">
        <v>2.88</v>
      </c>
      <c r="G75" s="149">
        <v>0</v>
      </c>
      <c r="H75" s="149">
        <v>2.73</v>
      </c>
      <c r="I75" s="150">
        <v>10.92</v>
      </c>
    </row>
    <row r="76" spans="1:9" ht="15.6" x14ac:dyDescent="0.25">
      <c r="A76" s="145"/>
      <c r="B76" s="146">
        <v>254928</v>
      </c>
      <c r="C76" s="147"/>
      <c r="D76" s="148" t="s">
        <v>861</v>
      </c>
      <c r="E76" s="149">
        <v>0</v>
      </c>
      <c r="F76" s="149">
        <v>0</v>
      </c>
      <c r="G76" s="149">
        <v>0</v>
      </c>
      <c r="H76" s="149">
        <v>0</v>
      </c>
      <c r="I76" s="150">
        <v>0</v>
      </c>
    </row>
    <row r="77" spans="1:9" ht="15.6" x14ac:dyDescent="0.25">
      <c r="A77" s="145"/>
      <c r="B77" s="146">
        <v>258113</v>
      </c>
      <c r="C77" s="147"/>
      <c r="D77" s="148" t="s">
        <v>855</v>
      </c>
      <c r="E77" s="149">
        <v>5.31</v>
      </c>
      <c r="F77" s="149">
        <v>2.88</v>
      </c>
      <c r="G77" s="149">
        <v>0</v>
      </c>
      <c r="H77" s="149">
        <v>2.73</v>
      </c>
      <c r="I77" s="150">
        <v>10.92</v>
      </c>
    </row>
    <row r="78" spans="1:9" ht="15.6" x14ac:dyDescent="0.25">
      <c r="A78" s="145"/>
      <c r="B78" s="146">
        <v>259330</v>
      </c>
      <c r="C78" s="147"/>
      <c r="D78" s="148" t="s">
        <v>820</v>
      </c>
      <c r="E78" s="149">
        <v>5.31</v>
      </c>
      <c r="F78" s="149">
        <v>2.88</v>
      </c>
      <c r="G78" s="149">
        <v>0</v>
      </c>
      <c r="H78" s="149">
        <v>2.73</v>
      </c>
      <c r="I78" s="150">
        <v>10.92</v>
      </c>
    </row>
    <row r="79" spans="1:9" ht="15.6" x14ac:dyDescent="0.25">
      <c r="A79" s="145"/>
      <c r="B79" s="146">
        <v>261460</v>
      </c>
      <c r="C79" s="147"/>
      <c r="D79" s="148" t="s">
        <v>953</v>
      </c>
      <c r="E79" s="149">
        <v>5.31</v>
      </c>
      <c r="F79" s="149">
        <v>2.88</v>
      </c>
      <c r="G79" s="149">
        <v>0</v>
      </c>
      <c r="H79" s="149">
        <v>2.73</v>
      </c>
      <c r="I79" s="150">
        <v>10.92</v>
      </c>
    </row>
    <row r="80" spans="1:9" ht="15.6" x14ac:dyDescent="0.25">
      <c r="A80" s="145"/>
      <c r="B80" s="146">
        <v>265815</v>
      </c>
      <c r="C80" s="147"/>
      <c r="D80" s="148" t="s">
        <v>867</v>
      </c>
      <c r="E80" s="149">
        <v>5.31</v>
      </c>
      <c r="F80" s="149">
        <v>2.88</v>
      </c>
      <c r="G80" s="149">
        <v>0</v>
      </c>
      <c r="H80" s="149">
        <v>2.73</v>
      </c>
      <c r="I80" s="150">
        <v>10.92</v>
      </c>
    </row>
    <row r="81" spans="1:9" ht="15.6" x14ac:dyDescent="0.25">
      <c r="A81" s="145"/>
      <c r="B81" s="146">
        <v>266557</v>
      </c>
      <c r="C81" s="147"/>
      <c r="D81" s="148" t="s">
        <v>851</v>
      </c>
      <c r="E81" s="149">
        <v>5.31</v>
      </c>
      <c r="F81" s="149">
        <v>2.88</v>
      </c>
      <c r="G81" s="149">
        <v>22.66</v>
      </c>
      <c r="H81" s="149">
        <v>2.73</v>
      </c>
      <c r="I81" s="150">
        <v>33.58</v>
      </c>
    </row>
    <row r="82" spans="1:9" ht="15.6" x14ac:dyDescent="0.25">
      <c r="A82" s="145"/>
      <c r="B82" s="146">
        <v>271283</v>
      </c>
      <c r="C82" s="147"/>
      <c r="D82" s="148" t="s">
        <v>916</v>
      </c>
      <c r="E82" s="149">
        <v>0</v>
      </c>
      <c r="F82" s="149">
        <v>0</v>
      </c>
      <c r="G82" s="149">
        <v>0</v>
      </c>
      <c r="H82" s="149">
        <v>0</v>
      </c>
      <c r="I82" s="150">
        <v>0</v>
      </c>
    </row>
    <row r="83" spans="1:9" ht="15.6" x14ac:dyDescent="0.25">
      <c r="A83" s="145"/>
      <c r="B83" s="146">
        <v>273611</v>
      </c>
      <c r="C83" s="147"/>
      <c r="D83" s="148" t="s">
        <v>900</v>
      </c>
      <c r="E83" s="149">
        <v>5.31</v>
      </c>
      <c r="F83" s="149">
        <v>2.88</v>
      </c>
      <c r="G83" s="149">
        <v>0</v>
      </c>
      <c r="H83" s="149">
        <v>2.73</v>
      </c>
      <c r="I83" s="150">
        <v>10.92</v>
      </c>
    </row>
    <row r="84" spans="1:9" ht="15.6" x14ac:dyDescent="0.25">
      <c r="A84" s="145"/>
      <c r="B84" s="146">
        <v>280002</v>
      </c>
      <c r="C84" s="147"/>
      <c r="D84" s="148" t="s">
        <v>879</v>
      </c>
      <c r="E84" s="149">
        <v>0</v>
      </c>
      <c r="F84" s="149">
        <v>0</v>
      </c>
      <c r="G84" s="149">
        <v>0</v>
      </c>
      <c r="H84" s="149">
        <v>0</v>
      </c>
      <c r="I84" s="150">
        <v>0</v>
      </c>
    </row>
    <row r="85" spans="1:9" ht="15.6" x14ac:dyDescent="0.25">
      <c r="A85" s="145"/>
      <c r="B85" s="146">
        <v>281717</v>
      </c>
      <c r="C85" s="147"/>
      <c r="D85" s="148" t="s">
        <v>851</v>
      </c>
      <c r="E85" s="149">
        <v>5.31</v>
      </c>
      <c r="F85" s="149">
        <v>2.88</v>
      </c>
      <c r="G85" s="149">
        <v>22.66</v>
      </c>
      <c r="H85" s="149">
        <v>2.73</v>
      </c>
      <c r="I85" s="150">
        <v>33.58</v>
      </c>
    </row>
    <row r="86" spans="1:9" ht="15.6" x14ac:dyDescent="0.25">
      <c r="A86" s="145"/>
      <c r="B86" s="146">
        <v>283207</v>
      </c>
      <c r="C86" s="147"/>
      <c r="D86" s="148" t="s">
        <v>789</v>
      </c>
      <c r="E86" s="149">
        <v>5.31</v>
      </c>
      <c r="F86" s="149">
        <v>2.88</v>
      </c>
      <c r="G86" s="149">
        <v>18.260000000000002</v>
      </c>
      <c r="H86" s="149">
        <v>2.73</v>
      </c>
      <c r="I86" s="150">
        <v>29.180000000000003</v>
      </c>
    </row>
    <row r="87" spans="1:9" ht="15.6" x14ac:dyDescent="0.25">
      <c r="A87" s="145"/>
      <c r="B87" s="146">
        <v>283868</v>
      </c>
      <c r="C87" s="147"/>
      <c r="D87" s="148" t="s">
        <v>817</v>
      </c>
      <c r="E87" s="149">
        <v>5.31</v>
      </c>
      <c r="F87" s="149">
        <v>2.88</v>
      </c>
      <c r="G87" s="149">
        <v>0</v>
      </c>
      <c r="H87" s="149">
        <v>2.73</v>
      </c>
      <c r="I87" s="150">
        <v>10.92</v>
      </c>
    </row>
    <row r="88" spans="1:9" ht="15.6" x14ac:dyDescent="0.25">
      <c r="A88" s="145"/>
      <c r="B88" s="146">
        <v>285753</v>
      </c>
      <c r="C88" s="147"/>
      <c r="D88" s="148" t="s">
        <v>773</v>
      </c>
      <c r="E88" s="149">
        <v>5.31</v>
      </c>
      <c r="F88" s="149">
        <v>2.88</v>
      </c>
      <c r="G88" s="149">
        <v>0</v>
      </c>
      <c r="H88" s="149">
        <v>2.73</v>
      </c>
      <c r="I88" s="150">
        <v>10.92</v>
      </c>
    </row>
    <row r="89" spans="1:9" ht="15.6" x14ac:dyDescent="0.25">
      <c r="A89" s="145"/>
      <c r="B89" s="146">
        <v>292328</v>
      </c>
      <c r="C89" s="147"/>
      <c r="D89" s="148" t="s">
        <v>898</v>
      </c>
      <c r="E89" s="149">
        <v>5.31</v>
      </c>
      <c r="F89" s="149">
        <v>2.88</v>
      </c>
      <c r="G89" s="149">
        <v>0</v>
      </c>
      <c r="H89" s="149">
        <v>2.73</v>
      </c>
      <c r="I89" s="150">
        <v>10.92</v>
      </c>
    </row>
    <row r="90" spans="1:9" ht="15.6" x14ac:dyDescent="0.25">
      <c r="A90" s="145"/>
      <c r="B90" s="146">
        <v>295324</v>
      </c>
      <c r="C90" s="147"/>
      <c r="D90" s="148" t="s">
        <v>862</v>
      </c>
      <c r="E90" s="149">
        <v>5.31</v>
      </c>
      <c r="F90" s="149">
        <v>2.88</v>
      </c>
      <c r="G90" s="149">
        <v>0</v>
      </c>
      <c r="H90" s="149">
        <v>2.73</v>
      </c>
      <c r="I90" s="150">
        <v>10.92</v>
      </c>
    </row>
    <row r="91" spans="1:9" ht="15.6" x14ac:dyDescent="0.25">
      <c r="A91" s="145"/>
      <c r="B91" s="146">
        <v>297665</v>
      </c>
      <c r="C91" s="147"/>
      <c r="D91" s="148" t="s">
        <v>919</v>
      </c>
      <c r="E91" s="149">
        <v>5.31</v>
      </c>
      <c r="F91" s="149">
        <v>2.88</v>
      </c>
      <c r="G91" s="149">
        <v>0</v>
      </c>
      <c r="H91" s="149">
        <v>2.73</v>
      </c>
      <c r="I91" s="150">
        <v>10.92</v>
      </c>
    </row>
    <row r="92" spans="1:9" ht="15.6" x14ac:dyDescent="0.25">
      <c r="A92" s="145"/>
      <c r="B92" s="146">
        <v>299828</v>
      </c>
      <c r="C92" s="147"/>
      <c r="D92" s="148" t="s">
        <v>908</v>
      </c>
      <c r="E92" s="149">
        <v>5.31</v>
      </c>
      <c r="F92" s="149">
        <v>2.88</v>
      </c>
      <c r="G92" s="149">
        <v>0</v>
      </c>
      <c r="H92" s="149">
        <v>2.73</v>
      </c>
      <c r="I92" s="150">
        <v>10.92</v>
      </c>
    </row>
    <row r="93" spans="1:9" ht="15.6" x14ac:dyDescent="0.25">
      <c r="A93" s="145"/>
      <c r="B93" s="146">
        <v>300669</v>
      </c>
      <c r="C93" s="147"/>
      <c r="D93" s="148" t="s">
        <v>788</v>
      </c>
      <c r="E93" s="149">
        <v>5.31</v>
      </c>
      <c r="F93" s="149">
        <v>2.88</v>
      </c>
      <c r="G93" s="149">
        <v>0</v>
      </c>
      <c r="H93" s="149">
        <v>2.73</v>
      </c>
      <c r="I93" s="150">
        <v>10.92</v>
      </c>
    </row>
    <row r="94" spans="1:9" ht="15.6" x14ac:dyDescent="0.25">
      <c r="A94" s="145"/>
      <c r="B94" s="146">
        <v>301095</v>
      </c>
      <c r="C94" s="147"/>
      <c r="D94" s="148" t="s">
        <v>765</v>
      </c>
      <c r="E94" s="149">
        <v>0</v>
      </c>
      <c r="F94" s="149">
        <v>0</v>
      </c>
      <c r="G94" s="149">
        <v>0</v>
      </c>
      <c r="H94" s="149">
        <v>0</v>
      </c>
      <c r="I94" s="150">
        <v>0</v>
      </c>
    </row>
    <row r="95" spans="1:9" ht="15.6" x14ac:dyDescent="0.25">
      <c r="A95" s="145"/>
      <c r="B95" s="146">
        <v>303321</v>
      </c>
      <c r="C95" s="147"/>
      <c r="D95" s="148" t="s">
        <v>742</v>
      </c>
      <c r="E95" s="149">
        <v>5.31</v>
      </c>
      <c r="F95" s="149">
        <v>2.88</v>
      </c>
      <c r="G95" s="149">
        <v>0</v>
      </c>
      <c r="H95" s="149">
        <v>2.73</v>
      </c>
      <c r="I95" s="150">
        <v>10.92</v>
      </c>
    </row>
    <row r="96" spans="1:9" ht="15.6" x14ac:dyDescent="0.25">
      <c r="A96" s="145"/>
      <c r="B96" s="146">
        <v>311108</v>
      </c>
      <c r="C96" s="147"/>
      <c r="D96" s="148" t="s">
        <v>851</v>
      </c>
      <c r="E96" s="149">
        <v>5.31</v>
      </c>
      <c r="F96" s="149">
        <v>2.88</v>
      </c>
      <c r="G96" s="149">
        <v>22.66</v>
      </c>
      <c r="H96" s="149">
        <v>2.73</v>
      </c>
      <c r="I96" s="150">
        <v>33.58</v>
      </c>
    </row>
    <row r="97" spans="1:9" ht="15.6" x14ac:dyDescent="0.25">
      <c r="A97" s="145"/>
      <c r="B97" s="146">
        <v>311253</v>
      </c>
      <c r="C97" s="147"/>
      <c r="D97" s="148" t="s">
        <v>911</v>
      </c>
      <c r="E97" s="149">
        <v>5.31</v>
      </c>
      <c r="F97" s="149">
        <v>0</v>
      </c>
      <c r="G97" s="149">
        <v>0</v>
      </c>
      <c r="H97" s="149">
        <v>2.73</v>
      </c>
      <c r="I97" s="150">
        <v>8.0399999999999991</v>
      </c>
    </row>
    <row r="98" spans="1:9" ht="15.6" x14ac:dyDescent="0.25">
      <c r="A98" s="145"/>
      <c r="B98" s="146">
        <v>311494</v>
      </c>
      <c r="C98" s="147"/>
      <c r="D98" s="148" t="s">
        <v>789</v>
      </c>
      <c r="E98" s="149">
        <v>5.31</v>
      </c>
      <c r="F98" s="149">
        <v>2.88</v>
      </c>
      <c r="G98" s="149">
        <v>18.260000000000002</v>
      </c>
      <c r="H98" s="149">
        <v>2.73</v>
      </c>
      <c r="I98" s="150">
        <v>29.180000000000003</v>
      </c>
    </row>
    <row r="99" spans="1:9" ht="15.6" x14ac:dyDescent="0.25">
      <c r="A99" s="145"/>
      <c r="B99" s="146">
        <v>316165</v>
      </c>
      <c r="C99" s="147"/>
      <c r="D99" s="148" t="s">
        <v>782</v>
      </c>
      <c r="E99" s="149">
        <v>5.31</v>
      </c>
      <c r="F99" s="149">
        <v>2.88</v>
      </c>
      <c r="G99" s="149">
        <v>0</v>
      </c>
      <c r="H99" s="149">
        <v>2.73</v>
      </c>
      <c r="I99" s="150">
        <v>10.92</v>
      </c>
    </row>
    <row r="100" spans="1:9" ht="15.6" x14ac:dyDescent="0.25">
      <c r="A100" s="145"/>
      <c r="B100" s="146">
        <v>317887</v>
      </c>
      <c r="C100" s="147"/>
      <c r="D100" s="148" t="s">
        <v>747</v>
      </c>
      <c r="E100" s="149">
        <v>5.31</v>
      </c>
      <c r="F100" s="149">
        <v>2.88</v>
      </c>
      <c r="G100" s="149">
        <v>0</v>
      </c>
      <c r="H100" s="149">
        <v>2.73</v>
      </c>
      <c r="I100" s="150">
        <v>10.92</v>
      </c>
    </row>
    <row r="101" spans="1:9" ht="15.6" x14ac:dyDescent="0.25">
      <c r="A101" s="145"/>
      <c r="B101" s="146">
        <v>320582</v>
      </c>
      <c r="C101" s="147"/>
      <c r="D101" s="148" t="s">
        <v>780</v>
      </c>
      <c r="E101" s="149">
        <v>5.31</v>
      </c>
      <c r="F101" s="149">
        <v>2.88</v>
      </c>
      <c r="G101" s="149">
        <v>0</v>
      </c>
      <c r="H101" s="149">
        <v>2.73</v>
      </c>
      <c r="I101" s="150">
        <v>10.92</v>
      </c>
    </row>
    <row r="102" spans="1:9" ht="15.6" x14ac:dyDescent="0.25">
      <c r="A102" s="145"/>
      <c r="B102" s="146">
        <v>327696</v>
      </c>
      <c r="C102" s="147"/>
      <c r="D102" s="148" t="s">
        <v>945</v>
      </c>
      <c r="E102" s="149">
        <v>0</v>
      </c>
      <c r="F102" s="149">
        <v>0</v>
      </c>
      <c r="G102" s="149">
        <v>0</v>
      </c>
      <c r="H102" s="149">
        <v>0</v>
      </c>
      <c r="I102" s="150">
        <v>0</v>
      </c>
    </row>
    <row r="103" spans="1:9" ht="15.6" x14ac:dyDescent="0.25">
      <c r="A103" s="145"/>
      <c r="B103" s="146">
        <v>327810</v>
      </c>
      <c r="C103" s="147"/>
      <c r="D103" s="148" t="s">
        <v>753</v>
      </c>
      <c r="E103" s="149">
        <v>0</v>
      </c>
      <c r="F103" s="149">
        <v>0</v>
      </c>
      <c r="G103" s="149">
        <v>0</v>
      </c>
      <c r="H103" s="149">
        <v>2.73</v>
      </c>
      <c r="I103" s="150">
        <v>2.73</v>
      </c>
    </row>
    <row r="104" spans="1:9" ht="15.6" x14ac:dyDescent="0.25">
      <c r="A104" s="145"/>
      <c r="B104" s="146">
        <v>333058</v>
      </c>
      <c r="C104" s="147"/>
      <c r="D104" s="148" t="s">
        <v>727</v>
      </c>
      <c r="E104" s="149">
        <v>0</v>
      </c>
      <c r="F104" s="149">
        <v>0</v>
      </c>
      <c r="G104" s="149">
        <v>0</v>
      </c>
      <c r="H104" s="149">
        <v>0</v>
      </c>
      <c r="I104" s="150">
        <v>0</v>
      </c>
    </row>
    <row r="105" spans="1:9" ht="15.6" x14ac:dyDescent="0.25">
      <c r="A105" s="145"/>
      <c r="B105" s="146">
        <v>344583</v>
      </c>
      <c r="C105" s="147"/>
      <c r="D105" s="148" t="s">
        <v>787</v>
      </c>
      <c r="E105" s="149">
        <v>5.31</v>
      </c>
      <c r="F105" s="149">
        <v>2.88</v>
      </c>
      <c r="G105" s="149">
        <v>18.260000000000002</v>
      </c>
      <c r="H105" s="149">
        <v>2.73</v>
      </c>
      <c r="I105" s="150">
        <v>29.180000000000003</v>
      </c>
    </row>
    <row r="106" spans="1:9" ht="15.6" x14ac:dyDescent="0.25">
      <c r="A106" s="145"/>
      <c r="B106" s="146">
        <v>349366</v>
      </c>
      <c r="C106" s="147"/>
      <c r="D106" s="148" t="s">
        <v>851</v>
      </c>
      <c r="E106" s="149">
        <v>5.31</v>
      </c>
      <c r="F106" s="149">
        <v>2.88</v>
      </c>
      <c r="G106" s="149">
        <v>22.66</v>
      </c>
      <c r="H106" s="149">
        <v>2.73</v>
      </c>
      <c r="I106" s="150">
        <v>33.58</v>
      </c>
    </row>
    <row r="107" spans="1:9" ht="15.6" x14ac:dyDescent="0.25">
      <c r="A107" s="145"/>
      <c r="B107" s="146">
        <v>349663</v>
      </c>
      <c r="C107" s="147"/>
      <c r="D107" s="148" t="s">
        <v>911</v>
      </c>
      <c r="E107" s="149">
        <v>5.31</v>
      </c>
      <c r="F107" s="149">
        <v>0</v>
      </c>
      <c r="G107" s="149">
        <v>0</v>
      </c>
      <c r="H107" s="149">
        <v>2.73</v>
      </c>
      <c r="I107" s="150">
        <v>8.0399999999999991</v>
      </c>
    </row>
    <row r="108" spans="1:9" ht="15.6" x14ac:dyDescent="0.25">
      <c r="A108" s="145"/>
      <c r="B108" s="146">
        <v>350661</v>
      </c>
      <c r="C108" s="147"/>
      <c r="D108" s="148" t="s">
        <v>789</v>
      </c>
      <c r="E108" s="149">
        <v>5.31</v>
      </c>
      <c r="F108" s="149">
        <v>2.88</v>
      </c>
      <c r="G108" s="149">
        <v>18.260000000000002</v>
      </c>
      <c r="H108" s="149">
        <v>2.73</v>
      </c>
      <c r="I108" s="150">
        <v>29.180000000000003</v>
      </c>
    </row>
    <row r="109" spans="1:9" ht="15.6" x14ac:dyDescent="0.25">
      <c r="A109" s="145"/>
      <c r="B109" s="146">
        <v>353339</v>
      </c>
      <c r="C109" s="147"/>
      <c r="D109" s="148" t="s">
        <v>871</v>
      </c>
      <c r="E109" s="149">
        <v>5.31</v>
      </c>
      <c r="F109" s="149">
        <v>2.88</v>
      </c>
      <c r="G109" s="149">
        <v>0</v>
      </c>
      <c r="H109" s="149">
        <v>2.73</v>
      </c>
      <c r="I109" s="150">
        <v>10.92</v>
      </c>
    </row>
    <row r="110" spans="1:9" ht="15.6" x14ac:dyDescent="0.25">
      <c r="A110" s="145"/>
      <c r="B110" s="146">
        <v>359736</v>
      </c>
      <c r="C110" s="147"/>
      <c r="D110" s="148" t="s">
        <v>754</v>
      </c>
      <c r="E110" s="149">
        <v>0</v>
      </c>
      <c r="F110" s="149">
        <v>0</v>
      </c>
      <c r="G110" s="149">
        <v>0</v>
      </c>
      <c r="H110" s="149">
        <v>2.73</v>
      </c>
      <c r="I110" s="150">
        <v>2.73</v>
      </c>
    </row>
    <row r="111" spans="1:9" ht="15.6" x14ac:dyDescent="0.25">
      <c r="A111" s="145"/>
      <c r="B111" s="146">
        <v>365333</v>
      </c>
      <c r="C111" s="147"/>
      <c r="D111" s="148" t="s">
        <v>801</v>
      </c>
      <c r="E111" s="149">
        <v>0</v>
      </c>
      <c r="F111" s="149">
        <v>0</v>
      </c>
      <c r="G111" s="149">
        <v>0</v>
      </c>
      <c r="H111" s="149">
        <v>0</v>
      </c>
      <c r="I111" s="150">
        <v>0</v>
      </c>
    </row>
    <row r="112" spans="1:9" ht="15.6" x14ac:dyDescent="0.25">
      <c r="A112" s="145"/>
      <c r="B112" s="146">
        <v>368108</v>
      </c>
      <c r="C112" s="147"/>
      <c r="D112" s="148" t="s">
        <v>868</v>
      </c>
      <c r="E112" s="149">
        <v>5.31</v>
      </c>
      <c r="F112" s="149">
        <v>2.88</v>
      </c>
      <c r="G112" s="149">
        <v>0</v>
      </c>
      <c r="H112" s="149">
        <v>2.73</v>
      </c>
      <c r="I112" s="150">
        <v>10.92</v>
      </c>
    </row>
    <row r="113" spans="1:9" ht="15.6" x14ac:dyDescent="0.25">
      <c r="A113" s="145"/>
      <c r="B113" s="146">
        <v>369928</v>
      </c>
      <c r="C113" s="147"/>
      <c r="D113" s="148" t="s">
        <v>849</v>
      </c>
      <c r="E113" s="149">
        <v>0</v>
      </c>
      <c r="F113" s="149">
        <v>0</v>
      </c>
      <c r="G113" s="149">
        <v>0</v>
      </c>
      <c r="H113" s="149">
        <v>2.73</v>
      </c>
      <c r="I113" s="150">
        <v>2.73</v>
      </c>
    </row>
    <row r="114" spans="1:9" ht="15.6" x14ac:dyDescent="0.25">
      <c r="A114" s="145"/>
      <c r="B114" s="146">
        <v>371909</v>
      </c>
      <c r="C114" s="147"/>
      <c r="D114" s="148" t="s">
        <v>770</v>
      </c>
      <c r="E114" s="149">
        <v>5.31</v>
      </c>
      <c r="F114" s="149">
        <v>2.88</v>
      </c>
      <c r="G114" s="149">
        <v>0</v>
      </c>
      <c r="H114" s="149">
        <v>0</v>
      </c>
      <c r="I114" s="150">
        <v>8.19</v>
      </c>
    </row>
    <row r="115" spans="1:9" ht="15.6" x14ac:dyDescent="0.25">
      <c r="A115" s="145"/>
      <c r="B115" s="146">
        <v>376293</v>
      </c>
      <c r="C115" s="147"/>
      <c r="D115" s="148" t="s">
        <v>857</v>
      </c>
      <c r="E115" s="149">
        <v>0</v>
      </c>
      <c r="F115" s="149">
        <v>0</v>
      </c>
      <c r="G115" s="149">
        <v>0</v>
      </c>
      <c r="H115" s="149">
        <v>0</v>
      </c>
      <c r="I115" s="150">
        <v>0</v>
      </c>
    </row>
    <row r="116" spans="1:9" ht="15.6" x14ac:dyDescent="0.25">
      <c r="A116" s="145"/>
      <c r="B116" s="146">
        <v>378014</v>
      </c>
      <c r="C116" s="147"/>
      <c r="D116" s="148" t="s">
        <v>936</v>
      </c>
      <c r="E116" s="149">
        <v>5.31</v>
      </c>
      <c r="F116" s="149">
        <v>2.88</v>
      </c>
      <c r="G116" s="149">
        <v>0</v>
      </c>
      <c r="H116" s="149">
        <v>2.73</v>
      </c>
      <c r="I116" s="150">
        <v>10.92</v>
      </c>
    </row>
    <row r="117" spans="1:9" ht="15.6" x14ac:dyDescent="0.25">
      <c r="A117" s="145"/>
      <c r="B117" s="146">
        <v>387858</v>
      </c>
      <c r="C117" s="147"/>
      <c r="D117" s="148" t="s">
        <v>918</v>
      </c>
      <c r="E117" s="149">
        <v>0</v>
      </c>
      <c r="F117" s="149">
        <v>0</v>
      </c>
      <c r="G117" s="149">
        <v>0</v>
      </c>
      <c r="H117" s="149">
        <v>0</v>
      </c>
      <c r="I117" s="150">
        <v>0</v>
      </c>
    </row>
    <row r="118" spans="1:9" ht="15.6" x14ac:dyDescent="0.25">
      <c r="A118" s="145"/>
      <c r="B118" s="146">
        <v>390928</v>
      </c>
      <c r="C118" s="147"/>
      <c r="D118" s="148" t="s">
        <v>823</v>
      </c>
      <c r="E118" s="149">
        <v>5.31</v>
      </c>
      <c r="F118" s="149">
        <v>2.88</v>
      </c>
      <c r="G118" s="149">
        <v>0</v>
      </c>
      <c r="H118" s="149">
        <v>2.73</v>
      </c>
      <c r="I118" s="150">
        <v>10.92</v>
      </c>
    </row>
    <row r="119" spans="1:9" ht="15.6" x14ac:dyDescent="0.25">
      <c r="A119" s="145"/>
      <c r="B119" s="146">
        <v>393501</v>
      </c>
      <c r="C119" s="147"/>
      <c r="D119" s="148" t="s">
        <v>887</v>
      </c>
      <c r="E119" s="149">
        <v>5.31</v>
      </c>
      <c r="F119" s="149">
        <v>2.88</v>
      </c>
      <c r="G119" s="149">
        <v>0</v>
      </c>
      <c r="H119" s="149">
        <v>2.73</v>
      </c>
      <c r="I119" s="150">
        <v>10.92</v>
      </c>
    </row>
    <row r="120" spans="1:9" ht="15.6" x14ac:dyDescent="0.25">
      <c r="A120" s="145"/>
      <c r="B120" s="146">
        <v>394733</v>
      </c>
      <c r="C120" s="147"/>
      <c r="D120" s="148" t="s">
        <v>818</v>
      </c>
      <c r="E120" s="149">
        <v>5.31</v>
      </c>
      <c r="F120" s="149">
        <v>2.88</v>
      </c>
      <c r="G120" s="149">
        <v>0</v>
      </c>
      <c r="H120" s="149">
        <v>2.73</v>
      </c>
      <c r="I120" s="150">
        <v>10.92</v>
      </c>
    </row>
    <row r="121" spans="1:9" ht="15.6" x14ac:dyDescent="0.25">
      <c r="A121" s="145"/>
      <c r="B121" s="146">
        <v>399541</v>
      </c>
      <c r="C121" s="147"/>
      <c r="D121" s="148" t="s">
        <v>875</v>
      </c>
      <c r="E121" s="149">
        <v>5.31</v>
      </c>
      <c r="F121" s="149">
        <v>2.88</v>
      </c>
      <c r="G121" s="149">
        <v>0</v>
      </c>
      <c r="H121" s="149">
        <v>2.73</v>
      </c>
      <c r="I121" s="150">
        <v>10.92</v>
      </c>
    </row>
    <row r="122" spans="1:9" ht="15.6" x14ac:dyDescent="0.25">
      <c r="A122" s="145"/>
      <c r="B122" s="146">
        <v>399637</v>
      </c>
      <c r="C122" s="147"/>
      <c r="D122" s="148" t="s">
        <v>918</v>
      </c>
      <c r="E122" s="149">
        <v>0</v>
      </c>
      <c r="F122" s="149">
        <v>0</v>
      </c>
      <c r="G122" s="149">
        <v>0</v>
      </c>
      <c r="H122" s="149">
        <v>0</v>
      </c>
      <c r="I122" s="150">
        <v>0</v>
      </c>
    </row>
    <row r="123" spans="1:9" ht="15.6" x14ac:dyDescent="0.25">
      <c r="A123" s="145"/>
      <c r="B123" s="146">
        <v>402827</v>
      </c>
      <c r="C123" s="147"/>
      <c r="D123" s="148" t="s">
        <v>893</v>
      </c>
      <c r="E123" s="149">
        <v>5.31</v>
      </c>
      <c r="F123" s="149">
        <v>2.88</v>
      </c>
      <c r="G123" s="149">
        <v>0</v>
      </c>
      <c r="H123" s="149">
        <v>2.73</v>
      </c>
      <c r="I123" s="150">
        <v>10.92</v>
      </c>
    </row>
    <row r="124" spans="1:9" ht="15.6" x14ac:dyDescent="0.25">
      <c r="A124" s="145"/>
      <c r="B124" s="146">
        <v>404817</v>
      </c>
      <c r="C124" s="147"/>
      <c r="D124" s="148" t="s">
        <v>771</v>
      </c>
      <c r="E124" s="149">
        <v>5.31</v>
      </c>
      <c r="F124" s="149">
        <v>2.88</v>
      </c>
      <c r="G124" s="149">
        <v>64.47</v>
      </c>
      <c r="H124" s="149">
        <v>2.73</v>
      </c>
      <c r="I124" s="150">
        <v>75.39</v>
      </c>
    </row>
    <row r="125" spans="1:9" ht="15.6" x14ac:dyDescent="0.25">
      <c r="A125" s="145"/>
      <c r="B125" s="146">
        <v>413136</v>
      </c>
      <c r="C125" s="147"/>
      <c r="D125" s="148" t="s">
        <v>868</v>
      </c>
      <c r="E125" s="149">
        <v>5.31</v>
      </c>
      <c r="F125" s="149">
        <v>2.88</v>
      </c>
      <c r="G125" s="149">
        <v>0</v>
      </c>
      <c r="H125" s="149">
        <v>2.73</v>
      </c>
      <c r="I125" s="150">
        <v>10.92</v>
      </c>
    </row>
    <row r="126" spans="1:9" ht="15.6" x14ac:dyDescent="0.25">
      <c r="A126" s="145"/>
      <c r="B126" s="146">
        <v>413981</v>
      </c>
      <c r="C126" s="147"/>
      <c r="D126" s="148" t="s">
        <v>921</v>
      </c>
      <c r="E126" s="149">
        <v>0</v>
      </c>
      <c r="F126" s="149">
        <v>0</v>
      </c>
      <c r="G126" s="149">
        <v>0</v>
      </c>
      <c r="H126" s="149">
        <v>0</v>
      </c>
      <c r="I126" s="150">
        <v>0</v>
      </c>
    </row>
    <row r="127" spans="1:9" ht="15.6" x14ac:dyDescent="0.25">
      <c r="A127" s="145"/>
      <c r="B127" s="146">
        <v>418023</v>
      </c>
      <c r="C127" s="147"/>
      <c r="D127" s="148" t="s">
        <v>854</v>
      </c>
      <c r="E127" s="149">
        <v>5.31</v>
      </c>
      <c r="F127" s="149">
        <v>2.88</v>
      </c>
      <c r="G127" s="149">
        <v>0</v>
      </c>
      <c r="H127" s="149">
        <v>2.73</v>
      </c>
      <c r="I127" s="150">
        <v>10.92</v>
      </c>
    </row>
    <row r="128" spans="1:9" ht="15.6" x14ac:dyDescent="0.25">
      <c r="A128" s="145"/>
      <c r="B128" s="146">
        <v>422330</v>
      </c>
      <c r="C128" s="147"/>
      <c r="D128" s="148" t="s">
        <v>771</v>
      </c>
      <c r="E128" s="149">
        <v>5.31</v>
      </c>
      <c r="F128" s="149">
        <v>2.88</v>
      </c>
      <c r="G128" s="149">
        <v>0</v>
      </c>
      <c r="H128" s="149">
        <v>2.73</v>
      </c>
      <c r="I128" s="150">
        <v>10.92</v>
      </c>
    </row>
    <row r="129" spans="1:9" ht="15.6" x14ac:dyDescent="0.25">
      <c r="A129" s="145"/>
      <c r="B129" s="146">
        <v>423337</v>
      </c>
      <c r="C129" s="147"/>
      <c r="D129" s="148" t="s">
        <v>934</v>
      </c>
      <c r="E129" s="149">
        <v>5.31</v>
      </c>
      <c r="F129" s="149">
        <v>2.88</v>
      </c>
      <c r="G129" s="149">
        <v>0</v>
      </c>
      <c r="H129" s="149">
        <v>2.73</v>
      </c>
      <c r="I129" s="150">
        <v>10.92</v>
      </c>
    </row>
    <row r="130" spans="1:9" ht="15.6" x14ac:dyDescent="0.25">
      <c r="A130" s="145"/>
      <c r="B130" s="146">
        <v>424783</v>
      </c>
      <c r="C130" s="147"/>
      <c r="D130" s="148" t="s">
        <v>851</v>
      </c>
      <c r="E130" s="149">
        <v>5.31</v>
      </c>
      <c r="F130" s="149">
        <v>2.88</v>
      </c>
      <c r="G130" s="149">
        <v>22.66</v>
      </c>
      <c r="H130" s="149">
        <v>2.73</v>
      </c>
      <c r="I130" s="150">
        <v>33.58</v>
      </c>
    </row>
    <row r="131" spans="1:9" ht="15.6" x14ac:dyDescent="0.25">
      <c r="A131" s="145"/>
      <c r="B131" s="146">
        <v>427071</v>
      </c>
      <c r="C131" s="147"/>
      <c r="D131" s="148" t="s">
        <v>925</v>
      </c>
      <c r="E131" s="149">
        <v>5.31</v>
      </c>
      <c r="F131" s="149">
        <v>2.88</v>
      </c>
      <c r="G131" s="149">
        <v>0</v>
      </c>
      <c r="H131" s="149">
        <v>2.73</v>
      </c>
      <c r="I131" s="150">
        <v>10.92</v>
      </c>
    </row>
    <row r="132" spans="1:9" ht="15.6" x14ac:dyDescent="0.25">
      <c r="A132" s="145"/>
      <c r="B132" s="146">
        <v>427610</v>
      </c>
      <c r="C132" s="147"/>
      <c r="D132" s="148" t="s">
        <v>833</v>
      </c>
      <c r="E132" s="149">
        <v>5.31</v>
      </c>
      <c r="F132" s="149">
        <v>2.88</v>
      </c>
      <c r="G132" s="149">
        <v>0</v>
      </c>
      <c r="H132" s="149">
        <v>2.73</v>
      </c>
      <c r="I132" s="150">
        <v>10.92</v>
      </c>
    </row>
    <row r="133" spans="1:9" ht="15.6" x14ac:dyDescent="0.25">
      <c r="A133" s="145"/>
      <c r="B133" s="146">
        <v>428767</v>
      </c>
      <c r="C133" s="147"/>
      <c r="D133" s="148" t="s">
        <v>785</v>
      </c>
      <c r="E133" s="149">
        <v>0</v>
      </c>
      <c r="F133" s="149">
        <v>0</v>
      </c>
      <c r="G133" s="149">
        <v>0</v>
      </c>
      <c r="H133" s="149">
        <v>0</v>
      </c>
      <c r="I133" s="150">
        <v>0</v>
      </c>
    </row>
    <row r="134" spans="1:9" ht="15.6" x14ac:dyDescent="0.25">
      <c r="A134" s="145"/>
      <c r="B134" s="146">
        <v>430511</v>
      </c>
      <c r="C134" s="147"/>
      <c r="D134" s="148" t="s">
        <v>921</v>
      </c>
      <c r="E134" s="149">
        <v>5.31</v>
      </c>
      <c r="F134" s="149">
        <v>2.88</v>
      </c>
      <c r="G134" s="149">
        <v>0</v>
      </c>
      <c r="H134" s="149">
        <v>2.73</v>
      </c>
      <c r="I134" s="150">
        <v>10.92</v>
      </c>
    </row>
    <row r="135" spans="1:9" ht="15.6" x14ac:dyDescent="0.25">
      <c r="A135" s="145"/>
      <c r="B135" s="146">
        <v>437456</v>
      </c>
      <c r="C135" s="147"/>
      <c r="D135" s="148" t="s">
        <v>754</v>
      </c>
      <c r="E135" s="149">
        <v>0</v>
      </c>
      <c r="F135" s="149">
        <v>0</v>
      </c>
      <c r="G135" s="149">
        <v>0</v>
      </c>
      <c r="H135" s="149">
        <v>2.73</v>
      </c>
      <c r="I135" s="150">
        <v>2.73</v>
      </c>
    </row>
    <row r="136" spans="1:9" ht="15.6" x14ac:dyDescent="0.25">
      <c r="A136" s="145"/>
      <c r="B136" s="146">
        <v>443563</v>
      </c>
      <c r="C136" s="147"/>
      <c r="D136" s="148" t="s">
        <v>735</v>
      </c>
      <c r="E136" s="149">
        <v>5.31</v>
      </c>
      <c r="F136" s="149">
        <v>2.88</v>
      </c>
      <c r="G136" s="149">
        <v>0</v>
      </c>
      <c r="H136" s="149">
        <v>2.73</v>
      </c>
      <c r="I136" s="150">
        <v>10.92</v>
      </c>
    </row>
    <row r="137" spans="1:9" ht="15.6" x14ac:dyDescent="0.25">
      <c r="A137" s="145"/>
      <c r="B137" s="146">
        <v>445832</v>
      </c>
      <c r="C137" s="147"/>
      <c r="D137" s="148" t="s">
        <v>878</v>
      </c>
      <c r="E137" s="149">
        <v>5.31</v>
      </c>
      <c r="F137" s="149">
        <v>2.88</v>
      </c>
      <c r="G137" s="149">
        <v>0</v>
      </c>
      <c r="H137" s="149">
        <v>0</v>
      </c>
      <c r="I137" s="150">
        <v>8.19</v>
      </c>
    </row>
    <row r="138" spans="1:9" ht="15.6" x14ac:dyDescent="0.25">
      <c r="A138" s="145"/>
      <c r="B138" s="146">
        <v>446282</v>
      </c>
      <c r="C138" s="147"/>
      <c r="D138" s="148" t="s">
        <v>898</v>
      </c>
      <c r="E138" s="149">
        <v>5.31</v>
      </c>
      <c r="F138" s="149">
        <v>2.88</v>
      </c>
      <c r="G138" s="149">
        <v>0</v>
      </c>
      <c r="H138" s="149">
        <v>2.73</v>
      </c>
      <c r="I138" s="150">
        <v>10.92</v>
      </c>
    </row>
    <row r="139" spans="1:9" ht="15.6" x14ac:dyDescent="0.25">
      <c r="A139" s="145"/>
      <c r="B139" s="146">
        <v>452733</v>
      </c>
      <c r="C139" s="147"/>
      <c r="D139" s="148" t="s">
        <v>854</v>
      </c>
      <c r="E139" s="149">
        <v>5.31</v>
      </c>
      <c r="F139" s="149">
        <v>2.88</v>
      </c>
      <c r="G139" s="149">
        <v>0</v>
      </c>
      <c r="H139" s="149">
        <v>2.73</v>
      </c>
      <c r="I139" s="150">
        <v>10.92</v>
      </c>
    </row>
    <row r="140" spans="1:9" ht="15.6" x14ac:dyDescent="0.25">
      <c r="A140" s="145"/>
      <c r="B140" s="146">
        <v>460420</v>
      </c>
      <c r="C140" s="147"/>
      <c r="D140" s="148" t="s">
        <v>849</v>
      </c>
      <c r="E140" s="149">
        <v>0</v>
      </c>
      <c r="F140" s="149">
        <v>0</v>
      </c>
      <c r="G140" s="149">
        <v>0</v>
      </c>
      <c r="H140" s="149">
        <v>2.73</v>
      </c>
      <c r="I140" s="150">
        <v>2.73</v>
      </c>
    </row>
    <row r="141" spans="1:9" ht="15.6" x14ac:dyDescent="0.25">
      <c r="A141" s="145"/>
      <c r="B141" s="146">
        <v>462959</v>
      </c>
      <c r="C141" s="147"/>
      <c r="D141" s="148" t="s">
        <v>821</v>
      </c>
      <c r="E141" s="149">
        <v>5.31</v>
      </c>
      <c r="F141" s="149">
        <v>2.88</v>
      </c>
      <c r="G141" s="149">
        <v>0</v>
      </c>
      <c r="H141" s="149">
        <v>2.73</v>
      </c>
      <c r="I141" s="150">
        <v>10.92</v>
      </c>
    </row>
    <row r="142" spans="1:9" ht="15.6" x14ac:dyDescent="0.25">
      <c r="A142" s="145"/>
      <c r="B142" s="146">
        <v>468300</v>
      </c>
      <c r="C142" s="147"/>
      <c r="D142" s="148" t="s">
        <v>868</v>
      </c>
      <c r="E142" s="149">
        <v>5.31</v>
      </c>
      <c r="F142" s="149">
        <v>2.88</v>
      </c>
      <c r="G142" s="149">
        <v>0</v>
      </c>
      <c r="H142" s="149">
        <v>2.73</v>
      </c>
      <c r="I142" s="150">
        <v>10.92</v>
      </c>
    </row>
    <row r="143" spans="1:9" ht="15.6" x14ac:dyDescent="0.25">
      <c r="A143" s="145"/>
      <c r="B143" s="146">
        <v>468338</v>
      </c>
      <c r="C143" s="147"/>
      <c r="D143" s="148" t="s">
        <v>957</v>
      </c>
      <c r="E143" s="149">
        <v>0</v>
      </c>
      <c r="F143" s="149">
        <v>2.88</v>
      </c>
      <c r="G143" s="149">
        <v>0</v>
      </c>
      <c r="H143" s="149">
        <v>2.73</v>
      </c>
      <c r="I143" s="150">
        <v>5.6099999999999994</v>
      </c>
    </row>
    <row r="144" spans="1:9" ht="15.6" x14ac:dyDescent="0.25">
      <c r="A144" s="145"/>
      <c r="B144" s="146">
        <v>471159</v>
      </c>
      <c r="C144" s="147"/>
      <c r="D144" s="148" t="s">
        <v>828</v>
      </c>
      <c r="E144" s="149">
        <v>5.31</v>
      </c>
      <c r="F144" s="149">
        <v>2.88</v>
      </c>
      <c r="G144" s="149">
        <v>0</v>
      </c>
      <c r="H144" s="149">
        <v>2.73</v>
      </c>
      <c r="I144" s="150">
        <v>10.92</v>
      </c>
    </row>
    <row r="145" spans="1:9" ht="15.6" x14ac:dyDescent="0.25">
      <c r="A145" s="145"/>
      <c r="B145" s="146">
        <v>477913</v>
      </c>
      <c r="C145" s="147"/>
      <c r="D145" s="148" t="s">
        <v>723</v>
      </c>
      <c r="E145" s="149">
        <v>0</v>
      </c>
      <c r="F145" s="149">
        <v>0</v>
      </c>
      <c r="G145" s="149">
        <v>0</v>
      </c>
      <c r="H145" s="149">
        <v>0</v>
      </c>
      <c r="I145" s="150">
        <v>0</v>
      </c>
    </row>
    <row r="146" spans="1:9" ht="15.6" x14ac:dyDescent="0.25">
      <c r="A146" s="145"/>
      <c r="B146" s="146">
        <v>480114</v>
      </c>
      <c r="C146" s="147"/>
      <c r="D146" s="148" t="s">
        <v>855</v>
      </c>
      <c r="E146" s="149">
        <v>5.31</v>
      </c>
      <c r="F146" s="149">
        <v>2.88</v>
      </c>
      <c r="G146" s="149">
        <v>0</v>
      </c>
      <c r="H146" s="149">
        <v>2.73</v>
      </c>
      <c r="I146" s="150">
        <v>10.92</v>
      </c>
    </row>
    <row r="147" spans="1:9" ht="15.6" x14ac:dyDescent="0.25">
      <c r="A147" s="145"/>
      <c r="B147" s="146">
        <v>494300</v>
      </c>
      <c r="C147" s="147"/>
      <c r="D147" s="148" t="s">
        <v>877</v>
      </c>
      <c r="E147" s="149">
        <v>0</v>
      </c>
      <c r="F147" s="149">
        <v>0</v>
      </c>
      <c r="G147" s="149">
        <v>0</v>
      </c>
      <c r="H147" s="149">
        <v>2.73</v>
      </c>
      <c r="I147" s="150">
        <v>2.73</v>
      </c>
    </row>
    <row r="148" spans="1:9" ht="15.6" x14ac:dyDescent="0.25">
      <c r="A148" s="145"/>
      <c r="B148" s="146">
        <v>496564</v>
      </c>
      <c r="C148" s="147"/>
      <c r="D148" s="148" t="s">
        <v>773</v>
      </c>
      <c r="E148" s="149">
        <v>5.31</v>
      </c>
      <c r="F148" s="149">
        <v>2.88</v>
      </c>
      <c r="G148" s="149">
        <v>48.31</v>
      </c>
      <c r="H148" s="149">
        <v>2.73</v>
      </c>
      <c r="I148" s="150">
        <v>59.23</v>
      </c>
    </row>
    <row r="149" spans="1:9" ht="15.6" x14ac:dyDescent="0.25">
      <c r="A149" s="145"/>
      <c r="B149" s="146">
        <v>497526</v>
      </c>
      <c r="C149" s="147"/>
      <c r="D149" s="148" t="s">
        <v>859</v>
      </c>
      <c r="E149" s="149">
        <v>5.31</v>
      </c>
      <c r="F149" s="149">
        <v>2.88</v>
      </c>
      <c r="G149" s="149">
        <v>0</v>
      </c>
      <c r="H149" s="149">
        <v>2.73</v>
      </c>
      <c r="I149" s="150">
        <v>10.92</v>
      </c>
    </row>
    <row r="150" spans="1:9" ht="15.6" x14ac:dyDescent="0.25">
      <c r="A150" s="145"/>
      <c r="B150" s="146">
        <v>502421</v>
      </c>
      <c r="C150" s="147"/>
      <c r="D150" s="148" t="s">
        <v>941</v>
      </c>
      <c r="E150" s="149">
        <v>0</v>
      </c>
      <c r="F150" s="149">
        <v>0</v>
      </c>
      <c r="G150" s="149">
        <v>0</v>
      </c>
      <c r="H150" s="149">
        <v>0</v>
      </c>
      <c r="I150" s="150">
        <v>0</v>
      </c>
    </row>
    <row r="151" spans="1:9" ht="15.6" x14ac:dyDescent="0.25">
      <c r="A151" s="145"/>
      <c r="B151" s="146">
        <v>514177</v>
      </c>
      <c r="C151" s="147"/>
      <c r="D151" s="148" t="s">
        <v>826</v>
      </c>
      <c r="E151" s="149">
        <v>5.31</v>
      </c>
      <c r="F151" s="149">
        <v>2.88</v>
      </c>
      <c r="G151" s="149">
        <v>0</v>
      </c>
      <c r="H151" s="149">
        <v>2.73</v>
      </c>
      <c r="I151" s="150">
        <v>10.92</v>
      </c>
    </row>
    <row r="152" spans="1:9" ht="15.6" x14ac:dyDescent="0.25">
      <c r="A152" s="145"/>
      <c r="B152" s="146">
        <v>516025</v>
      </c>
      <c r="C152" s="147"/>
      <c r="D152" s="148" t="s">
        <v>868</v>
      </c>
      <c r="E152" s="149">
        <v>5.31</v>
      </c>
      <c r="F152" s="149">
        <v>2.88</v>
      </c>
      <c r="G152" s="149">
        <v>0</v>
      </c>
      <c r="H152" s="149">
        <v>2.73</v>
      </c>
      <c r="I152" s="150">
        <v>10.92</v>
      </c>
    </row>
    <row r="153" spans="1:9" ht="15.6" x14ac:dyDescent="0.25">
      <c r="A153" s="145"/>
      <c r="B153" s="146">
        <v>517345</v>
      </c>
      <c r="C153" s="147"/>
      <c r="D153" s="148" t="s">
        <v>816</v>
      </c>
      <c r="E153" s="149">
        <v>5.31</v>
      </c>
      <c r="F153" s="149">
        <v>2.88</v>
      </c>
      <c r="G153" s="149">
        <v>0</v>
      </c>
      <c r="H153" s="149">
        <v>2.73</v>
      </c>
      <c r="I153" s="150">
        <v>10.92</v>
      </c>
    </row>
    <row r="154" spans="1:9" ht="15.6" x14ac:dyDescent="0.25">
      <c r="A154" s="145"/>
      <c r="B154" s="146">
        <v>518549</v>
      </c>
      <c r="C154" s="147"/>
      <c r="D154" s="148" t="s">
        <v>760</v>
      </c>
      <c r="E154" s="149">
        <v>0</v>
      </c>
      <c r="F154" s="149">
        <v>0</v>
      </c>
      <c r="G154" s="149">
        <v>0</v>
      </c>
      <c r="H154" s="149">
        <v>2.73</v>
      </c>
      <c r="I154" s="150">
        <v>2.73</v>
      </c>
    </row>
    <row r="155" spans="1:9" ht="15.6" x14ac:dyDescent="0.25">
      <c r="A155" s="145"/>
      <c r="B155" s="146">
        <v>520264</v>
      </c>
      <c r="C155" s="147"/>
      <c r="D155" s="148" t="s">
        <v>838</v>
      </c>
      <c r="E155" s="149">
        <v>5.31</v>
      </c>
      <c r="F155" s="149">
        <v>2.88</v>
      </c>
      <c r="G155" s="149">
        <v>0</v>
      </c>
      <c r="H155" s="149">
        <v>2.73</v>
      </c>
      <c r="I155" s="150">
        <v>10.92</v>
      </c>
    </row>
    <row r="156" spans="1:9" ht="15.6" x14ac:dyDescent="0.25">
      <c r="A156" s="145"/>
      <c r="B156" s="146">
        <v>521524</v>
      </c>
      <c r="C156" s="147"/>
      <c r="D156" s="148" t="s">
        <v>857</v>
      </c>
      <c r="E156" s="149">
        <v>0</v>
      </c>
      <c r="F156" s="149">
        <v>0</v>
      </c>
      <c r="G156" s="149">
        <v>0</v>
      </c>
      <c r="H156" s="149">
        <v>0</v>
      </c>
      <c r="I156" s="150">
        <v>0</v>
      </c>
    </row>
    <row r="157" spans="1:9" ht="15.6" x14ac:dyDescent="0.25">
      <c r="A157" s="145"/>
      <c r="B157" s="146">
        <v>524271</v>
      </c>
      <c r="C157" s="147"/>
      <c r="D157" s="148" t="s">
        <v>818</v>
      </c>
      <c r="E157" s="149">
        <v>5.31</v>
      </c>
      <c r="F157" s="149">
        <v>2.88</v>
      </c>
      <c r="G157" s="149">
        <v>0</v>
      </c>
      <c r="H157" s="149">
        <v>2.73</v>
      </c>
      <c r="I157" s="150">
        <v>10.92</v>
      </c>
    </row>
    <row r="158" spans="1:9" ht="15.6" x14ac:dyDescent="0.25">
      <c r="A158" s="145"/>
      <c r="B158" s="146">
        <v>524548</v>
      </c>
      <c r="C158" s="147"/>
      <c r="D158" s="148" t="s">
        <v>918</v>
      </c>
      <c r="E158" s="149">
        <v>5.31</v>
      </c>
      <c r="F158" s="149">
        <v>2.88</v>
      </c>
      <c r="G158" s="149">
        <v>0</v>
      </c>
      <c r="H158" s="149">
        <v>0</v>
      </c>
      <c r="I158" s="150">
        <v>8.19</v>
      </c>
    </row>
    <row r="159" spans="1:9" ht="15.6" x14ac:dyDescent="0.25">
      <c r="A159" s="145"/>
      <c r="B159" s="146">
        <v>527621</v>
      </c>
      <c r="C159" s="147"/>
      <c r="D159" s="148" t="s">
        <v>851</v>
      </c>
      <c r="E159" s="149">
        <v>5.31</v>
      </c>
      <c r="F159" s="149">
        <v>2.88</v>
      </c>
      <c r="G159" s="149">
        <v>22.66</v>
      </c>
      <c r="H159" s="149">
        <v>2.73</v>
      </c>
      <c r="I159" s="150">
        <v>33.58</v>
      </c>
    </row>
    <row r="160" spans="1:9" ht="15.6" x14ac:dyDescent="0.25">
      <c r="A160" s="145"/>
      <c r="B160" s="146">
        <v>528472</v>
      </c>
      <c r="C160" s="147"/>
      <c r="D160" s="148" t="s">
        <v>857</v>
      </c>
      <c r="E160" s="149">
        <v>0</v>
      </c>
      <c r="F160" s="149">
        <v>0</v>
      </c>
      <c r="G160" s="149">
        <v>0</v>
      </c>
      <c r="H160" s="149">
        <v>0</v>
      </c>
      <c r="I160" s="150">
        <v>0</v>
      </c>
    </row>
    <row r="161" spans="1:9" ht="15.6" x14ac:dyDescent="0.25">
      <c r="A161" s="145"/>
      <c r="B161" s="146">
        <v>536792</v>
      </c>
      <c r="C161" s="147"/>
      <c r="D161" s="148" t="s">
        <v>838</v>
      </c>
      <c r="E161" s="149">
        <v>5.31</v>
      </c>
      <c r="F161" s="149">
        <v>2.88</v>
      </c>
      <c r="G161" s="149">
        <v>0</v>
      </c>
      <c r="H161" s="149">
        <v>2.73</v>
      </c>
      <c r="I161" s="150">
        <v>10.92</v>
      </c>
    </row>
    <row r="162" spans="1:9" ht="15.6" x14ac:dyDescent="0.25">
      <c r="A162" s="145"/>
      <c r="B162" s="146">
        <v>538483</v>
      </c>
      <c r="C162" s="147"/>
      <c r="D162" s="148" t="s">
        <v>861</v>
      </c>
      <c r="E162" s="149">
        <v>5.31</v>
      </c>
      <c r="F162" s="149">
        <v>2.88</v>
      </c>
      <c r="G162" s="149">
        <v>0</v>
      </c>
      <c r="H162" s="149">
        <v>2.73</v>
      </c>
      <c r="I162" s="150">
        <v>10.92</v>
      </c>
    </row>
    <row r="163" spans="1:9" ht="15.6" x14ac:dyDescent="0.25">
      <c r="A163" s="145"/>
      <c r="B163" s="146">
        <v>539120</v>
      </c>
      <c r="C163" s="147"/>
      <c r="D163" s="148" t="s">
        <v>861</v>
      </c>
      <c r="E163" s="149">
        <v>5.31</v>
      </c>
      <c r="F163" s="149">
        <v>2.88</v>
      </c>
      <c r="G163" s="149">
        <v>0</v>
      </c>
      <c r="H163" s="149">
        <v>2.73</v>
      </c>
      <c r="I163" s="150">
        <v>10.92</v>
      </c>
    </row>
    <row r="164" spans="1:9" ht="15.6" x14ac:dyDescent="0.25">
      <c r="A164" s="145"/>
      <c r="B164" s="146">
        <v>542303</v>
      </c>
      <c r="C164" s="147"/>
      <c r="D164" s="148" t="s">
        <v>816</v>
      </c>
      <c r="E164" s="149">
        <v>5.31</v>
      </c>
      <c r="F164" s="149">
        <v>2.88</v>
      </c>
      <c r="G164" s="149">
        <v>0</v>
      </c>
      <c r="H164" s="149">
        <v>2.73</v>
      </c>
      <c r="I164" s="150">
        <v>10.92</v>
      </c>
    </row>
    <row r="165" spans="1:9" ht="15.6" x14ac:dyDescent="0.25">
      <c r="A165" s="145"/>
      <c r="B165" s="146">
        <v>545267</v>
      </c>
      <c r="C165" s="147"/>
      <c r="D165" s="148" t="s">
        <v>857</v>
      </c>
      <c r="E165" s="149">
        <v>0</v>
      </c>
      <c r="F165" s="149">
        <v>0</v>
      </c>
      <c r="G165" s="149">
        <v>0</v>
      </c>
      <c r="H165" s="149">
        <v>0</v>
      </c>
      <c r="I165" s="150">
        <v>0</v>
      </c>
    </row>
    <row r="166" spans="1:9" ht="15.6" x14ac:dyDescent="0.25">
      <c r="A166" s="145"/>
      <c r="B166" s="146">
        <v>546851</v>
      </c>
      <c r="C166" s="147"/>
      <c r="D166" s="148" t="s">
        <v>916</v>
      </c>
      <c r="E166" s="149">
        <v>0</v>
      </c>
      <c r="F166" s="149">
        <v>0</v>
      </c>
      <c r="G166" s="149">
        <v>0</v>
      </c>
      <c r="H166" s="149">
        <v>0</v>
      </c>
      <c r="I166" s="150">
        <v>0</v>
      </c>
    </row>
    <row r="167" spans="1:9" ht="15.6" x14ac:dyDescent="0.25">
      <c r="A167" s="145"/>
      <c r="B167" s="146">
        <v>551886</v>
      </c>
      <c r="C167" s="147"/>
      <c r="D167" s="148" t="s">
        <v>825</v>
      </c>
      <c r="E167" s="149">
        <v>5.31</v>
      </c>
      <c r="F167" s="149">
        <v>2.88</v>
      </c>
      <c r="G167" s="149">
        <v>0</v>
      </c>
      <c r="H167" s="149">
        <v>2.73</v>
      </c>
      <c r="I167" s="150">
        <v>10.92</v>
      </c>
    </row>
    <row r="168" spans="1:9" ht="15.6" x14ac:dyDescent="0.25">
      <c r="A168" s="145"/>
      <c r="B168" s="146">
        <v>553835</v>
      </c>
      <c r="C168" s="147"/>
      <c r="D168" s="148" t="s">
        <v>851</v>
      </c>
      <c r="E168" s="149">
        <v>5.31</v>
      </c>
      <c r="F168" s="149">
        <v>2.88</v>
      </c>
      <c r="G168" s="149">
        <v>22.66</v>
      </c>
      <c r="H168" s="149">
        <v>2.73</v>
      </c>
      <c r="I168" s="150">
        <v>33.58</v>
      </c>
    </row>
    <row r="169" spans="1:9" ht="15.6" x14ac:dyDescent="0.25">
      <c r="A169" s="145"/>
      <c r="B169" s="146">
        <v>559962</v>
      </c>
      <c r="C169" s="147"/>
      <c r="D169" s="148" t="s">
        <v>828</v>
      </c>
      <c r="E169" s="149">
        <v>5.31</v>
      </c>
      <c r="F169" s="149">
        <v>2.88</v>
      </c>
      <c r="G169" s="149">
        <v>0</v>
      </c>
      <c r="H169" s="149">
        <v>2.73</v>
      </c>
      <c r="I169" s="150">
        <v>10.92</v>
      </c>
    </row>
    <row r="170" spans="1:9" ht="15.6" x14ac:dyDescent="0.25">
      <c r="A170" s="145"/>
      <c r="B170" s="146">
        <v>561451</v>
      </c>
      <c r="C170" s="147"/>
      <c r="D170" s="148" t="s">
        <v>851</v>
      </c>
      <c r="E170" s="149">
        <v>5.31</v>
      </c>
      <c r="F170" s="149">
        <v>2.88</v>
      </c>
      <c r="G170" s="149">
        <v>22.66</v>
      </c>
      <c r="H170" s="149">
        <v>2.73</v>
      </c>
      <c r="I170" s="150">
        <v>33.58</v>
      </c>
    </row>
    <row r="171" spans="1:9" ht="15.6" x14ac:dyDescent="0.25">
      <c r="A171" s="145"/>
      <c r="B171" s="146">
        <v>563703</v>
      </c>
      <c r="C171" s="147"/>
      <c r="D171" s="148" t="s">
        <v>858</v>
      </c>
      <c r="E171" s="149">
        <v>5.31</v>
      </c>
      <c r="F171" s="149">
        <v>2.88</v>
      </c>
      <c r="G171" s="149">
        <v>0</v>
      </c>
      <c r="H171" s="149">
        <v>2.73</v>
      </c>
      <c r="I171" s="150">
        <v>10.92</v>
      </c>
    </row>
    <row r="172" spans="1:9" ht="15.6" x14ac:dyDescent="0.25">
      <c r="A172" s="145"/>
      <c r="B172" s="146">
        <v>565778</v>
      </c>
      <c r="C172" s="147"/>
      <c r="D172" s="148" t="s">
        <v>748</v>
      </c>
      <c r="E172" s="149">
        <v>5.31</v>
      </c>
      <c r="F172" s="149">
        <v>2.88</v>
      </c>
      <c r="G172" s="149">
        <v>0</v>
      </c>
      <c r="H172" s="149">
        <v>2.73</v>
      </c>
      <c r="I172" s="150">
        <v>10.92</v>
      </c>
    </row>
    <row r="173" spans="1:9" ht="15.6" x14ac:dyDescent="0.25">
      <c r="A173" s="145"/>
      <c r="B173" s="146">
        <v>567316</v>
      </c>
      <c r="C173" s="147"/>
      <c r="D173" s="148" t="s">
        <v>830</v>
      </c>
      <c r="E173" s="149">
        <v>5.31</v>
      </c>
      <c r="F173" s="149">
        <v>2.88</v>
      </c>
      <c r="G173" s="149">
        <v>0</v>
      </c>
      <c r="H173" s="149">
        <v>2.73</v>
      </c>
      <c r="I173" s="150">
        <v>10.92</v>
      </c>
    </row>
    <row r="174" spans="1:9" ht="15.6" x14ac:dyDescent="0.25">
      <c r="A174" s="145"/>
      <c r="B174" s="146">
        <v>569153</v>
      </c>
      <c r="C174" s="147"/>
      <c r="D174" s="148" t="s">
        <v>925</v>
      </c>
      <c r="E174" s="149">
        <v>5.31</v>
      </c>
      <c r="F174" s="149">
        <v>2.88</v>
      </c>
      <c r="G174" s="149">
        <v>0</v>
      </c>
      <c r="H174" s="149">
        <v>2.73</v>
      </c>
      <c r="I174" s="150">
        <v>10.92</v>
      </c>
    </row>
    <row r="175" spans="1:9" ht="15.6" x14ac:dyDescent="0.25">
      <c r="A175" s="145"/>
      <c r="B175" s="146">
        <v>576182</v>
      </c>
      <c r="C175" s="147"/>
      <c r="D175" s="148" t="s">
        <v>892</v>
      </c>
      <c r="E175" s="149">
        <v>5.31</v>
      </c>
      <c r="F175" s="149">
        <v>2.88</v>
      </c>
      <c r="G175" s="149">
        <v>0</v>
      </c>
      <c r="H175" s="149">
        <v>2.73</v>
      </c>
      <c r="I175" s="150">
        <v>10.92</v>
      </c>
    </row>
    <row r="176" spans="1:9" ht="15.6" x14ac:dyDescent="0.25">
      <c r="A176" s="145"/>
      <c r="B176" s="146">
        <v>582143</v>
      </c>
      <c r="C176" s="147"/>
      <c r="D176" s="148" t="s">
        <v>786</v>
      </c>
      <c r="E176" s="149">
        <v>0</v>
      </c>
      <c r="F176" s="149">
        <v>0</v>
      </c>
      <c r="G176" s="149">
        <v>0</v>
      </c>
      <c r="H176" s="149">
        <v>0</v>
      </c>
      <c r="I176" s="150">
        <v>0</v>
      </c>
    </row>
    <row r="177" spans="1:9" ht="15.6" x14ac:dyDescent="0.25">
      <c r="A177" s="145"/>
      <c r="B177" s="146">
        <v>583908</v>
      </c>
      <c r="C177" s="147"/>
      <c r="D177" s="148" t="s">
        <v>927</v>
      </c>
      <c r="E177" s="149">
        <v>0</v>
      </c>
      <c r="F177" s="149">
        <v>0</v>
      </c>
      <c r="G177" s="149">
        <v>0</v>
      </c>
      <c r="H177" s="149">
        <v>2.73</v>
      </c>
      <c r="I177" s="150">
        <v>2.73</v>
      </c>
    </row>
    <row r="178" spans="1:9" ht="15.6" x14ac:dyDescent="0.25">
      <c r="A178" s="145"/>
      <c r="B178" s="146">
        <v>584613</v>
      </c>
      <c r="C178" s="147"/>
      <c r="D178" s="148" t="s">
        <v>730</v>
      </c>
      <c r="E178" s="149">
        <v>0</v>
      </c>
      <c r="F178" s="149">
        <v>0</v>
      </c>
      <c r="G178" s="149">
        <v>0</v>
      </c>
      <c r="H178" s="149">
        <v>0</v>
      </c>
      <c r="I178" s="150">
        <v>0</v>
      </c>
    </row>
    <row r="179" spans="1:9" ht="15.6" x14ac:dyDescent="0.25">
      <c r="A179" s="145"/>
      <c r="B179" s="146">
        <v>598106</v>
      </c>
      <c r="C179" s="147"/>
      <c r="D179" s="148" t="s">
        <v>771</v>
      </c>
      <c r="E179" s="149">
        <v>5.31</v>
      </c>
      <c r="F179" s="149">
        <v>2.88</v>
      </c>
      <c r="G179" s="149">
        <v>42.36</v>
      </c>
      <c r="H179" s="149">
        <v>2.73</v>
      </c>
      <c r="I179" s="150">
        <v>53.279999999999994</v>
      </c>
    </row>
    <row r="180" spans="1:9" ht="15.6" x14ac:dyDescent="0.25">
      <c r="A180" s="145"/>
      <c r="B180" s="146">
        <v>599220</v>
      </c>
      <c r="C180" s="147"/>
      <c r="D180" s="148" t="s">
        <v>868</v>
      </c>
      <c r="E180" s="149">
        <v>5.31</v>
      </c>
      <c r="F180" s="149">
        <v>2.88</v>
      </c>
      <c r="G180" s="149">
        <v>0</v>
      </c>
      <c r="H180" s="149">
        <v>2.73</v>
      </c>
      <c r="I180" s="150">
        <v>10.92</v>
      </c>
    </row>
    <row r="181" spans="1:9" ht="15.6" x14ac:dyDescent="0.25">
      <c r="A181" s="145"/>
      <c r="B181" s="146">
        <v>602095</v>
      </c>
      <c r="C181" s="147"/>
      <c r="D181" s="148" t="s">
        <v>773</v>
      </c>
      <c r="E181" s="149">
        <v>5.31</v>
      </c>
      <c r="F181" s="149">
        <v>2.88</v>
      </c>
      <c r="G181" s="149">
        <v>0</v>
      </c>
      <c r="H181" s="149">
        <v>2.73</v>
      </c>
      <c r="I181" s="150">
        <v>10.92</v>
      </c>
    </row>
    <row r="182" spans="1:9" ht="15.6" x14ac:dyDescent="0.25">
      <c r="A182" s="145"/>
      <c r="B182" s="146">
        <v>613882</v>
      </c>
      <c r="C182" s="147"/>
      <c r="D182" s="148" t="s">
        <v>923</v>
      </c>
      <c r="E182" s="149">
        <v>0</v>
      </c>
      <c r="F182" s="149">
        <v>0</v>
      </c>
      <c r="G182" s="149">
        <v>0</v>
      </c>
      <c r="H182" s="149">
        <v>2.73</v>
      </c>
      <c r="I182" s="150">
        <v>2.73</v>
      </c>
    </row>
    <row r="183" spans="1:9" ht="15.6" x14ac:dyDescent="0.25">
      <c r="A183" s="145"/>
      <c r="B183" s="146">
        <v>615570</v>
      </c>
      <c r="C183" s="147"/>
      <c r="D183" s="148" t="s">
        <v>925</v>
      </c>
      <c r="E183" s="149">
        <v>5.31</v>
      </c>
      <c r="F183" s="149">
        <v>2.88</v>
      </c>
      <c r="G183" s="149">
        <v>0</v>
      </c>
      <c r="H183" s="149">
        <v>2.73</v>
      </c>
      <c r="I183" s="150">
        <v>10.92</v>
      </c>
    </row>
    <row r="184" spans="1:9" ht="15.6" x14ac:dyDescent="0.25">
      <c r="A184" s="145"/>
      <c r="B184" s="146">
        <v>631040</v>
      </c>
      <c r="C184" s="147"/>
      <c r="D184" s="148" t="s">
        <v>895</v>
      </c>
      <c r="E184" s="149">
        <v>5.31</v>
      </c>
      <c r="F184" s="149">
        <v>2.88</v>
      </c>
      <c r="G184" s="149">
        <v>0</v>
      </c>
      <c r="H184" s="149">
        <v>2.73</v>
      </c>
      <c r="I184" s="150">
        <v>10.92</v>
      </c>
    </row>
    <row r="185" spans="1:9" ht="15.6" x14ac:dyDescent="0.25">
      <c r="A185" s="145"/>
      <c r="B185" s="146">
        <v>633248</v>
      </c>
      <c r="C185" s="147"/>
      <c r="D185" s="148" t="s">
        <v>916</v>
      </c>
      <c r="E185" s="149">
        <v>0</v>
      </c>
      <c r="F185" s="149">
        <v>0</v>
      </c>
      <c r="G185" s="149">
        <v>0</v>
      </c>
      <c r="H185" s="149">
        <v>0</v>
      </c>
      <c r="I185" s="150">
        <v>0</v>
      </c>
    </row>
    <row r="186" spans="1:9" ht="15.6" x14ac:dyDescent="0.25">
      <c r="A186" s="145"/>
      <c r="B186" s="146">
        <v>638143</v>
      </c>
      <c r="C186" s="147"/>
      <c r="D186" s="148" t="s">
        <v>944</v>
      </c>
      <c r="E186" s="149">
        <v>5.31</v>
      </c>
      <c r="F186" s="149">
        <v>2.88</v>
      </c>
      <c r="G186" s="149">
        <v>0</v>
      </c>
      <c r="H186" s="149">
        <v>2.73</v>
      </c>
      <c r="I186" s="150">
        <v>10.92</v>
      </c>
    </row>
    <row r="187" spans="1:9" ht="15.6" x14ac:dyDescent="0.25">
      <c r="A187" s="145"/>
      <c r="B187" s="146">
        <v>639071</v>
      </c>
      <c r="C187" s="147"/>
      <c r="D187" s="148" t="s">
        <v>829</v>
      </c>
      <c r="E187" s="149">
        <v>5.31</v>
      </c>
      <c r="F187" s="149">
        <v>2.88</v>
      </c>
      <c r="G187" s="149">
        <v>0</v>
      </c>
      <c r="H187" s="149">
        <v>2.73</v>
      </c>
      <c r="I187" s="150">
        <v>10.92</v>
      </c>
    </row>
    <row r="188" spans="1:9" ht="15.6" x14ac:dyDescent="0.25">
      <c r="A188" s="145"/>
      <c r="B188" s="146">
        <v>644201</v>
      </c>
      <c r="C188" s="147"/>
      <c r="D188" s="148" t="s">
        <v>966</v>
      </c>
      <c r="E188" s="149">
        <v>5.31</v>
      </c>
      <c r="F188" s="149">
        <v>2.88</v>
      </c>
      <c r="G188" s="149">
        <v>0</v>
      </c>
      <c r="H188" s="149">
        <v>2.73</v>
      </c>
      <c r="I188" s="150">
        <v>10.92</v>
      </c>
    </row>
    <row r="189" spans="1:9" ht="15.6" x14ac:dyDescent="0.25">
      <c r="A189" s="145"/>
      <c r="B189" s="146">
        <v>648065</v>
      </c>
      <c r="C189" s="147"/>
      <c r="D189" s="148" t="s">
        <v>846</v>
      </c>
      <c r="E189" s="149">
        <v>0</v>
      </c>
      <c r="F189" s="149">
        <v>0</v>
      </c>
      <c r="G189" s="149">
        <v>0</v>
      </c>
      <c r="H189" s="149">
        <v>0</v>
      </c>
      <c r="I189" s="150">
        <v>0</v>
      </c>
    </row>
    <row r="190" spans="1:9" ht="15.6" x14ac:dyDescent="0.25">
      <c r="A190" s="145"/>
      <c r="B190" s="146">
        <v>648823</v>
      </c>
      <c r="C190" s="147"/>
      <c r="D190" s="148" t="s">
        <v>892</v>
      </c>
      <c r="E190" s="149">
        <v>5.31</v>
      </c>
      <c r="F190" s="149">
        <v>2.88</v>
      </c>
      <c r="G190" s="149">
        <v>0</v>
      </c>
      <c r="H190" s="149">
        <v>2.73</v>
      </c>
      <c r="I190" s="150">
        <v>10.92</v>
      </c>
    </row>
    <row r="191" spans="1:9" ht="15.6" x14ac:dyDescent="0.25">
      <c r="A191" s="145"/>
      <c r="B191" s="146">
        <v>654223</v>
      </c>
      <c r="C191" s="147"/>
      <c r="D191" s="148" t="s">
        <v>751</v>
      </c>
      <c r="E191" s="149">
        <v>0</v>
      </c>
      <c r="F191" s="149">
        <v>0</v>
      </c>
      <c r="G191" s="149">
        <v>0</v>
      </c>
      <c r="H191" s="149">
        <v>0</v>
      </c>
      <c r="I191" s="150">
        <v>0</v>
      </c>
    </row>
    <row r="192" spans="1:9" ht="15.6" x14ac:dyDescent="0.25">
      <c r="A192" s="145"/>
      <c r="B192" s="146">
        <v>670811</v>
      </c>
      <c r="C192" s="147"/>
      <c r="D192" s="148" t="s">
        <v>780</v>
      </c>
      <c r="E192" s="149">
        <v>5.31</v>
      </c>
      <c r="F192" s="149">
        <v>2.88</v>
      </c>
      <c r="G192" s="149">
        <v>0</v>
      </c>
      <c r="H192" s="149">
        <v>2.73</v>
      </c>
      <c r="I192" s="150">
        <v>10.92</v>
      </c>
    </row>
    <row r="193" spans="1:9" ht="15.6" x14ac:dyDescent="0.25">
      <c r="A193" s="145"/>
      <c r="B193" s="146">
        <v>673124</v>
      </c>
      <c r="C193" s="147"/>
      <c r="D193" s="148" t="s">
        <v>915</v>
      </c>
      <c r="E193" s="149">
        <v>5.31</v>
      </c>
      <c r="F193" s="149">
        <v>2.88</v>
      </c>
      <c r="G193" s="149">
        <v>0</v>
      </c>
      <c r="H193" s="149">
        <v>2.73</v>
      </c>
      <c r="I193" s="150">
        <v>10.92</v>
      </c>
    </row>
    <row r="194" spans="1:9" ht="15.6" x14ac:dyDescent="0.25">
      <c r="A194" s="145"/>
      <c r="B194" s="146">
        <v>688731</v>
      </c>
      <c r="C194" s="147"/>
      <c r="D194" s="148" t="s">
        <v>872</v>
      </c>
      <c r="E194" s="149">
        <v>5.31</v>
      </c>
      <c r="F194" s="149">
        <v>2.88</v>
      </c>
      <c r="G194" s="149">
        <v>0</v>
      </c>
      <c r="H194" s="149">
        <v>2.73</v>
      </c>
      <c r="I194" s="150">
        <v>10.92</v>
      </c>
    </row>
    <row r="195" spans="1:9" ht="15.6" x14ac:dyDescent="0.25">
      <c r="A195" s="145"/>
      <c r="B195" s="146">
        <v>689695</v>
      </c>
      <c r="C195" s="147"/>
      <c r="D195" s="148" t="s">
        <v>728</v>
      </c>
      <c r="E195" s="149">
        <v>0</v>
      </c>
      <c r="F195" s="149">
        <v>0</v>
      </c>
      <c r="G195" s="149">
        <v>0</v>
      </c>
      <c r="H195" s="149">
        <v>0</v>
      </c>
      <c r="I195" s="150">
        <v>0</v>
      </c>
    </row>
    <row r="196" spans="1:9" ht="15.6" x14ac:dyDescent="0.25">
      <c r="A196" s="145"/>
      <c r="B196" s="146">
        <v>691754</v>
      </c>
      <c r="C196" s="147"/>
      <c r="D196" s="148" t="s">
        <v>853</v>
      </c>
      <c r="E196" s="149">
        <v>5.31</v>
      </c>
      <c r="F196" s="149">
        <v>2.88</v>
      </c>
      <c r="G196" s="149">
        <v>0</v>
      </c>
      <c r="H196" s="149">
        <v>2.73</v>
      </c>
      <c r="I196" s="150">
        <v>10.92</v>
      </c>
    </row>
    <row r="197" spans="1:9" ht="15.6" x14ac:dyDescent="0.25">
      <c r="A197" s="145"/>
      <c r="B197" s="146">
        <v>697551</v>
      </c>
      <c r="C197" s="147"/>
      <c r="D197" s="148" t="s">
        <v>851</v>
      </c>
      <c r="E197" s="149">
        <v>5.31</v>
      </c>
      <c r="F197" s="149">
        <v>2.88</v>
      </c>
      <c r="G197" s="149">
        <v>22.66</v>
      </c>
      <c r="H197" s="149">
        <v>2.73</v>
      </c>
      <c r="I197" s="150">
        <v>33.58</v>
      </c>
    </row>
    <row r="198" spans="1:9" ht="15.6" x14ac:dyDescent="0.25">
      <c r="A198" s="145"/>
      <c r="B198" s="146">
        <v>707171</v>
      </c>
      <c r="C198" s="147"/>
      <c r="D198" s="148" t="s">
        <v>907</v>
      </c>
      <c r="E198" s="149">
        <v>0</v>
      </c>
      <c r="F198" s="149">
        <v>0</v>
      </c>
      <c r="G198" s="149">
        <v>0</v>
      </c>
      <c r="H198" s="149">
        <v>0</v>
      </c>
      <c r="I198" s="150">
        <v>0</v>
      </c>
    </row>
    <row r="199" spans="1:9" ht="15.6" x14ac:dyDescent="0.25">
      <c r="A199" s="145"/>
      <c r="B199" s="146">
        <v>709951</v>
      </c>
      <c r="C199" s="147"/>
      <c r="D199" s="148" t="s">
        <v>816</v>
      </c>
      <c r="E199" s="149">
        <v>5.31</v>
      </c>
      <c r="F199" s="149">
        <v>2.88</v>
      </c>
      <c r="G199" s="149">
        <v>0</v>
      </c>
      <c r="H199" s="149">
        <v>2.73</v>
      </c>
      <c r="I199" s="150">
        <v>10.92</v>
      </c>
    </row>
    <row r="200" spans="1:9" ht="15.6" x14ac:dyDescent="0.25">
      <c r="A200" s="145"/>
      <c r="B200" s="146">
        <v>714082</v>
      </c>
      <c r="C200" s="147"/>
      <c r="D200" s="148" t="s">
        <v>887</v>
      </c>
      <c r="E200" s="149">
        <v>5.31</v>
      </c>
      <c r="F200" s="149">
        <v>2.88</v>
      </c>
      <c r="G200" s="149">
        <v>0</v>
      </c>
      <c r="H200" s="149">
        <v>2.73</v>
      </c>
      <c r="I200" s="150">
        <v>10.92</v>
      </c>
    </row>
    <row r="201" spans="1:9" ht="15.6" x14ac:dyDescent="0.25">
      <c r="A201" s="145"/>
      <c r="B201" s="146">
        <v>717327</v>
      </c>
      <c r="C201" s="147"/>
      <c r="D201" s="148" t="s">
        <v>874</v>
      </c>
      <c r="E201" s="149">
        <v>5.31</v>
      </c>
      <c r="F201" s="149">
        <v>2.88</v>
      </c>
      <c r="G201" s="149">
        <v>0</v>
      </c>
      <c r="H201" s="149">
        <v>2.73</v>
      </c>
      <c r="I201" s="150">
        <v>10.92</v>
      </c>
    </row>
    <row r="202" spans="1:9" ht="15.6" x14ac:dyDescent="0.25">
      <c r="A202" s="145"/>
      <c r="B202" s="146">
        <v>717708</v>
      </c>
      <c r="C202" s="147"/>
      <c r="D202" s="148" t="s">
        <v>815</v>
      </c>
      <c r="E202" s="149">
        <v>0</v>
      </c>
      <c r="F202" s="149">
        <v>0</v>
      </c>
      <c r="G202" s="149">
        <v>0</v>
      </c>
      <c r="H202" s="149">
        <v>0</v>
      </c>
      <c r="I202" s="150">
        <v>0</v>
      </c>
    </row>
    <row r="203" spans="1:9" ht="15.6" x14ac:dyDescent="0.25">
      <c r="A203" s="145"/>
      <c r="B203" s="146">
        <v>717716</v>
      </c>
      <c r="C203" s="147"/>
      <c r="D203" s="148" t="s">
        <v>857</v>
      </c>
      <c r="E203" s="149">
        <v>0</v>
      </c>
      <c r="F203" s="149">
        <v>0</v>
      </c>
      <c r="G203" s="149">
        <v>0</v>
      </c>
      <c r="H203" s="149">
        <v>0</v>
      </c>
      <c r="I203" s="150">
        <v>0</v>
      </c>
    </row>
    <row r="204" spans="1:9" ht="15.6" x14ac:dyDescent="0.25">
      <c r="A204" s="145"/>
      <c r="B204" s="146">
        <v>725024</v>
      </c>
      <c r="C204" s="147"/>
      <c r="D204" s="148" t="s">
        <v>773</v>
      </c>
      <c r="E204" s="149">
        <v>5.31</v>
      </c>
      <c r="F204" s="149">
        <v>2.88</v>
      </c>
      <c r="G204" s="149">
        <v>53.82</v>
      </c>
      <c r="H204" s="149">
        <v>2.73</v>
      </c>
      <c r="I204" s="150">
        <v>64.739999999999995</v>
      </c>
    </row>
    <row r="205" spans="1:9" ht="15.6" x14ac:dyDescent="0.25">
      <c r="A205" s="145"/>
      <c r="B205" s="146">
        <v>726355</v>
      </c>
      <c r="C205" s="147"/>
      <c r="D205" s="148" t="s">
        <v>917</v>
      </c>
      <c r="E205" s="149">
        <v>5.31</v>
      </c>
      <c r="F205" s="149">
        <v>2.88</v>
      </c>
      <c r="G205" s="149">
        <v>0</v>
      </c>
      <c r="H205" s="149">
        <v>2.73</v>
      </c>
      <c r="I205" s="150">
        <v>10.92</v>
      </c>
    </row>
    <row r="206" spans="1:9" ht="15.6" x14ac:dyDescent="0.25">
      <c r="A206" s="145"/>
      <c r="B206" s="146">
        <v>728818</v>
      </c>
      <c r="C206" s="147"/>
      <c r="D206" s="148" t="s">
        <v>931</v>
      </c>
      <c r="E206" s="149">
        <v>5.31</v>
      </c>
      <c r="F206" s="149">
        <v>2.88</v>
      </c>
      <c r="G206" s="149">
        <v>0</v>
      </c>
      <c r="H206" s="149">
        <v>2.73</v>
      </c>
      <c r="I206" s="150">
        <v>10.92</v>
      </c>
    </row>
    <row r="207" spans="1:9" ht="15.6" x14ac:dyDescent="0.25">
      <c r="A207" s="145"/>
      <c r="B207" s="146">
        <v>733999</v>
      </c>
      <c r="C207" s="147"/>
      <c r="D207" s="148" t="s">
        <v>790</v>
      </c>
      <c r="E207" s="149">
        <v>5.31</v>
      </c>
      <c r="F207" s="149">
        <v>2.88</v>
      </c>
      <c r="G207" s="149">
        <v>24.03</v>
      </c>
      <c r="H207" s="149">
        <v>2.73</v>
      </c>
      <c r="I207" s="150">
        <v>34.949999999999996</v>
      </c>
    </row>
    <row r="208" spans="1:9" ht="15.6" x14ac:dyDescent="0.25">
      <c r="A208" s="145"/>
      <c r="B208" s="146">
        <v>735330</v>
      </c>
      <c r="C208" s="147"/>
      <c r="D208" s="148" t="s">
        <v>822</v>
      </c>
      <c r="E208" s="149">
        <v>5.31</v>
      </c>
      <c r="F208" s="149">
        <v>2.88</v>
      </c>
      <c r="G208" s="149">
        <v>0</v>
      </c>
      <c r="H208" s="149">
        <v>2.73</v>
      </c>
      <c r="I208" s="150">
        <v>10.92</v>
      </c>
    </row>
    <row r="209" spans="1:9" ht="15.6" x14ac:dyDescent="0.25">
      <c r="A209" s="145"/>
      <c r="B209" s="146">
        <v>737846</v>
      </c>
      <c r="C209" s="147"/>
      <c r="D209" s="148" t="s">
        <v>790</v>
      </c>
      <c r="E209" s="149">
        <v>5.31</v>
      </c>
      <c r="F209" s="149">
        <v>2.88</v>
      </c>
      <c r="G209" s="149">
        <v>24.03</v>
      </c>
      <c r="H209" s="149">
        <v>2.73</v>
      </c>
      <c r="I209" s="150">
        <v>34.949999999999996</v>
      </c>
    </row>
    <row r="210" spans="1:9" ht="15.6" x14ac:dyDescent="0.25">
      <c r="A210" s="145"/>
      <c r="B210" s="146">
        <v>742004</v>
      </c>
      <c r="C210" s="147"/>
      <c r="D210" s="148" t="s">
        <v>857</v>
      </c>
      <c r="E210" s="149">
        <v>0</v>
      </c>
      <c r="F210" s="149">
        <v>0</v>
      </c>
      <c r="G210" s="149">
        <v>0</v>
      </c>
      <c r="H210" s="149">
        <v>0</v>
      </c>
      <c r="I210" s="150">
        <v>0</v>
      </c>
    </row>
    <row r="211" spans="1:9" ht="15.6" x14ac:dyDescent="0.25">
      <c r="A211" s="145"/>
      <c r="B211" s="146">
        <v>743996</v>
      </c>
      <c r="C211" s="147"/>
      <c r="D211" s="148" t="s">
        <v>885</v>
      </c>
      <c r="E211" s="149">
        <v>5.31</v>
      </c>
      <c r="F211" s="149">
        <v>2.88</v>
      </c>
      <c r="G211" s="149">
        <v>0</v>
      </c>
      <c r="H211" s="149">
        <v>2.73</v>
      </c>
      <c r="I211" s="150">
        <v>10.92</v>
      </c>
    </row>
    <row r="212" spans="1:9" ht="15.6" x14ac:dyDescent="0.25">
      <c r="A212" s="145"/>
      <c r="B212" s="146">
        <v>756509</v>
      </c>
      <c r="C212" s="147"/>
      <c r="D212" s="148" t="s">
        <v>759</v>
      </c>
      <c r="E212" s="149">
        <v>0</v>
      </c>
      <c r="F212" s="149">
        <v>0</v>
      </c>
      <c r="G212" s="149">
        <v>0</v>
      </c>
      <c r="H212" s="149">
        <v>2.73</v>
      </c>
      <c r="I212" s="150">
        <v>2.73</v>
      </c>
    </row>
    <row r="213" spans="1:9" ht="15.6" x14ac:dyDescent="0.25">
      <c r="A213" s="145"/>
      <c r="B213" s="146">
        <v>756550</v>
      </c>
      <c r="C213" s="147"/>
      <c r="D213" s="148" t="s">
        <v>851</v>
      </c>
      <c r="E213" s="149">
        <v>5.31</v>
      </c>
      <c r="F213" s="149">
        <v>2.88</v>
      </c>
      <c r="G213" s="149">
        <v>22.66</v>
      </c>
      <c r="H213" s="149">
        <v>2.73</v>
      </c>
      <c r="I213" s="150">
        <v>33.58</v>
      </c>
    </row>
    <row r="214" spans="1:9" ht="15.6" x14ac:dyDescent="0.25">
      <c r="A214" s="145"/>
      <c r="B214" s="146">
        <v>758528</v>
      </c>
      <c r="C214" s="147"/>
      <c r="D214" s="148" t="s">
        <v>944</v>
      </c>
      <c r="E214" s="149">
        <v>5.31</v>
      </c>
      <c r="F214" s="149">
        <v>2.88</v>
      </c>
      <c r="G214" s="149">
        <v>0</v>
      </c>
      <c r="H214" s="149">
        <v>2.73</v>
      </c>
      <c r="I214" s="150">
        <v>10.92</v>
      </c>
    </row>
    <row r="215" spans="1:9" ht="15.6" x14ac:dyDescent="0.25">
      <c r="A215" s="145"/>
      <c r="B215" s="146">
        <v>765415</v>
      </c>
      <c r="C215" s="147"/>
      <c r="D215" s="148" t="s">
        <v>823</v>
      </c>
      <c r="E215" s="149">
        <v>5.31</v>
      </c>
      <c r="F215" s="149">
        <v>2.88</v>
      </c>
      <c r="G215" s="149">
        <v>0</v>
      </c>
      <c r="H215" s="149">
        <v>2.73</v>
      </c>
      <c r="I215" s="150">
        <v>10.92</v>
      </c>
    </row>
    <row r="216" spans="1:9" ht="15.6" x14ac:dyDescent="0.25">
      <c r="A216" s="145"/>
      <c r="B216" s="146">
        <v>769171</v>
      </c>
      <c r="C216" s="147"/>
      <c r="D216" s="148" t="s">
        <v>780</v>
      </c>
      <c r="E216" s="149">
        <v>5.31</v>
      </c>
      <c r="F216" s="149">
        <v>2.88</v>
      </c>
      <c r="G216" s="149">
        <v>49.91</v>
      </c>
      <c r="H216" s="149">
        <v>2.73</v>
      </c>
      <c r="I216" s="150">
        <v>60.829999999999991</v>
      </c>
    </row>
    <row r="217" spans="1:9" ht="15.6" x14ac:dyDescent="0.25">
      <c r="A217" s="145"/>
      <c r="B217" s="146">
        <v>769663</v>
      </c>
      <c r="C217" s="147"/>
      <c r="D217" s="148" t="s">
        <v>851</v>
      </c>
      <c r="E217" s="149">
        <v>5.31</v>
      </c>
      <c r="F217" s="149">
        <v>2.88</v>
      </c>
      <c r="G217" s="149">
        <v>22.66</v>
      </c>
      <c r="H217" s="149">
        <v>2.73</v>
      </c>
      <c r="I217" s="150">
        <v>33.58</v>
      </c>
    </row>
    <row r="218" spans="1:9" ht="15.6" x14ac:dyDescent="0.25">
      <c r="A218" s="145"/>
      <c r="B218" s="146">
        <v>784676</v>
      </c>
      <c r="C218" s="147"/>
      <c r="D218" s="148" t="s">
        <v>880</v>
      </c>
      <c r="E218" s="149">
        <v>5.31</v>
      </c>
      <c r="F218" s="149">
        <v>2.88</v>
      </c>
      <c r="G218" s="149">
        <v>0</v>
      </c>
      <c r="H218" s="149">
        <v>0</v>
      </c>
      <c r="I218" s="150">
        <v>8.19</v>
      </c>
    </row>
    <row r="219" spans="1:9" ht="15.6" x14ac:dyDescent="0.25">
      <c r="A219" s="145"/>
      <c r="B219" s="146">
        <v>789106</v>
      </c>
      <c r="C219" s="147"/>
      <c r="D219" s="148" t="s">
        <v>868</v>
      </c>
      <c r="E219" s="149">
        <v>5.31</v>
      </c>
      <c r="F219" s="149">
        <v>2.88</v>
      </c>
      <c r="G219" s="149">
        <v>0</v>
      </c>
      <c r="H219" s="149">
        <v>2.73</v>
      </c>
      <c r="I219" s="150">
        <v>10.92</v>
      </c>
    </row>
    <row r="220" spans="1:9" ht="15.6" x14ac:dyDescent="0.25">
      <c r="A220" s="145"/>
      <c r="B220" s="146">
        <v>796308</v>
      </c>
      <c r="C220" s="147"/>
      <c r="D220" s="148" t="s">
        <v>851</v>
      </c>
      <c r="E220" s="149">
        <v>5.31</v>
      </c>
      <c r="F220" s="149">
        <v>2.88</v>
      </c>
      <c r="G220" s="149">
        <v>22.66</v>
      </c>
      <c r="H220" s="149">
        <v>2.73</v>
      </c>
      <c r="I220" s="150">
        <v>33.58</v>
      </c>
    </row>
    <row r="221" spans="1:9" ht="15.6" x14ac:dyDescent="0.25">
      <c r="A221" s="145"/>
      <c r="B221" s="146">
        <v>797290</v>
      </c>
      <c r="C221" s="147"/>
      <c r="D221" s="148" t="s">
        <v>926</v>
      </c>
      <c r="E221" s="149">
        <v>5.31</v>
      </c>
      <c r="F221" s="149">
        <v>0</v>
      </c>
      <c r="G221" s="149">
        <v>0</v>
      </c>
      <c r="H221" s="149">
        <v>2.73</v>
      </c>
      <c r="I221" s="150">
        <v>8.0399999999999991</v>
      </c>
    </row>
    <row r="222" spans="1:9" ht="15.6" x14ac:dyDescent="0.25">
      <c r="A222" s="145"/>
      <c r="B222" s="146">
        <v>808972</v>
      </c>
      <c r="C222" s="147"/>
      <c r="D222" s="148" t="s">
        <v>868</v>
      </c>
      <c r="E222" s="149">
        <v>5.31</v>
      </c>
      <c r="F222" s="149">
        <v>2.88</v>
      </c>
      <c r="G222" s="149">
        <v>0</v>
      </c>
      <c r="H222" s="149">
        <v>2.73</v>
      </c>
      <c r="I222" s="150">
        <v>10.92</v>
      </c>
    </row>
    <row r="223" spans="1:9" ht="15.6" x14ac:dyDescent="0.25">
      <c r="A223" s="145"/>
      <c r="B223" s="146">
        <v>813996</v>
      </c>
      <c r="C223" s="147"/>
      <c r="D223" s="148" t="s">
        <v>765</v>
      </c>
      <c r="E223" s="149">
        <v>0</v>
      </c>
      <c r="F223" s="149">
        <v>0</v>
      </c>
      <c r="G223" s="149">
        <v>0</v>
      </c>
      <c r="H223" s="149">
        <v>0</v>
      </c>
      <c r="I223" s="150">
        <v>0</v>
      </c>
    </row>
    <row r="224" spans="1:9" ht="15.6" x14ac:dyDescent="0.25">
      <c r="A224" s="145"/>
      <c r="B224" s="146">
        <v>817887</v>
      </c>
      <c r="C224" s="147"/>
      <c r="D224" s="148" t="s">
        <v>868</v>
      </c>
      <c r="E224" s="149">
        <v>5.31</v>
      </c>
      <c r="F224" s="149">
        <v>2.88</v>
      </c>
      <c r="G224" s="149">
        <v>0</v>
      </c>
      <c r="H224" s="149">
        <v>2.73</v>
      </c>
      <c r="I224" s="150">
        <v>10.92</v>
      </c>
    </row>
    <row r="225" spans="1:9" ht="15.6" x14ac:dyDescent="0.25">
      <c r="A225" s="145"/>
      <c r="B225" s="146">
        <v>823083</v>
      </c>
      <c r="C225" s="147"/>
      <c r="D225" s="148" t="s">
        <v>873</v>
      </c>
      <c r="E225" s="149">
        <v>5.31</v>
      </c>
      <c r="F225" s="149">
        <v>2.88</v>
      </c>
      <c r="G225" s="149">
        <v>0</v>
      </c>
      <c r="H225" s="149">
        <v>2.73</v>
      </c>
      <c r="I225" s="150">
        <v>10.92</v>
      </c>
    </row>
    <row r="226" spans="1:9" ht="15.6" x14ac:dyDescent="0.25">
      <c r="A226" s="145"/>
      <c r="B226" s="146">
        <v>827304</v>
      </c>
      <c r="C226" s="147"/>
      <c r="D226" s="148" t="s">
        <v>967</v>
      </c>
      <c r="E226" s="149">
        <v>5.31</v>
      </c>
      <c r="F226" s="149">
        <v>2.88</v>
      </c>
      <c r="G226" s="149">
        <v>0</v>
      </c>
      <c r="H226" s="149">
        <v>2.73</v>
      </c>
      <c r="I226" s="150">
        <v>10.92</v>
      </c>
    </row>
    <row r="227" spans="1:9" ht="15.6" x14ac:dyDescent="0.25">
      <c r="A227" s="145"/>
      <c r="B227" s="146">
        <v>829815</v>
      </c>
      <c r="C227" s="147"/>
      <c r="D227" s="148" t="s">
        <v>851</v>
      </c>
      <c r="E227" s="149">
        <v>5.31</v>
      </c>
      <c r="F227" s="149">
        <v>2.88</v>
      </c>
      <c r="G227" s="149">
        <v>22.66</v>
      </c>
      <c r="H227" s="149">
        <v>2.73</v>
      </c>
      <c r="I227" s="150">
        <v>33.58</v>
      </c>
    </row>
    <row r="228" spans="1:9" ht="15.6" x14ac:dyDescent="0.25">
      <c r="A228" s="145"/>
      <c r="B228" s="146">
        <v>852929</v>
      </c>
      <c r="C228" s="147"/>
      <c r="D228" s="148" t="s">
        <v>857</v>
      </c>
      <c r="E228" s="149">
        <v>0</v>
      </c>
      <c r="F228" s="149">
        <v>0</v>
      </c>
      <c r="G228" s="149">
        <v>0</v>
      </c>
      <c r="H228" s="149">
        <v>0</v>
      </c>
      <c r="I228" s="150">
        <v>0</v>
      </c>
    </row>
    <row r="229" spans="1:9" ht="15.6" x14ac:dyDescent="0.25">
      <c r="A229" s="145"/>
      <c r="B229" s="146">
        <v>858658</v>
      </c>
      <c r="C229" s="147"/>
      <c r="D229" s="148" t="s">
        <v>868</v>
      </c>
      <c r="E229" s="149">
        <v>5.31</v>
      </c>
      <c r="F229" s="149">
        <v>2.88</v>
      </c>
      <c r="G229" s="149">
        <v>0</v>
      </c>
      <c r="H229" s="149">
        <v>2.73</v>
      </c>
      <c r="I229" s="150">
        <v>10.92</v>
      </c>
    </row>
    <row r="230" spans="1:9" ht="15.6" x14ac:dyDescent="0.25">
      <c r="A230" s="145"/>
      <c r="B230" s="146">
        <v>859791</v>
      </c>
      <c r="C230" s="147"/>
      <c r="D230" s="148" t="s">
        <v>918</v>
      </c>
      <c r="E230" s="149">
        <v>0</v>
      </c>
      <c r="F230" s="149">
        <v>0</v>
      </c>
      <c r="G230" s="149">
        <v>0</v>
      </c>
      <c r="H230" s="149">
        <v>0</v>
      </c>
      <c r="I230" s="150">
        <v>0</v>
      </c>
    </row>
    <row r="231" spans="1:9" ht="15.6" x14ac:dyDescent="0.25">
      <c r="A231" s="145"/>
      <c r="B231" s="146">
        <v>860396</v>
      </c>
      <c r="C231" s="147"/>
      <c r="D231" s="148" t="s">
        <v>775</v>
      </c>
      <c r="E231" s="149">
        <v>5.31</v>
      </c>
      <c r="F231" s="149">
        <v>2.88</v>
      </c>
      <c r="G231" s="149">
        <v>0</v>
      </c>
      <c r="H231" s="149">
        <v>2.73</v>
      </c>
      <c r="I231" s="150">
        <v>10.92</v>
      </c>
    </row>
    <row r="232" spans="1:9" ht="15.6" x14ac:dyDescent="0.25">
      <c r="A232" s="145"/>
      <c r="B232" s="146">
        <v>864766</v>
      </c>
      <c r="C232" s="147"/>
      <c r="D232" s="148" t="s">
        <v>868</v>
      </c>
      <c r="E232" s="149">
        <v>5.31</v>
      </c>
      <c r="F232" s="149">
        <v>2.88</v>
      </c>
      <c r="G232" s="149">
        <v>0</v>
      </c>
      <c r="H232" s="149">
        <v>2.73</v>
      </c>
      <c r="I232" s="150">
        <v>10.92</v>
      </c>
    </row>
    <row r="233" spans="1:9" ht="15.6" x14ac:dyDescent="0.25">
      <c r="A233" s="145"/>
      <c r="B233" s="146">
        <v>865543</v>
      </c>
      <c r="C233" s="147"/>
      <c r="D233" s="148" t="s">
        <v>771</v>
      </c>
      <c r="E233" s="149">
        <v>5.31</v>
      </c>
      <c r="F233" s="149">
        <v>2.88</v>
      </c>
      <c r="G233" s="149">
        <v>42.36</v>
      </c>
      <c r="H233" s="149">
        <v>2.73</v>
      </c>
      <c r="I233" s="150">
        <v>53.279999999999994</v>
      </c>
    </row>
    <row r="234" spans="1:9" ht="15.6" x14ac:dyDescent="0.25">
      <c r="A234" s="145"/>
      <c r="B234" s="146">
        <v>874086</v>
      </c>
      <c r="C234" s="147"/>
      <c r="D234" s="148" t="s">
        <v>851</v>
      </c>
      <c r="E234" s="149">
        <v>5.31</v>
      </c>
      <c r="F234" s="149">
        <v>2.88</v>
      </c>
      <c r="G234" s="149">
        <v>22.66</v>
      </c>
      <c r="H234" s="149">
        <v>2.73</v>
      </c>
      <c r="I234" s="150">
        <v>33.58</v>
      </c>
    </row>
    <row r="235" spans="1:9" ht="15.6" x14ac:dyDescent="0.25">
      <c r="A235" s="145"/>
      <c r="B235" s="146">
        <v>876771</v>
      </c>
      <c r="C235" s="147"/>
      <c r="D235" s="148" t="s">
        <v>899</v>
      </c>
      <c r="E235" s="149">
        <v>0</v>
      </c>
      <c r="F235" s="149">
        <v>2.88</v>
      </c>
      <c r="G235" s="149">
        <v>0</v>
      </c>
      <c r="H235" s="149">
        <v>2.73</v>
      </c>
      <c r="I235" s="150">
        <v>5.6099999999999994</v>
      </c>
    </row>
    <row r="236" spans="1:9" ht="15.6" x14ac:dyDescent="0.25">
      <c r="A236" s="145"/>
      <c r="B236" s="146">
        <v>880157</v>
      </c>
      <c r="C236" s="147"/>
      <c r="D236" s="148" t="s">
        <v>800</v>
      </c>
      <c r="E236" s="149">
        <v>0</v>
      </c>
      <c r="F236" s="149">
        <v>0</v>
      </c>
      <c r="G236" s="149">
        <v>0</v>
      </c>
      <c r="H236" s="149">
        <v>0</v>
      </c>
      <c r="I236" s="150">
        <v>0</v>
      </c>
    </row>
    <row r="237" spans="1:9" ht="15.6" x14ac:dyDescent="0.25">
      <c r="A237" s="145"/>
      <c r="B237" s="146">
        <v>883899</v>
      </c>
      <c r="C237" s="147"/>
      <c r="D237" s="148" t="s">
        <v>835</v>
      </c>
      <c r="E237" s="149">
        <v>5.31</v>
      </c>
      <c r="F237" s="149">
        <v>2.88</v>
      </c>
      <c r="G237" s="149">
        <v>0</v>
      </c>
      <c r="H237" s="149">
        <v>2.73</v>
      </c>
      <c r="I237" s="150">
        <v>10.92</v>
      </c>
    </row>
    <row r="238" spans="1:9" ht="15.6" x14ac:dyDescent="0.25">
      <c r="A238" s="145"/>
      <c r="B238" s="146">
        <v>884602</v>
      </c>
      <c r="C238" s="147"/>
      <c r="D238" s="148" t="s">
        <v>856</v>
      </c>
      <c r="E238" s="149">
        <v>5.31</v>
      </c>
      <c r="F238" s="149">
        <v>2.88</v>
      </c>
      <c r="G238" s="149">
        <v>0</v>
      </c>
      <c r="H238" s="149">
        <v>2.73</v>
      </c>
      <c r="I238" s="150">
        <v>10.92</v>
      </c>
    </row>
    <row r="239" spans="1:9" ht="15.6" x14ac:dyDescent="0.25">
      <c r="A239" s="145"/>
      <c r="B239" s="146">
        <v>887591</v>
      </c>
      <c r="C239" s="147"/>
      <c r="D239" s="148" t="s">
        <v>911</v>
      </c>
      <c r="E239" s="149">
        <v>5.31</v>
      </c>
      <c r="F239" s="149">
        <v>0</v>
      </c>
      <c r="G239" s="149">
        <v>0</v>
      </c>
      <c r="H239" s="149">
        <v>2.73</v>
      </c>
      <c r="I239" s="150">
        <v>8.0399999999999991</v>
      </c>
    </row>
    <row r="240" spans="1:9" ht="15.6" x14ac:dyDescent="0.25">
      <c r="A240" s="145"/>
      <c r="B240" s="146">
        <v>893879</v>
      </c>
      <c r="C240" s="147"/>
      <c r="D240" s="148" t="s">
        <v>851</v>
      </c>
      <c r="E240" s="149">
        <v>5.31</v>
      </c>
      <c r="F240" s="149">
        <v>2.88</v>
      </c>
      <c r="G240" s="149">
        <v>22.66</v>
      </c>
      <c r="H240" s="149">
        <v>2.73</v>
      </c>
      <c r="I240" s="150">
        <v>33.58</v>
      </c>
    </row>
    <row r="241" spans="1:9" ht="15.6" x14ac:dyDescent="0.25">
      <c r="A241" s="145"/>
      <c r="B241" s="146">
        <v>895086</v>
      </c>
      <c r="C241" s="147"/>
      <c r="D241" s="148" t="s">
        <v>828</v>
      </c>
      <c r="E241" s="149">
        <v>5.31</v>
      </c>
      <c r="F241" s="149">
        <v>2.88</v>
      </c>
      <c r="G241" s="149">
        <v>0</v>
      </c>
      <c r="H241" s="149">
        <v>2.73</v>
      </c>
      <c r="I241" s="150">
        <v>10.92</v>
      </c>
    </row>
    <row r="242" spans="1:9" ht="15.6" x14ac:dyDescent="0.25">
      <c r="A242" s="145"/>
      <c r="B242" s="146">
        <v>904385</v>
      </c>
      <c r="C242" s="147"/>
      <c r="D242" s="148" t="s">
        <v>789</v>
      </c>
      <c r="E242" s="149">
        <v>5.31</v>
      </c>
      <c r="F242" s="149">
        <v>2.88</v>
      </c>
      <c r="G242" s="149">
        <v>18.260000000000002</v>
      </c>
      <c r="H242" s="149">
        <v>2.73</v>
      </c>
      <c r="I242" s="150">
        <v>29.180000000000003</v>
      </c>
    </row>
    <row r="243" spans="1:9" ht="15.6" x14ac:dyDescent="0.25">
      <c r="A243" s="145"/>
      <c r="B243" s="146">
        <v>909137</v>
      </c>
      <c r="C243" s="147"/>
      <c r="D243" s="148" t="s">
        <v>825</v>
      </c>
      <c r="E243" s="149">
        <v>5.31</v>
      </c>
      <c r="F243" s="149">
        <v>2.88</v>
      </c>
      <c r="G243" s="149">
        <v>0</v>
      </c>
      <c r="H243" s="149">
        <v>2.73</v>
      </c>
      <c r="I243" s="150">
        <v>10.92</v>
      </c>
    </row>
    <row r="244" spans="1:9" ht="15.6" x14ac:dyDescent="0.25">
      <c r="A244" s="145"/>
      <c r="B244" s="146">
        <v>914120</v>
      </c>
      <c r="C244" s="147"/>
      <c r="D244" s="148" t="s">
        <v>868</v>
      </c>
      <c r="E244" s="149">
        <v>5.31</v>
      </c>
      <c r="F244" s="149">
        <v>2.88</v>
      </c>
      <c r="G244" s="149">
        <v>0</v>
      </c>
      <c r="H244" s="149">
        <v>2.73</v>
      </c>
      <c r="I244" s="150">
        <v>10.92</v>
      </c>
    </row>
    <row r="245" spans="1:9" ht="15.6" x14ac:dyDescent="0.25">
      <c r="A245" s="145"/>
      <c r="B245" s="146">
        <v>916337</v>
      </c>
      <c r="C245" s="147"/>
      <c r="D245" s="148" t="s">
        <v>779</v>
      </c>
      <c r="E245" s="149">
        <v>5.31</v>
      </c>
      <c r="F245" s="149">
        <v>2.88</v>
      </c>
      <c r="G245" s="149">
        <v>0</v>
      </c>
      <c r="H245" s="149">
        <v>2.73</v>
      </c>
      <c r="I245" s="150">
        <v>10.92</v>
      </c>
    </row>
    <row r="246" spans="1:9" ht="15.6" x14ac:dyDescent="0.25">
      <c r="A246" s="145"/>
      <c r="B246" s="146">
        <v>933942</v>
      </c>
      <c r="C246" s="147"/>
      <c r="D246" s="148" t="s">
        <v>851</v>
      </c>
      <c r="E246" s="149">
        <v>5.31</v>
      </c>
      <c r="F246" s="149">
        <v>2.88</v>
      </c>
      <c r="G246" s="149">
        <v>28.61</v>
      </c>
      <c r="H246" s="149">
        <v>2.73</v>
      </c>
      <c r="I246" s="150">
        <v>39.529999999999994</v>
      </c>
    </row>
    <row r="247" spans="1:9" ht="15.6" x14ac:dyDescent="0.25">
      <c r="A247" s="145"/>
      <c r="B247" s="146">
        <v>942240</v>
      </c>
      <c r="C247" s="147"/>
      <c r="D247" s="148" t="s">
        <v>773</v>
      </c>
      <c r="E247" s="149">
        <v>5.31</v>
      </c>
      <c r="F247" s="149">
        <v>2.88</v>
      </c>
      <c r="G247" s="149">
        <v>72.45</v>
      </c>
      <c r="H247" s="149">
        <v>2.73</v>
      </c>
      <c r="I247" s="150">
        <v>83.37</v>
      </c>
    </row>
    <row r="248" spans="1:9" ht="15.6" x14ac:dyDescent="0.25">
      <c r="A248" s="145"/>
      <c r="B248" s="146">
        <v>942737</v>
      </c>
      <c r="C248" s="147"/>
      <c r="D248" s="148" t="s">
        <v>886</v>
      </c>
      <c r="E248" s="149">
        <v>5.31</v>
      </c>
      <c r="F248" s="149">
        <v>2.88</v>
      </c>
      <c r="G248" s="149">
        <v>0</v>
      </c>
      <c r="H248" s="149">
        <v>2.73</v>
      </c>
      <c r="I248" s="150">
        <v>10.92</v>
      </c>
    </row>
    <row r="249" spans="1:9" ht="15.6" x14ac:dyDescent="0.25">
      <c r="A249" s="145"/>
      <c r="B249" s="146">
        <v>943112</v>
      </c>
      <c r="C249" s="147"/>
      <c r="D249" s="148" t="s">
        <v>751</v>
      </c>
      <c r="E249" s="149">
        <v>0</v>
      </c>
      <c r="F249" s="149">
        <v>0</v>
      </c>
      <c r="G249" s="149">
        <v>0</v>
      </c>
      <c r="H249" s="149">
        <v>0</v>
      </c>
      <c r="I249" s="150">
        <v>0</v>
      </c>
    </row>
    <row r="250" spans="1:9" ht="15.6" x14ac:dyDescent="0.25">
      <c r="A250" s="145"/>
      <c r="B250" s="146">
        <v>950481</v>
      </c>
      <c r="C250" s="147"/>
      <c r="D250" s="148" t="s">
        <v>823</v>
      </c>
      <c r="E250" s="149">
        <v>5.31</v>
      </c>
      <c r="F250" s="149">
        <v>2.88</v>
      </c>
      <c r="G250" s="149">
        <v>0</v>
      </c>
      <c r="H250" s="149">
        <v>2.73</v>
      </c>
      <c r="I250" s="150">
        <v>10.92</v>
      </c>
    </row>
    <row r="251" spans="1:9" ht="15.6" x14ac:dyDescent="0.25">
      <c r="A251" s="145"/>
      <c r="B251" s="146">
        <v>953852</v>
      </c>
      <c r="C251" s="147"/>
      <c r="D251" s="148" t="s">
        <v>881</v>
      </c>
      <c r="E251" s="149">
        <v>5.31</v>
      </c>
      <c r="F251" s="149">
        <v>2.88</v>
      </c>
      <c r="G251" s="149">
        <v>0</v>
      </c>
      <c r="H251" s="149">
        <v>2.73</v>
      </c>
      <c r="I251" s="150">
        <v>10.92</v>
      </c>
    </row>
    <row r="252" spans="1:9" ht="15.6" x14ac:dyDescent="0.25">
      <c r="A252" s="145"/>
      <c r="B252" s="146">
        <v>956883</v>
      </c>
      <c r="C252" s="147"/>
      <c r="D252" s="148" t="s">
        <v>771</v>
      </c>
      <c r="E252" s="149">
        <v>5.31</v>
      </c>
      <c r="F252" s="149">
        <v>2.88</v>
      </c>
      <c r="G252" s="149">
        <v>64.47</v>
      </c>
      <c r="H252" s="149">
        <v>2.73</v>
      </c>
      <c r="I252" s="150">
        <v>75.39</v>
      </c>
    </row>
    <row r="253" spans="1:9" ht="15.6" x14ac:dyDescent="0.25">
      <c r="A253" s="145"/>
      <c r="B253" s="146">
        <v>960659</v>
      </c>
      <c r="C253" s="147"/>
      <c r="D253" s="148" t="s">
        <v>907</v>
      </c>
      <c r="E253" s="149">
        <v>0</v>
      </c>
      <c r="F253" s="149">
        <v>0</v>
      </c>
      <c r="G253" s="149">
        <v>0</v>
      </c>
      <c r="H253" s="149">
        <v>0</v>
      </c>
      <c r="I253" s="150">
        <v>0</v>
      </c>
    </row>
    <row r="254" spans="1:9" ht="15.6" x14ac:dyDescent="0.25">
      <c r="A254" s="145"/>
      <c r="B254" s="146">
        <v>961103</v>
      </c>
      <c r="C254" s="147"/>
      <c r="D254" s="148" t="s">
        <v>898</v>
      </c>
      <c r="E254" s="149">
        <v>5.31</v>
      </c>
      <c r="F254" s="149">
        <v>2.88</v>
      </c>
      <c r="G254" s="149">
        <v>0</v>
      </c>
      <c r="H254" s="149">
        <v>2.73</v>
      </c>
      <c r="I254" s="150">
        <v>10.92</v>
      </c>
    </row>
    <row r="255" spans="1:9" ht="15.6" x14ac:dyDescent="0.25">
      <c r="A255" s="145"/>
      <c r="B255" s="146">
        <v>961845</v>
      </c>
      <c r="C255" s="147"/>
      <c r="D255" s="148" t="s">
        <v>900</v>
      </c>
      <c r="E255" s="149">
        <v>5.31</v>
      </c>
      <c r="F255" s="149">
        <v>2.88</v>
      </c>
      <c r="G255" s="149">
        <v>0</v>
      </c>
      <c r="H255" s="149">
        <v>2.73</v>
      </c>
      <c r="I255" s="150">
        <v>10.92</v>
      </c>
    </row>
    <row r="256" spans="1:9" ht="15.6" x14ac:dyDescent="0.25">
      <c r="A256" s="145"/>
      <c r="B256" s="146">
        <v>964002</v>
      </c>
      <c r="C256" s="147"/>
      <c r="D256" s="148" t="s">
        <v>823</v>
      </c>
      <c r="E256" s="149">
        <v>5.31</v>
      </c>
      <c r="F256" s="149">
        <v>2.88</v>
      </c>
      <c r="G256" s="149">
        <v>0</v>
      </c>
      <c r="H256" s="149">
        <v>2.73</v>
      </c>
      <c r="I256" s="150">
        <v>10.92</v>
      </c>
    </row>
    <row r="257" spans="1:9" ht="15.6" x14ac:dyDescent="0.25">
      <c r="A257" s="145"/>
      <c r="B257" s="146">
        <v>966238</v>
      </c>
      <c r="C257" s="147"/>
      <c r="D257" s="148" t="s">
        <v>753</v>
      </c>
      <c r="E257" s="149">
        <v>0</v>
      </c>
      <c r="F257" s="149">
        <v>0</v>
      </c>
      <c r="G257" s="149">
        <v>0</v>
      </c>
      <c r="H257" s="149">
        <v>2.73</v>
      </c>
      <c r="I257" s="150">
        <v>2.73</v>
      </c>
    </row>
    <row r="258" spans="1:9" ht="15.6" x14ac:dyDescent="0.25">
      <c r="A258" s="145"/>
      <c r="B258" s="146">
        <v>977539</v>
      </c>
      <c r="C258" s="147"/>
      <c r="D258" s="148" t="s">
        <v>869</v>
      </c>
      <c r="E258" s="149">
        <v>5.31</v>
      </c>
      <c r="F258" s="149">
        <v>2.88</v>
      </c>
      <c r="G258" s="149">
        <v>0</v>
      </c>
      <c r="H258" s="149">
        <v>2.73</v>
      </c>
      <c r="I258" s="150">
        <v>10.92</v>
      </c>
    </row>
    <row r="259" spans="1:9" ht="15.6" x14ac:dyDescent="0.25">
      <c r="A259" s="145"/>
      <c r="B259" s="146">
        <v>979731</v>
      </c>
      <c r="C259" s="147"/>
      <c r="D259" s="148" t="s">
        <v>868</v>
      </c>
      <c r="E259" s="149">
        <v>5.31</v>
      </c>
      <c r="F259" s="149">
        <v>2.88</v>
      </c>
      <c r="G259" s="149">
        <v>0</v>
      </c>
      <c r="H259" s="149">
        <v>2.73</v>
      </c>
      <c r="I259" s="150">
        <v>10.92</v>
      </c>
    </row>
    <row r="260" spans="1:9" ht="15.6" x14ac:dyDescent="0.25">
      <c r="A260" s="145"/>
      <c r="B260" s="146">
        <v>983008</v>
      </c>
      <c r="C260" s="147"/>
      <c r="D260" s="148" t="s">
        <v>821</v>
      </c>
      <c r="E260" s="149">
        <v>5.31</v>
      </c>
      <c r="F260" s="149">
        <v>2.88</v>
      </c>
      <c r="G260" s="149">
        <v>0</v>
      </c>
      <c r="H260" s="149">
        <v>2.73</v>
      </c>
      <c r="I260" s="150">
        <v>10.92</v>
      </c>
    </row>
    <row r="261" spans="1:9" ht="15.6" x14ac:dyDescent="0.25">
      <c r="A261" s="145"/>
      <c r="B261" s="146">
        <v>988627</v>
      </c>
      <c r="C261" s="147"/>
      <c r="D261" s="148" t="s">
        <v>773</v>
      </c>
      <c r="E261" s="149">
        <v>5.31</v>
      </c>
      <c r="F261" s="149">
        <v>2.88</v>
      </c>
      <c r="G261" s="149">
        <v>0</v>
      </c>
      <c r="H261" s="149">
        <v>2.73</v>
      </c>
      <c r="I261" s="150">
        <v>10.92</v>
      </c>
    </row>
    <row r="262" spans="1:9" ht="15.6" x14ac:dyDescent="0.25">
      <c r="A262" s="145"/>
      <c r="B262" s="146">
        <v>988954</v>
      </c>
      <c r="C262" s="147"/>
      <c r="D262" s="148" t="s">
        <v>816</v>
      </c>
      <c r="E262" s="149">
        <v>5.31</v>
      </c>
      <c r="F262" s="149">
        <v>2.88</v>
      </c>
      <c r="G262" s="149">
        <v>0</v>
      </c>
      <c r="H262" s="149">
        <v>2.73</v>
      </c>
      <c r="I262" s="150">
        <v>10.92</v>
      </c>
    </row>
    <row r="263" spans="1:9" ht="15.6" x14ac:dyDescent="0.25">
      <c r="A263" s="145"/>
      <c r="B263" s="146">
        <v>991149</v>
      </c>
      <c r="C263" s="147"/>
      <c r="D263" s="148" t="s">
        <v>812</v>
      </c>
      <c r="E263" s="149">
        <v>0</v>
      </c>
      <c r="F263" s="149">
        <v>0</v>
      </c>
      <c r="G263" s="149">
        <v>0</v>
      </c>
      <c r="H263" s="149">
        <v>0</v>
      </c>
      <c r="I263" s="150">
        <v>0</v>
      </c>
    </row>
    <row r="264" spans="1:9" ht="15.6" x14ac:dyDescent="0.25">
      <c r="A264" s="145"/>
      <c r="B264" s="146">
        <v>1001189</v>
      </c>
      <c r="C264" s="147"/>
      <c r="D264" s="148" t="s">
        <v>773</v>
      </c>
      <c r="E264" s="149">
        <v>5.31</v>
      </c>
      <c r="F264" s="149">
        <v>2.88</v>
      </c>
      <c r="G264" s="149">
        <v>0</v>
      </c>
      <c r="H264" s="149">
        <v>2.73</v>
      </c>
      <c r="I264" s="150">
        <v>10.92</v>
      </c>
    </row>
    <row r="265" spans="1:9" ht="15.6" x14ac:dyDescent="0.25">
      <c r="A265" s="145"/>
      <c r="B265" s="146">
        <v>1002847</v>
      </c>
      <c r="C265" s="147"/>
      <c r="D265" s="148" t="s">
        <v>751</v>
      </c>
      <c r="E265" s="149">
        <v>0</v>
      </c>
      <c r="F265" s="149">
        <v>0</v>
      </c>
      <c r="G265" s="149">
        <v>0</v>
      </c>
      <c r="H265" s="149">
        <v>0</v>
      </c>
      <c r="I265" s="150">
        <v>0</v>
      </c>
    </row>
    <row r="266" spans="1:9" ht="15.6" x14ac:dyDescent="0.25">
      <c r="A266" s="145"/>
      <c r="B266" s="146">
        <v>1004867</v>
      </c>
      <c r="C266" s="147"/>
      <c r="D266" s="148" t="s">
        <v>816</v>
      </c>
      <c r="E266" s="149">
        <v>5.31</v>
      </c>
      <c r="F266" s="149">
        <v>2.88</v>
      </c>
      <c r="G266" s="149">
        <v>0</v>
      </c>
      <c r="H266" s="149">
        <v>2.73</v>
      </c>
      <c r="I266" s="150">
        <v>10.92</v>
      </c>
    </row>
    <row r="267" spans="1:9" ht="15.6" x14ac:dyDescent="0.25">
      <c r="A267" s="145"/>
      <c r="B267" s="146">
        <v>1011348</v>
      </c>
      <c r="C267" s="147"/>
      <c r="D267" s="148" t="s">
        <v>864</v>
      </c>
      <c r="E267" s="149">
        <v>5.31</v>
      </c>
      <c r="F267" s="149">
        <v>2.88</v>
      </c>
      <c r="G267" s="149">
        <v>0</v>
      </c>
      <c r="H267" s="149">
        <v>2.73</v>
      </c>
      <c r="I267" s="150">
        <v>10.92</v>
      </c>
    </row>
    <row r="268" spans="1:9" ht="15.6" x14ac:dyDescent="0.25">
      <c r="A268" s="145"/>
      <c r="B268" s="146">
        <v>1012979</v>
      </c>
      <c r="C268" s="147"/>
      <c r="D268" s="148" t="s">
        <v>838</v>
      </c>
      <c r="E268" s="149">
        <v>5.31</v>
      </c>
      <c r="F268" s="149">
        <v>2.88</v>
      </c>
      <c r="G268" s="149">
        <v>0</v>
      </c>
      <c r="H268" s="149">
        <v>2.73</v>
      </c>
      <c r="I268" s="150">
        <v>10.92</v>
      </c>
    </row>
    <row r="269" spans="1:9" ht="15.6" x14ac:dyDescent="0.25">
      <c r="A269" s="145"/>
      <c r="B269" s="146">
        <v>1013848</v>
      </c>
      <c r="C269" s="147"/>
      <c r="D269" s="148" t="s">
        <v>861</v>
      </c>
      <c r="E269" s="149">
        <v>0</v>
      </c>
      <c r="F269" s="149">
        <v>0</v>
      </c>
      <c r="G269" s="149">
        <v>0</v>
      </c>
      <c r="H269" s="149">
        <v>0</v>
      </c>
      <c r="I269" s="150">
        <v>0</v>
      </c>
    </row>
    <row r="270" spans="1:9" ht="15.6" x14ac:dyDescent="0.25">
      <c r="A270" s="145"/>
      <c r="B270" s="146">
        <v>1017848</v>
      </c>
      <c r="C270" s="147"/>
      <c r="D270" s="148" t="s">
        <v>860</v>
      </c>
      <c r="E270" s="149">
        <v>5.31</v>
      </c>
      <c r="F270" s="149">
        <v>2.88</v>
      </c>
      <c r="G270" s="149">
        <v>0</v>
      </c>
      <c r="H270" s="149">
        <v>2.73</v>
      </c>
      <c r="I270" s="150">
        <v>10.92</v>
      </c>
    </row>
    <row r="271" spans="1:9" ht="15.6" x14ac:dyDescent="0.25">
      <c r="A271" s="145"/>
      <c r="B271" s="146">
        <v>1019661</v>
      </c>
      <c r="C271" s="147"/>
      <c r="D271" s="148" t="s">
        <v>830</v>
      </c>
      <c r="E271" s="149">
        <v>5.31</v>
      </c>
      <c r="F271" s="149">
        <v>2.88</v>
      </c>
      <c r="G271" s="149">
        <v>0</v>
      </c>
      <c r="H271" s="149">
        <v>0</v>
      </c>
      <c r="I271" s="150">
        <v>8.19</v>
      </c>
    </row>
    <row r="272" spans="1:9" ht="15.6" x14ac:dyDescent="0.25">
      <c r="A272" s="145"/>
      <c r="B272" s="146">
        <v>1020033</v>
      </c>
      <c r="C272" s="147"/>
      <c r="D272" s="148" t="s">
        <v>817</v>
      </c>
      <c r="E272" s="149">
        <v>5.31</v>
      </c>
      <c r="F272" s="149">
        <v>2.88</v>
      </c>
      <c r="G272" s="149">
        <v>0</v>
      </c>
      <c r="H272" s="149">
        <v>2.73</v>
      </c>
      <c r="I272" s="150">
        <v>10.92</v>
      </c>
    </row>
    <row r="273" spans="1:9" ht="15.6" x14ac:dyDescent="0.25">
      <c r="A273" s="145"/>
      <c r="B273" s="146">
        <v>1020290</v>
      </c>
      <c r="C273" s="147"/>
      <c r="D273" s="148" t="s">
        <v>762</v>
      </c>
      <c r="E273" s="149">
        <v>0</v>
      </c>
      <c r="F273" s="149">
        <v>0</v>
      </c>
      <c r="G273" s="149">
        <v>0</v>
      </c>
      <c r="H273" s="149">
        <v>0</v>
      </c>
      <c r="I273" s="150">
        <v>0</v>
      </c>
    </row>
    <row r="274" spans="1:9" ht="15.6" x14ac:dyDescent="0.25">
      <c r="A274" s="145"/>
      <c r="B274" s="146">
        <v>1022076</v>
      </c>
      <c r="C274" s="147"/>
      <c r="D274" s="148" t="s">
        <v>818</v>
      </c>
      <c r="E274" s="149">
        <v>5.31</v>
      </c>
      <c r="F274" s="149">
        <v>2.88</v>
      </c>
      <c r="G274" s="149">
        <v>0</v>
      </c>
      <c r="H274" s="149">
        <v>2.73</v>
      </c>
      <c r="I274" s="150">
        <v>10.92</v>
      </c>
    </row>
    <row r="275" spans="1:9" ht="15.6" x14ac:dyDescent="0.25">
      <c r="A275" s="145"/>
      <c r="B275" s="146">
        <v>1025676</v>
      </c>
      <c r="C275" s="147"/>
      <c r="D275" s="148" t="s">
        <v>824</v>
      </c>
      <c r="E275" s="149">
        <v>5.31</v>
      </c>
      <c r="F275" s="149">
        <v>2.88</v>
      </c>
      <c r="G275" s="149">
        <v>0</v>
      </c>
      <c r="H275" s="149">
        <v>2.73</v>
      </c>
      <c r="I275" s="150">
        <v>10.92</v>
      </c>
    </row>
    <row r="276" spans="1:9" ht="15.6" x14ac:dyDescent="0.25">
      <c r="A276" s="145"/>
      <c r="B276" s="146">
        <v>1030154</v>
      </c>
      <c r="C276" s="147"/>
      <c r="D276" s="148" t="s">
        <v>868</v>
      </c>
      <c r="E276" s="149">
        <v>5.31</v>
      </c>
      <c r="F276" s="149">
        <v>2.88</v>
      </c>
      <c r="G276" s="149">
        <v>0</v>
      </c>
      <c r="H276" s="149">
        <v>2.73</v>
      </c>
      <c r="I276" s="150">
        <v>10.92</v>
      </c>
    </row>
    <row r="277" spans="1:9" ht="15.6" x14ac:dyDescent="0.25">
      <c r="A277" s="145"/>
      <c r="B277" s="146">
        <v>1030512</v>
      </c>
      <c r="C277" s="147"/>
      <c r="D277" s="148" t="s">
        <v>927</v>
      </c>
      <c r="E277" s="149">
        <v>0</v>
      </c>
      <c r="F277" s="149">
        <v>0</v>
      </c>
      <c r="G277" s="149">
        <v>0</v>
      </c>
      <c r="H277" s="149">
        <v>2.73</v>
      </c>
      <c r="I277" s="150">
        <v>2.73</v>
      </c>
    </row>
    <row r="278" spans="1:9" ht="15.6" x14ac:dyDescent="0.25">
      <c r="A278" s="145"/>
      <c r="B278" s="146">
        <v>1033437</v>
      </c>
      <c r="C278" s="147"/>
      <c r="D278" s="148" t="s">
        <v>868</v>
      </c>
      <c r="E278" s="149">
        <v>5.31</v>
      </c>
      <c r="F278" s="149">
        <v>2.88</v>
      </c>
      <c r="G278" s="149">
        <v>0</v>
      </c>
      <c r="H278" s="149">
        <v>2.73</v>
      </c>
      <c r="I278" s="150">
        <v>10.92</v>
      </c>
    </row>
    <row r="279" spans="1:9" ht="15.6" x14ac:dyDescent="0.25">
      <c r="A279" s="145"/>
      <c r="B279" s="146">
        <v>1038374</v>
      </c>
      <c r="C279" s="147"/>
      <c r="D279" s="148" t="s">
        <v>865</v>
      </c>
      <c r="E279" s="149">
        <v>5.31</v>
      </c>
      <c r="F279" s="149">
        <v>2.88</v>
      </c>
      <c r="G279" s="149">
        <v>0</v>
      </c>
      <c r="H279" s="149">
        <v>2.73</v>
      </c>
      <c r="I279" s="150">
        <v>10.92</v>
      </c>
    </row>
    <row r="280" spans="1:9" ht="15.6" x14ac:dyDescent="0.25">
      <c r="A280" s="145"/>
      <c r="B280" s="146">
        <v>1042823</v>
      </c>
      <c r="C280" s="147"/>
      <c r="D280" s="148" t="s">
        <v>818</v>
      </c>
      <c r="E280" s="149">
        <v>5.31</v>
      </c>
      <c r="F280" s="149">
        <v>2.88</v>
      </c>
      <c r="G280" s="149">
        <v>0</v>
      </c>
      <c r="H280" s="149">
        <v>2.73</v>
      </c>
      <c r="I280" s="150">
        <v>10.92</v>
      </c>
    </row>
    <row r="281" spans="1:9" ht="15.6" x14ac:dyDescent="0.25">
      <c r="A281" s="145"/>
      <c r="B281" s="146">
        <v>1043479</v>
      </c>
      <c r="C281" s="147"/>
      <c r="D281" s="148" t="s">
        <v>868</v>
      </c>
      <c r="E281" s="149">
        <v>5.31</v>
      </c>
      <c r="F281" s="149">
        <v>2.88</v>
      </c>
      <c r="G281" s="149">
        <v>0</v>
      </c>
      <c r="H281" s="149">
        <v>2.73</v>
      </c>
      <c r="I281" s="150">
        <v>10.92</v>
      </c>
    </row>
    <row r="282" spans="1:9" ht="15.6" x14ac:dyDescent="0.25">
      <c r="A282" s="145"/>
      <c r="B282" s="146">
        <v>1043951</v>
      </c>
      <c r="C282" s="147"/>
      <c r="D282" s="148" t="s">
        <v>944</v>
      </c>
      <c r="E282" s="149">
        <v>5.31</v>
      </c>
      <c r="F282" s="149">
        <v>2.88</v>
      </c>
      <c r="G282" s="149">
        <v>0</v>
      </c>
      <c r="H282" s="149">
        <v>2.73</v>
      </c>
      <c r="I282" s="150">
        <v>10.92</v>
      </c>
    </row>
    <row r="283" spans="1:9" ht="15.6" x14ac:dyDescent="0.25">
      <c r="A283" s="145"/>
      <c r="B283" s="146">
        <v>1046199</v>
      </c>
      <c r="C283" s="147"/>
      <c r="D283" s="148" t="s">
        <v>858</v>
      </c>
      <c r="E283" s="149">
        <v>5.31</v>
      </c>
      <c r="F283" s="149">
        <v>2.88</v>
      </c>
      <c r="G283" s="149">
        <v>0</v>
      </c>
      <c r="H283" s="149">
        <v>2.73</v>
      </c>
      <c r="I283" s="150">
        <v>10.92</v>
      </c>
    </row>
    <row r="284" spans="1:9" ht="15.6" x14ac:dyDescent="0.25">
      <c r="A284" s="145"/>
      <c r="B284" s="146">
        <v>1057378</v>
      </c>
      <c r="C284" s="147"/>
      <c r="D284" s="148" t="s">
        <v>861</v>
      </c>
      <c r="E284" s="149">
        <v>5.31</v>
      </c>
      <c r="F284" s="149">
        <v>2.88</v>
      </c>
      <c r="G284" s="149">
        <v>0</v>
      </c>
      <c r="H284" s="149">
        <v>0</v>
      </c>
      <c r="I284" s="150">
        <v>8.19</v>
      </c>
    </row>
    <row r="285" spans="1:9" ht="15.6" x14ac:dyDescent="0.25">
      <c r="A285" s="145"/>
      <c r="B285" s="146">
        <v>1058523</v>
      </c>
      <c r="C285" s="147"/>
      <c r="D285" s="148" t="s">
        <v>826</v>
      </c>
      <c r="E285" s="149">
        <v>5.31</v>
      </c>
      <c r="F285" s="149">
        <v>2.88</v>
      </c>
      <c r="G285" s="149">
        <v>0</v>
      </c>
      <c r="H285" s="149">
        <v>2.73</v>
      </c>
      <c r="I285" s="150">
        <v>10.92</v>
      </c>
    </row>
    <row r="286" spans="1:9" ht="15.6" x14ac:dyDescent="0.25">
      <c r="A286" s="145"/>
      <c r="B286" s="146">
        <v>1059679</v>
      </c>
      <c r="C286" s="147"/>
      <c r="D286" s="148" t="s">
        <v>789</v>
      </c>
      <c r="E286" s="149">
        <v>5.31</v>
      </c>
      <c r="F286" s="149">
        <v>2.88</v>
      </c>
      <c r="G286" s="149">
        <v>18.260000000000002</v>
      </c>
      <c r="H286" s="149">
        <v>2.73</v>
      </c>
      <c r="I286" s="150">
        <v>29.180000000000003</v>
      </c>
    </row>
    <row r="287" spans="1:9" ht="15.6" x14ac:dyDescent="0.25">
      <c r="A287" s="145"/>
      <c r="B287" s="146">
        <v>1062200</v>
      </c>
      <c r="C287" s="147"/>
      <c r="D287" s="148" t="s">
        <v>868</v>
      </c>
      <c r="E287" s="149">
        <v>5.31</v>
      </c>
      <c r="F287" s="149">
        <v>2.88</v>
      </c>
      <c r="G287" s="149">
        <v>0</v>
      </c>
      <c r="H287" s="149">
        <v>2.73</v>
      </c>
      <c r="I287" s="150">
        <v>10.92</v>
      </c>
    </row>
    <row r="288" spans="1:9" ht="15.6" x14ac:dyDescent="0.25">
      <c r="A288" s="145"/>
      <c r="B288" s="146">
        <v>1062551</v>
      </c>
      <c r="C288" s="147"/>
      <c r="D288" s="148" t="s">
        <v>868</v>
      </c>
      <c r="E288" s="149">
        <v>5.31</v>
      </c>
      <c r="F288" s="149">
        <v>2.88</v>
      </c>
      <c r="G288" s="149">
        <v>0</v>
      </c>
      <c r="H288" s="149">
        <v>2.73</v>
      </c>
      <c r="I288" s="150">
        <v>10.92</v>
      </c>
    </row>
    <row r="289" spans="1:9" ht="15.6" x14ac:dyDescent="0.25">
      <c r="A289" s="145"/>
      <c r="B289" s="146">
        <v>1065258</v>
      </c>
      <c r="C289" s="147"/>
      <c r="D289" s="148" t="s">
        <v>868</v>
      </c>
      <c r="E289" s="149">
        <v>5.31</v>
      </c>
      <c r="F289" s="149">
        <v>2.88</v>
      </c>
      <c r="G289" s="149">
        <v>0</v>
      </c>
      <c r="H289" s="149">
        <v>2.73</v>
      </c>
      <c r="I289" s="150">
        <v>10.92</v>
      </c>
    </row>
    <row r="290" spans="1:9" ht="15.6" x14ac:dyDescent="0.25">
      <c r="A290" s="145"/>
      <c r="B290" s="146">
        <v>1067350</v>
      </c>
      <c r="C290" s="147"/>
      <c r="D290" s="148" t="s">
        <v>828</v>
      </c>
      <c r="E290" s="149">
        <v>5.31</v>
      </c>
      <c r="F290" s="149">
        <v>2.88</v>
      </c>
      <c r="G290" s="149">
        <v>0</v>
      </c>
      <c r="H290" s="149">
        <v>2.73</v>
      </c>
      <c r="I290" s="150">
        <v>10.92</v>
      </c>
    </row>
    <row r="291" spans="1:9" ht="15.6" x14ac:dyDescent="0.25">
      <c r="A291" s="145"/>
      <c r="B291" s="146">
        <v>1076153</v>
      </c>
      <c r="C291" s="147"/>
      <c r="D291" s="148" t="s">
        <v>857</v>
      </c>
      <c r="E291" s="149">
        <v>5.31</v>
      </c>
      <c r="F291" s="149">
        <v>2.88</v>
      </c>
      <c r="G291" s="149">
        <v>0</v>
      </c>
      <c r="H291" s="149">
        <v>2.73</v>
      </c>
      <c r="I291" s="150">
        <v>10.92</v>
      </c>
    </row>
    <row r="292" spans="1:9" ht="15.6" x14ac:dyDescent="0.25">
      <c r="A292" s="145"/>
      <c r="B292" s="146">
        <v>1085145</v>
      </c>
      <c r="C292" s="147"/>
      <c r="D292" s="148" t="s">
        <v>826</v>
      </c>
      <c r="E292" s="149">
        <v>5.31</v>
      </c>
      <c r="F292" s="149">
        <v>2.88</v>
      </c>
      <c r="G292" s="149">
        <v>0</v>
      </c>
      <c r="H292" s="149">
        <v>2.73</v>
      </c>
      <c r="I292" s="150">
        <v>10.92</v>
      </c>
    </row>
    <row r="293" spans="1:9" ht="15.6" x14ac:dyDescent="0.25">
      <c r="A293" s="145"/>
      <c r="B293" s="146">
        <v>1085987</v>
      </c>
      <c r="C293" s="147"/>
      <c r="D293" s="148" t="s">
        <v>868</v>
      </c>
      <c r="E293" s="149">
        <v>5.31</v>
      </c>
      <c r="F293" s="149">
        <v>2.88</v>
      </c>
      <c r="G293" s="149">
        <v>0</v>
      </c>
      <c r="H293" s="149">
        <v>2.73</v>
      </c>
      <c r="I293" s="150">
        <v>10.92</v>
      </c>
    </row>
    <row r="294" spans="1:9" ht="15.6" x14ac:dyDescent="0.25">
      <c r="A294" s="145"/>
      <c r="B294" s="146">
        <v>1086079</v>
      </c>
      <c r="C294" s="147"/>
      <c r="D294" s="148" t="s">
        <v>877</v>
      </c>
      <c r="E294" s="149">
        <v>0</v>
      </c>
      <c r="F294" s="149">
        <v>0</v>
      </c>
      <c r="G294" s="149">
        <v>0</v>
      </c>
      <c r="H294" s="149">
        <v>2.73</v>
      </c>
      <c r="I294" s="150">
        <v>2.73</v>
      </c>
    </row>
    <row r="295" spans="1:9" ht="15.6" x14ac:dyDescent="0.25">
      <c r="A295" s="145"/>
      <c r="B295" s="146">
        <v>1086098</v>
      </c>
      <c r="C295" s="147"/>
      <c r="D295" s="148" t="s">
        <v>732</v>
      </c>
      <c r="E295" s="149">
        <v>0</v>
      </c>
      <c r="F295" s="149">
        <v>0</v>
      </c>
      <c r="G295" s="149">
        <v>0</v>
      </c>
      <c r="H295" s="149">
        <v>0</v>
      </c>
      <c r="I295" s="150">
        <v>0</v>
      </c>
    </row>
    <row r="296" spans="1:9" ht="15.6" x14ac:dyDescent="0.25">
      <c r="A296" s="145"/>
      <c r="B296" s="146">
        <v>1095062</v>
      </c>
      <c r="C296" s="147"/>
      <c r="D296" s="148" t="s">
        <v>745</v>
      </c>
      <c r="E296" s="149">
        <v>5.31</v>
      </c>
      <c r="F296" s="149">
        <v>2.88</v>
      </c>
      <c r="G296" s="149">
        <v>0</v>
      </c>
      <c r="H296" s="149">
        <v>2.73</v>
      </c>
      <c r="I296" s="150">
        <v>10.92</v>
      </c>
    </row>
    <row r="297" spans="1:9" ht="15.6" x14ac:dyDescent="0.25">
      <c r="A297" s="145"/>
      <c r="B297" s="146">
        <v>1104649</v>
      </c>
      <c r="C297" s="147"/>
      <c r="D297" s="148" t="s">
        <v>790</v>
      </c>
      <c r="E297" s="149">
        <v>5.31</v>
      </c>
      <c r="F297" s="149">
        <v>2.88</v>
      </c>
      <c r="G297" s="149">
        <v>18.260000000000002</v>
      </c>
      <c r="H297" s="149">
        <v>2.73</v>
      </c>
      <c r="I297" s="150">
        <v>29.180000000000003</v>
      </c>
    </row>
    <row r="298" spans="1:9" ht="15.6" x14ac:dyDescent="0.25">
      <c r="A298" s="145"/>
      <c r="B298" s="146">
        <v>1104676</v>
      </c>
      <c r="C298" s="147"/>
      <c r="D298" s="148" t="s">
        <v>876</v>
      </c>
      <c r="E298" s="149">
        <v>0</v>
      </c>
      <c r="F298" s="149">
        <v>0</v>
      </c>
      <c r="G298" s="149">
        <v>0</v>
      </c>
      <c r="H298" s="149">
        <v>0</v>
      </c>
      <c r="I298" s="150">
        <v>0</v>
      </c>
    </row>
    <row r="299" spans="1:9" ht="15.6" x14ac:dyDescent="0.25">
      <c r="A299" s="145"/>
      <c r="B299" s="146">
        <v>1105353</v>
      </c>
      <c r="C299" s="147"/>
      <c r="D299" s="148" t="s">
        <v>868</v>
      </c>
      <c r="E299" s="149">
        <v>5.31</v>
      </c>
      <c r="F299" s="149">
        <v>2.88</v>
      </c>
      <c r="G299" s="149">
        <v>0</v>
      </c>
      <c r="H299" s="149">
        <v>2.73</v>
      </c>
      <c r="I299" s="150">
        <v>10.92</v>
      </c>
    </row>
    <row r="300" spans="1:9" ht="15.6" x14ac:dyDescent="0.25">
      <c r="A300" s="145"/>
      <c r="B300" s="146">
        <v>1105695</v>
      </c>
      <c r="C300" s="147"/>
      <c r="D300" s="148" t="s">
        <v>851</v>
      </c>
      <c r="E300" s="149">
        <v>5.31</v>
      </c>
      <c r="F300" s="149">
        <v>2.88</v>
      </c>
      <c r="G300" s="149">
        <v>22.66</v>
      </c>
      <c r="H300" s="149">
        <v>2.73</v>
      </c>
      <c r="I300" s="150">
        <v>33.58</v>
      </c>
    </row>
    <row r="301" spans="1:9" ht="15.6" x14ac:dyDescent="0.25">
      <c r="A301" s="145"/>
      <c r="B301" s="146">
        <v>1107994</v>
      </c>
      <c r="C301" s="147"/>
      <c r="D301" s="148" t="s">
        <v>868</v>
      </c>
      <c r="E301" s="149">
        <v>5.31</v>
      </c>
      <c r="F301" s="149">
        <v>2.88</v>
      </c>
      <c r="G301" s="149">
        <v>0</v>
      </c>
      <c r="H301" s="149">
        <v>2.73</v>
      </c>
      <c r="I301" s="150">
        <v>10.92</v>
      </c>
    </row>
    <row r="302" spans="1:9" ht="15.6" x14ac:dyDescent="0.25">
      <c r="A302" s="145"/>
      <c r="B302" s="146">
        <v>1110374</v>
      </c>
      <c r="C302" s="147"/>
      <c r="D302" s="148" t="s">
        <v>851</v>
      </c>
      <c r="E302" s="149">
        <v>5.31</v>
      </c>
      <c r="F302" s="149">
        <v>2.88</v>
      </c>
      <c r="G302" s="149">
        <v>22.66</v>
      </c>
      <c r="H302" s="149">
        <v>2.73</v>
      </c>
      <c r="I302" s="150">
        <v>33.58</v>
      </c>
    </row>
    <row r="303" spans="1:9" ht="15.6" x14ac:dyDescent="0.25">
      <c r="A303" s="145"/>
      <c r="B303" s="146">
        <v>1116341</v>
      </c>
      <c r="C303" s="147"/>
      <c r="D303" s="148" t="s">
        <v>773</v>
      </c>
      <c r="E303" s="149">
        <v>5.31</v>
      </c>
      <c r="F303" s="149">
        <v>2.88</v>
      </c>
      <c r="G303" s="149">
        <v>36.590000000000003</v>
      </c>
      <c r="H303" s="149">
        <v>2.73</v>
      </c>
      <c r="I303" s="150">
        <v>47.51</v>
      </c>
    </row>
    <row r="304" spans="1:9" ht="15.6" x14ac:dyDescent="0.25">
      <c r="A304" s="145"/>
      <c r="B304" s="146">
        <v>1117589</v>
      </c>
      <c r="C304" s="147"/>
      <c r="D304" s="148" t="s">
        <v>877</v>
      </c>
      <c r="E304" s="149">
        <v>0</v>
      </c>
      <c r="F304" s="149">
        <v>0</v>
      </c>
      <c r="G304" s="149">
        <v>0</v>
      </c>
      <c r="H304" s="149">
        <v>2.73</v>
      </c>
      <c r="I304" s="150">
        <v>2.73</v>
      </c>
    </row>
    <row r="305" spans="1:9" ht="15.6" x14ac:dyDescent="0.25">
      <c r="A305" s="145"/>
      <c r="B305" s="146">
        <v>1119366</v>
      </c>
      <c r="C305" s="147"/>
      <c r="D305" s="148" t="s">
        <v>893</v>
      </c>
      <c r="E305" s="149">
        <v>5.31</v>
      </c>
      <c r="F305" s="149">
        <v>2.88</v>
      </c>
      <c r="G305" s="149">
        <v>0</v>
      </c>
      <c r="H305" s="149">
        <v>2.73</v>
      </c>
      <c r="I305" s="150">
        <v>10.92</v>
      </c>
    </row>
    <row r="306" spans="1:9" ht="15.6" x14ac:dyDescent="0.25">
      <c r="A306" s="145"/>
      <c r="B306" s="146">
        <v>1133359</v>
      </c>
      <c r="C306" s="147"/>
      <c r="D306" s="148" t="s">
        <v>774</v>
      </c>
      <c r="E306" s="149">
        <v>5.31</v>
      </c>
      <c r="F306" s="149">
        <v>2.88</v>
      </c>
      <c r="G306" s="149">
        <v>39.64</v>
      </c>
      <c r="H306" s="149">
        <v>2.73</v>
      </c>
      <c r="I306" s="150">
        <v>50.559999999999995</v>
      </c>
    </row>
    <row r="307" spans="1:9" ht="15.6" x14ac:dyDescent="0.25">
      <c r="A307" s="145"/>
      <c r="B307" s="146">
        <v>1135194</v>
      </c>
      <c r="C307" s="147"/>
      <c r="D307" s="148" t="s">
        <v>888</v>
      </c>
      <c r="E307" s="149">
        <v>0</v>
      </c>
      <c r="F307" s="149">
        <v>0</v>
      </c>
      <c r="G307" s="149">
        <v>0</v>
      </c>
      <c r="H307" s="149">
        <v>0</v>
      </c>
      <c r="I307" s="150">
        <v>0</v>
      </c>
    </row>
    <row r="308" spans="1:9" ht="15.6" x14ac:dyDescent="0.25">
      <c r="A308" s="145"/>
      <c r="B308" s="146">
        <v>1137770</v>
      </c>
      <c r="C308" s="147"/>
      <c r="D308" s="148" t="s">
        <v>851</v>
      </c>
      <c r="E308" s="149">
        <v>5.31</v>
      </c>
      <c r="F308" s="149">
        <v>2.88</v>
      </c>
      <c r="G308" s="149">
        <v>30.22</v>
      </c>
      <c r="H308" s="149">
        <v>2.73</v>
      </c>
      <c r="I308" s="150">
        <v>41.139999999999993</v>
      </c>
    </row>
    <row r="309" spans="1:9" ht="15.6" x14ac:dyDescent="0.25">
      <c r="A309" s="145"/>
      <c r="B309" s="146">
        <v>1142696</v>
      </c>
      <c r="C309" s="147"/>
      <c r="D309" s="148" t="s">
        <v>894</v>
      </c>
      <c r="E309" s="149">
        <v>5.31</v>
      </c>
      <c r="F309" s="149">
        <v>2.88</v>
      </c>
      <c r="G309" s="149">
        <v>0</v>
      </c>
      <c r="H309" s="149">
        <v>0</v>
      </c>
      <c r="I309" s="150">
        <v>8.19</v>
      </c>
    </row>
    <row r="310" spans="1:9" ht="15.6" x14ac:dyDescent="0.25">
      <c r="A310" s="145"/>
      <c r="B310" s="146">
        <v>1152677</v>
      </c>
      <c r="C310" s="147"/>
      <c r="D310" s="148" t="s">
        <v>876</v>
      </c>
      <c r="E310" s="149">
        <v>0</v>
      </c>
      <c r="F310" s="149">
        <v>0</v>
      </c>
      <c r="G310" s="149">
        <v>0</v>
      </c>
      <c r="H310" s="149">
        <v>0</v>
      </c>
      <c r="I310" s="150">
        <v>0</v>
      </c>
    </row>
    <row r="311" spans="1:9" ht="15.6" x14ac:dyDescent="0.25">
      <c r="A311" s="145"/>
      <c r="B311" s="146">
        <v>1154199</v>
      </c>
      <c r="C311" s="147"/>
      <c r="D311" s="148" t="s">
        <v>868</v>
      </c>
      <c r="E311" s="149">
        <v>5.31</v>
      </c>
      <c r="F311" s="149">
        <v>2.88</v>
      </c>
      <c r="G311" s="149">
        <v>0</v>
      </c>
      <c r="H311" s="149">
        <v>2.73</v>
      </c>
      <c r="I311" s="150">
        <v>10.92</v>
      </c>
    </row>
    <row r="312" spans="1:9" ht="15.6" x14ac:dyDescent="0.25">
      <c r="A312" s="145"/>
      <c r="B312" s="146">
        <v>1155822</v>
      </c>
      <c r="C312" s="147"/>
      <c r="D312" s="148" t="s">
        <v>803</v>
      </c>
      <c r="E312" s="149">
        <v>0</v>
      </c>
      <c r="F312" s="149">
        <v>0</v>
      </c>
      <c r="G312" s="149">
        <v>0</v>
      </c>
      <c r="H312" s="149">
        <v>0</v>
      </c>
      <c r="I312" s="150">
        <v>0</v>
      </c>
    </row>
    <row r="313" spans="1:9" ht="15.6" x14ac:dyDescent="0.25">
      <c r="A313" s="145"/>
      <c r="B313" s="146">
        <v>1156851</v>
      </c>
      <c r="C313" s="147"/>
      <c r="D313" s="148" t="s">
        <v>865</v>
      </c>
      <c r="E313" s="149">
        <v>5.31</v>
      </c>
      <c r="F313" s="149">
        <v>2.88</v>
      </c>
      <c r="G313" s="149">
        <v>0</v>
      </c>
      <c r="H313" s="149">
        <v>2.73</v>
      </c>
      <c r="I313" s="150">
        <v>10.92</v>
      </c>
    </row>
    <row r="314" spans="1:9" ht="15.6" x14ac:dyDescent="0.25">
      <c r="A314" s="145"/>
      <c r="B314" s="146">
        <v>1157892</v>
      </c>
      <c r="C314" s="147"/>
      <c r="D314" s="148" t="s">
        <v>868</v>
      </c>
      <c r="E314" s="149">
        <v>5.31</v>
      </c>
      <c r="F314" s="149">
        <v>2.88</v>
      </c>
      <c r="G314" s="149">
        <v>0</v>
      </c>
      <c r="H314" s="149">
        <v>2.73</v>
      </c>
      <c r="I314" s="150">
        <v>10.92</v>
      </c>
    </row>
    <row r="315" spans="1:9" ht="15.6" x14ac:dyDescent="0.25">
      <c r="A315" s="145"/>
      <c r="B315" s="146">
        <v>1161619</v>
      </c>
      <c r="C315" s="147"/>
      <c r="D315" s="148" t="s">
        <v>851</v>
      </c>
      <c r="E315" s="149">
        <v>5.31</v>
      </c>
      <c r="F315" s="149">
        <v>2.88</v>
      </c>
      <c r="G315" s="149">
        <v>28.61</v>
      </c>
      <c r="H315" s="149">
        <v>2.73</v>
      </c>
      <c r="I315" s="150">
        <v>39.529999999999994</v>
      </c>
    </row>
    <row r="316" spans="1:9" ht="15.6" x14ac:dyDescent="0.25">
      <c r="A316" s="145"/>
      <c r="B316" s="146">
        <v>1166438</v>
      </c>
      <c r="C316" s="147"/>
      <c r="D316" s="148" t="s">
        <v>926</v>
      </c>
      <c r="E316" s="149">
        <v>5.31</v>
      </c>
      <c r="F316" s="149">
        <v>0</v>
      </c>
      <c r="G316" s="149">
        <v>0</v>
      </c>
      <c r="H316" s="149">
        <v>2.73</v>
      </c>
      <c r="I316" s="150">
        <v>8.0399999999999991</v>
      </c>
    </row>
    <row r="317" spans="1:9" ht="15.6" x14ac:dyDescent="0.25">
      <c r="A317" s="145"/>
      <c r="B317" s="146">
        <v>1167701</v>
      </c>
      <c r="C317" s="147"/>
      <c r="D317" s="148" t="s">
        <v>790</v>
      </c>
      <c r="E317" s="149">
        <v>5.31</v>
      </c>
      <c r="F317" s="149">
        <v>2.88</v>
      </c>
      <c r="G317" s="149">
        <v>24.03</v>
      </c>
      <c r="H317" s="149">
        <v>2.73</v>
      </c>
      <c r="I317" s="150">
        <v>34.949999999999996</v>
      </c>
    </row>
    <row r="318" spans="1:9" ht="15.6" x14ac:dyDescent="0.25">
      <c r="A318" s="145"/>
      <c r="B318" s="146">
        <v>1169409</v>
      </c>
      <c r="C318" s="147"/>
      <c r="D318" s="148" t="s">
        <v>874</v>
      </c>
      <c r="E318" s="149">
        <v>5.31</v>
      </c>
      <c r="F318" s="149">
        <v>2.88</v>
      </c>
      <c r="G318" s="149">
        <v>0</v>
      </c>
      <c r="H318" s="149">
        <v>2.73</v>
      </c>
      <c r="I318" s="150">
        <v>10.92</v>
      </c>
    </row>
    <row r="319" spans="1:9" ht="15.6" x14ac:dyDescent="0.25">
      <c r="A319" s="145"/>
      <c r="B319" s="146">
        <v>1170049</v>
      </c>
      <c r="C319" s="147"/>
      <c r="D319" s="148" t="s">
        <v>817</v>
      </c>
      <c r="E319" s="149">
        <v>5.31</v>
      </c>
      <c r="F319" s="149">
        <v>2.88</v>
      </c>
      <c r="G319" s="149">
        <v>0</v>
      </c>
      <c r="H319" s="149">
        <v>2.73</v>
      </c>
      <c r="I319" s="150">
        <v>10.92</v>
      </c>
    </row>
    <row r="320" spans="1:9" ht="15.6" x14ac:dyDescent="0.25">
      <c r="A320" s="145"/>
      <c r="B320" s="146">
        <v>1170397</v>
      </c>
      <c r="C320" s="147"/>
      <c r="D320" s="148" t="s">
        <v>907</v>
      </c>
      <c r="E320" s="149">
        <v>0</v>
      </c>
      <c r="F320" s="149">
        <v>0</v>
      </c>
      <c r="G320" s="149">
        <v>0</v>
      </c>
      <c r="H320" s="149">
        <v>0</v>
      </c>
      <c r="I320" s="150">
        <v>0</v>
      </c>
    </row>
    <row r="321" spans="1:9" ht="15.6" x14ac:dyDescent="0.25">
      <c r="A321" s="145"/>
      <c r="B321" s="146">
        <v>1175176</v>
      </c>
      <c r="C321" s="147"/>
      <c r="D321" s="148" t="s">
        <v>912</v>
      </c>
      <c r="E321" s="149">
        <v>5.31</v>
      </c>
      <c r="F321" s="149">
        <v>2.88</v>
      </c>
      <c r="G321" s="149">
        <v>0</v>
      </c>
      <c r="H321" s="149">
        <v>2.73</v>
      </c>
      <c r="I321" s="150">
        <v>10.92</v>
      </c>
    </row>
    <row r="322" spans="1:9" ht="15.6" x14ac:dyDescent="0.25">
      <c r="A322" s="145"/>
      <c r="B322" s="146">
        <v>1178710</v>
      </c>
      <c r="C322" s="147"/>
      <c r="D322" s="148" t="s">
        <v>825</v>
      </c>
      <c r="E322" s="149">
        <v>5.31</v>
      </c>
      <c r="F322" s="149">
        <v>2.88</v>
      </c>
      <c r="G322" s="149">
        <v>0</v>
      </c>
      <c r="H322" s="149">
        <v>2.73</v>
      </c>
      <c r="I322" s="150">
        <v>10.92</v>
      </c>
    </row>
    <row r="323" spans="1:9" ht="15.6" x14ac:dyDescent="0.25">
      <c r="A323" s="145"/>
      <c r="B323" s="146">
        <v>1188600</v>
      </c>
      <c r="C323" s="147"/>
      <c r="D323" s="148" t="s">
        <v>789</v>
      </c>
      <c r="E323" s="149">
        <v>5.31</v>
      </c>
      <c r="F323" s="149">
        <v>2.88</v>
      </c>
      <c r="G323" s="149">
        <v>18.260000000000002</v>
      </c>
      <c r="H323" s="149">
        <v>2.73</v>
      </c>
      <c r="I323" s="150">
        <v>29.180000000000003</v>
      </c>
    </row>
    <row r="324" spans="1:9" ht="15.6" x14ac:dyDescent="0.25">
      <c r="A324" s="145"/>
      <c r="B324" s="146">
        <v>1191487</v>
      </c>
      <c r="C324" s="147"/>
      <c r="D324" s="148" t="s">
        <v>886</v>
      </c>
      <c r="E324" s="149">
        <v>5.31</v>
      </c>
      <c r="F324" s="149">
        <v>2.88</v>
      </c>
      <c r="G324" s="149">
        <v>0</v>
      </c>
      <c r="H324" s="149">
        <v>2.73</v>
      </c>
      <c r="I324" s="150">
        <v>10.92</v>
      </c>
    </row>
    <row r="325" spans="1:9" ht="15.6" x14ac:dyDescent="0.25">
      <c r="A325" s="145"/>
      <c r="B325" s="146">
        <v>1197575</v>
      </c>
      <c r="C325" s="147"/>
      <c r="D325" s="148" t="s">
        <v>864</v>
      </c>
      <c r="E325" s="149">
        <v>5.31</v>
      </c>
      <c r="F325" s="149">
        <v>2.88</v>
      </c>
      <c r="G325" s="149">
        <v>0</v>
      </c>
      <c r="H325" s="149">
        <v>2.73</v>
      </c>
      <c r="I325" s="150">
        <v>10.92</v>
      </c>
    </row>
    <row r="326" spans="1:9" ht="15.6" x14ac:dyDescent="0.25">
      <c r="A326" s="145"/>
      <c r="B326" s="146">
        <v>1201304</v>
      </c>
      <c r="C326" s="147"/>
      <c r="D326" s="148" t="s">
        <v>861</v>
      </c>
      <c r="E326" s="149">
        <v>5.31</v>
      </c>
      <c r="F326" s="149">
        <v>2.88</v>
      </c>
      <c r="G326" s="149">
        <v>0</v>
      </c>
      <c r="H326" s="149">
        <v>2.73</v>
      </c>
      <c r="I326" s="150">
        <v>10.92</v>
      </c>
    </row>
    <row r="327" spans="1:9" ht="15.6" x14ac:dyDescent="0.25">
      <c r="A327" s="145"/>
      <c r="B327" s="146">
        <v>1202037</v>
      </c>
      <c r="C327" s="147"/>
      <c r="D327" s="148" t="s">
        <v>734</v>
      </c>
      <c r="E327" s="149">
        <v>0</v>
      </c>
      <c r="F327" s="149">
        <v>0</v>
      </c>
      <c r="G327" s="149">
        <v>0</v>
      </c>
      <c r="H327" s="149">
        <v>0</v>
      </c>
      <c r="I327" s="150">
        <v>0</v>
      </c>
    </row>
    <row r="328" spans="1:9" ht="15.6" x14ac:dyDescent="0.25">
      <c r="A328" s="145"/>
      <c r="B328" s="146">
        <v>1202100</v>
      </c>
      <c r="C328" s="147"/>
      <c r="D328" s="148" t="s">
        <v>862</v>
      </c>
      <c r="E328" s="149">
        <v>5.31</v>
      </c>
      <c r="F328" s="149">
        <v>2.88</v>
      </c>
      <c r="G328" s="149">
        <v>0</v>
      </c>
      <c r="H328" s="149">
        <v>2.73</v>
      </c>
      <c r="I328" s="150">
        <v>10.92</v>
      </c>
    </row>
    <row r="329" spans="1:9" ht="15.6" x14ac:dyDescent="0.25">
      <c r="A329" s="145"/>
      <c r="B329" s="146">
        <v>1202714</v>
      </c>
      <c r="C329" s="147"/>
      <c r="D329" s="148" t="s">
        <v>912</v>
      </c>
      <c r="E329" s="149">
        <v>5.31</v>
      </c>
      <c r="F329" s="149">
        <v>2.88</v>
      </c>
      <c r="G329" s="149">
        <v>0</v>
      </c>
      <c r="H329" s="149">
        <v>2.73</v>
      </c>
      <c r="I329" s="150">
        <v>10.92</v>
      </c>
    </row>
    <row r="330" spans="1:9" ht="15.6" x14ac:dyDescent="0.25">
      <c r="A330" s="145"/>
      <c r="B330" s="146">
        <v>1209058</v>
      </c>
      <c r="C330" s="147"/>
      <c r="D330" s="148" t="s">
        <v>845</v>
      </c>
      <c r="E330" s="149">
        <v>5.31</v>
      </c>
      <c r="F330" s="149">
        <v>2.88</v>
      </c>
      <c r="G330" s="149">
        <v>0</v>
      </c>
      <c r="H330" s="149">
        <v>2.73</v>
      </c>
      <c r="I330" s="150">
        <v>10.92</v>
      </c>
    </row>
    <row r="331" spans="1:9" ht="15.6" x14ac:dyDescent="0.25">
      <c r="A331" s="145"/>
      <c r="B331" s="146">
        <v>1215100</v>
      </c>
      <c r="C331" s="147"/>
      <c r="D331" s="148" t="s">
        <v>919</v>
      </c>
      <c r="E331" s="149">
        <v>5.31</v>
      </c>
      <c r="F331" s="149">
        <v>2.88</v>
      </c>
      <c r="G331" s="149">
        <v>0</v>
      </c>
      <c r="H331" s="149">
        <v>2.73</v>
      </c>
      <c r="I331" s="150">
        <v>10.92</v>
      </c>
    </row>
    <row r="332" spans="1:9" ht="15.6" x14ac:dyDescent="0.25">
      <c r="A332" s="145"/>
      <c r="B332" s="146">
        <v>1216115</v>
      </c>
      <c r="C332" s="147"/>
      <c r="D332" s="148" t="s">
        <v>868</v>
      </c>
      <c r="E332" s="149">
        <v>5.31</v>
      </c>
      <c r="F332" s="149">
        <v>2.88</v>
      </c>
      <c r="G332" s="149">
        <v>0</v>
      </c>
      <c r="H332" s="149">
        <v>2.73</v>
      </c>
      <c r="I332" s="150">
        <v>10.92</v>
      </c>
    </row>
    <row r="333" spans="1:9" ht="15.6" x14ac:dyDescent="0.25">
      <c r="A333" s="145"/>
      <c r="B333" s="146">
        <v>1223113</v>
      </c>
      <c r="C333" s="147"/>
      <c r="D333" s="148" t="s">
        <v>790</v>
      </c>
      <c r="E333" s="149">
        <v>5.31</v>
      </c>
      <c r="F333" s="149">
        <v>2.88</v>
      </c>
      <c r="G333" s="149">
        <v>24.03</v>
      </c>
      <c r="H333" s="149">
        <v>2.73</v>
      </c>
      <c r="I333" s="150">
        <v>34.949999999999996</v>
      </c>
    </row>
    <row r="334" spans="1:9" ht="15.6" x14ac:dyDescent="0.25">
      <c r="A334" s="145"/>
      <c r="B334" s="146">
        <v>1223715</v>
      </c>
      <c r="C334" s="147"/>
      <c r="D334" s="148" t="s">
        <v>843</v>
      </c>
      <c r="E334" s="149">
        <v>5.31</v>
      </c>
      <c r="F334" s="149">
        <v>2.88</v>
      </c>
      <c r="G334" s="149">
        <v>0</v>
      </c>
      <c r="H334" s="149">
        <v>2.73</v>
      </c>
      <c r="I334" s="150">
        <v>10.92</v>
      </c>
    </row>
    <row r="335" spans="1:9" ht="15.6" x14ac:dyDescent="0.25">
      <c r="A335" s="145"/>
      <c r="B335" s="146">
        <v>1225400</v>
      </c>
      <c r="C335" s="147"/>
      <c r="D335" s="148" t="s">
        <v>898</v>
      </c>
      <c r="E335" s="149">
        <v>5.31</v>
      </c>
      <c r="F335" s="149">
        <v>2.88</v>
      </c>
      <c r="G335" s="149">
        <v>0</v>
      </c>
      <c r="H335" s="149">
        <v>2.73</v>
      </c>
      <c r="I335" s="150">
        <v>10.92</v>
      </c>
    </row>
    <row r="336" spans="1:9" ht="15.6" x14ac:dyDescent="0.25">
      <c r="A336" s="145"/>
      <c r="B336" s="146">
        <v>1227186</v>
      </c>
      <c r="C336" s="147"/>
      <c r="D336" s="148" t="s">
        <v>790</v>
      </c>
      <c r="E336" s="149">
        <v>5.31</v>
      </c>
      <c r="F336" s="149">
        <v>2.88</v>
      </c>
      <c r="G336" s="149">
        <v>18.260000000000002</v>
      </c>
      <c r="H336" s="149">
        <v>2.73</v>
      </c>
      <c r="I336" s="150">
        <v>29.180000000000003</v>
      </c>
    </row>
    <row r="337" spans="1:9" ht="15.6" x14ac:dyDescent="0.25">
      <c r="A337" s="145"/>
      <c r="B337" s="146">
        <v>1229861</v>
      </c>
      <c r="C337" s="147"/>
      <c r="D337" s="148" t="s">
        <v>781</v>
      </c>
      <c r="E337" s="149">
        <v>5.31</v>
      </c>
      <c r="F337" s="149">
        <v>2.88</v>
      </c>
      <c r="G337" s="149">
        <v>42.4</v>
      </c>
      <c r="H337" s="149">
        <v>2.73</v>
      </c>
      <c r="I337" s="150">
        <v>53.319999999999993</v>
      </c>
    </row>
    <row r="338" spans="1:9" ht="15.6" x14ac:dyDescent="0.25">
      <c r="A338" s="145"/>
      <c r="B338" s="146">
        <v>1233533</v>
      </c>
      <c r="C338" s="147"/>
      <c r="D338" s="148" t="s">
        <v>868</v>
      </c>
      <c r="E338" s="149">
        <v>5.31</v>
      </c>
      <c r="F338" s="149">
        <v>2.88</v>
      </c>
      <c r="G338" s="149">
        <v>0</v>
      </c>
      <c r="H338" s="149">
        <v>2.73</v>
      </c>
      <c r="I338" s="150">
        <v>10.92</v>
      </c>
    </row>
    <row r="339" spans="1:9" ht="15.6" x14ac:dyDescent="0.25">
      <c r="A339" s="145"/>
      <c r="B339" s="146">
        <v>1238589</v>
      </c>
      <c r="C339" s="147"/>
      <c r="D339" s="148" t="s">
        <v>919</v>
      </c>
      <c r="E339" s="149">
        <v>5.31</v>
      </c>
      <c r="F339" s="149">
        <v>2.88</v>
      </c>
      <c r="G339" s="149">
        <v>0</v>
      </c>
      <c r="H339" s="149">
        <v>2.73</v>
      </c>
      <c r="I339" s="150">
        <v>10.92</v>
      </c>
    </row>
    <row r="340" spans="1:9" ht="15.6" x14ac:dyDescent="0.25">
      <c r="A340" s="145"/>
      <c r="B340" s="146">
        <v>1238600</v>
      </c>
      <c r="C340" s="147"/>
      <c r="D340" s="148" t="s">
        <v>919</v>
      </c>
      <c r="E340" s="149">
        <v>5.31</v>
      </c>
      <c r="F340" s="149">
        <v>2.88</v>
      </c>
      <c r="G340" s="149">
        <v>0</v>
      </c>
      <c r="H340" s="149">
        <v>2.73</v>
      </c>
      <c r="I340" s="150">
        <v>10.92</v>
      </c>
    </row>
    <row r="341" spans="1:9" ht="15.6" x14ac:dyDescent="0.25">
      <c r="A341" s="145"/>
      <c r="B341" s="146">
        <v>1239362</v>
      </c>
      <c r="C341" s="147"/>
      <c r="D341" s="148" t="s">
        <v>825</v>
      </c>
      <c r="E341" s="149">
        <v>5.31</v>
      </c>
      <c r="F341" s="149">
        <v>2.88</v>
      </c>
      <c r="G341" s="149">
        <v>0</v>
      </c>
      <c r="H341" s="149">
        <v>2.73</v>
      </c>
      <c r="I341" s="150">
        <v>10.92</v>
      </c>
    </row>
    <row r="342" spans="1:9" ht="15.6" x14ac:dyDescent="0.25">
      <c r="A342" s="145"/>
      <c r="B342" s="146">
        <v>1250727</v>
      </c>
      <c r="C342" s="147"/>
      <c r="D342" s="148" t="s">
        <v>771</v>
      </c>
      <c r="E342" s="149">
        <v>5.31</v>
      </c>
      <c r="F342" s="149">
        <v>2.88</v>
      </c>
      <c r="G342" s="149">
        <v>64.47</v>
      </c>
      <c r="H342" s="149">
        <v>2.73</v>
      </c>
      <c r="I342" s="150">
        <v>75.39</v>
      </c>
    </row>
    <row r="343" spans="1:9" ht="15.6" x14ac:dyDescent="0.25">
      <c r="A343" s="145"/>
      <c r="B343" s="146">
        <v>1251013</v>
      </c>
      <c r="C343" s="147"/>
      <c r="D343" s="148" t="s">
        <v>918</v>
      </c>
      <c r="E343" s="149">
        <v>0</v>
      </c>
      <c r="F343" s="149">
        <v>0</v>
      </c>
      <c r="G343" s="149">
        <v>0</v>
      </c>
      <c r="H343" s="149">
        <v>0</v>
      </c>
      <c r="I343" s="150">
        <v>0</v>
      </c>
    </row>
    <row r="344" spans="1:9" ht="15.6" x14ac:dyDescent="0.25">
      <c r="A344" s="145"/>
      <c r="B344" s="146">
        <v>1254944</v>
      </c>
      <c r="C344" s="147"/>
      <c r="D344" s="148" t="s">
        <v>751</v>
      </c>
      <c r="E344" s="149">
        <v>0</v>
      </c>
      <c r="F344" s="149">
        <v>0</v>
      </c>
      <c r="G344" s="149">
        <v>0</v>
      </c>
      <c r="H344" s="149">
        <v>0</v>
      </c>
      <c r="I344" s="150">
        <v>0</v>
      </c>
    </row>
    <row r="345" spans="1:9" ht="15.6" x14ac:dyDescent="0.25">
      <c r="A345" s="145"/>
      <c r="B345" s="146">
        <v>1255302</v>
      </c>
      <c r="C345" s="147"/>
      <c r="D345" s="148" t="s">
        <v>880</v>
      </c>
      <c r="E345" s="149">
        <v>5.31</v>
      </c>
      <c r="F345" s="149">
        <v>2.88</v>
      </c>
      <c r="G345" s="149">
        <v>0</v>
      </c>
      <c r="H345" s="149">
        <v>0</v>
      </c>
      <c r="I345" s="150">
        <v>8.19</v>
      </c>
    </row>
    <row r="346" spans="1:9" ht="15.6" x14ac:dyDescent="0.25">
      <c r="A346" s="145"/>
      <c r="B346" s="146">
        <v>1256390</v>
      </c>
      <c r="C346" s="147"/>
      <c r="D346" s="148" t="s">
        <v>844</v>
      </c>
      <c r="E346" s="149">
        <v>5.31</v>
      </c>
      <c r="F346" s="149">
        <v>2.88</v>
      </c>
      <c r="G346" s="149">
        <v>0</v>
      </c>
      <c r="H346" s="149">
        <v>2.73</v>
      </c>
      <c r="I346" s="150">
        <v>10.92</v>
      </c>
    </row>
    <row r="347" spans="1:9" ht="15.6" x14ac:dyDescent="0.25">
      <c r="A347" s="145"/>
      <c r="B347" s="146">
        <v>1257845</v>
      </c>
      <c r="C347" s="147"/>
      <c r="D347" s="148" t="s">
        <v>868</v>
      </c>
      <c r="E347" s="149">
        <v>5.31</v>
      </c>
      <c r="F347" s="149">
        <v>2.88</v>
      </c>
      <c r="G347" s="149">
        <v>0</v>
      </c>
      <c r="H347" s="149">
        <v>2.73</v>
      </c>
      <c r="I347" s="150">
        <v>10.92</v>
      </c>
    </row>
    <row r="348" spans="1:9" ht="15.6" x14ac:dyDescent="0.25">
      <c r="A348" s="145"/>
      <c r="B348" s="146">
        <v>1258584</v>
      </c>
      <c r="C348" s="147"/>
      <c r="D348" s="148" t="s">
        <v>861</v>
      </c>
      <c r="E348" s="149">
        <v>5.31</v>
      </c>
      <c r="F348" s="149">
        <v>2.88</v>
      </c>
      <c r="G348" s="149">
        <v>0</v>
      </c>
      <c r="H348" s="149">
        <v>2.73</v>
      </c>
      <c r="I348" s="150">
        <v>10.92</v>
      </c>
    </row>
    <row r="349" spans="1:9" ht="15.6" x14ac:dyDescent="0.25">
      <c r="A349" s="145"/>
      <c r="B349" s="146">
        <v>1266085</v>
      </c>
      <c r="C349" s="147"/>
      <c r="D349" s="148" t="s">
        <v>898</v>
      </c>
      <c r="E349" s="149">
        <v>5.31</v>
      </c>
      <c r="F349" s="149">
        <v>2.88</v>
      </c>
      <c r="G349" s="149">
        <v>0</v>
      </c>
      <c r="H349" s="149">
        <v>2.73</v>
      </c>
      <c r="I349" s="150">
        <v>10.92</v>
      </c>
    </row>
    <row r="350" spans="1:9" ht="15.6" x14ac:dyDescent="0.25">
      <c r="A350" s="145"/>
      <c r="B350" s="146">
        <v>1267069</v>
      </c>
      <c r="C350" s="147"/>
      <c r="D350" s="148" t="s">
        <v>738</v>
      </c>
      <c r="E350" s="149">
        <v>5.31</v>
      </c>
      <c r="F350" s="149">
        <v>2.88</v>
      </c>
      <c r="G350" s="149">
        <v>0</v>
      </c>
      <c r="H350" s="149">
        <v>2.73</v>
      </c>
      <c r="I350" s="150">
        <v>10.92</v>
      </c>
    </row>
    <row r="351" spans="1:9" ht="15.6" x14ac:dyDescent="0.25">
      <c r="A351" s="145"/>
      <c r="B351" s="146">
        <v>1269687</v>
      </c>
      <c r="C351" s="147"/>
      <c r="D351" s="148" t="s">
        <v>763</v>
      </c>
      <c r="E351" s="149">
        <v>5.31</v>
      </c>
      <c r="F351" s="149">
        <v>0</v>
      </c>
      <c r="G351" s="149">
        <v>0</v>
      </c>
      <c r="H351" s="149">
        <v>0</v>
      </c>
      <c r="I351" s="150">
        <v>5.31</v>
      </c>
    </row>
    <row r="352" spans="1:9" ht="15.6" x14ac:dyDescent="0.25">
      <c r="A352" s="145"/>
      <c r="B352" s="146">
        <v>1270441</v>
      </c>
      <c r="C352" s="147"/>
      <c r="D352" s="148" t="s">
        <v>861</v>
      </c>
      <c r="E352" s="149">
        <v>0</v>
      </c>
      <c r="F352" s="149">
        <v>0</v>
      </c>
      <c r="G352" s="149">
        <v>0</v>
      </c>
      <c r="H352" s="149">
        <v>0</v>
      </c>
      <c r="I352" s="150">
        <v>0</v>
      </c>
    </row>
    <row r="353" spans="1:9" ht="15.6" x14ac:dyDescent="0.25">
      <c r="A353" s="145"/>
      <c r="B353" s="146">
        <v>1271785</v>
      </c>
      <c r="C353" s="147"/>
      <c r="D353" s="148" t="s">
        <v>773</v>
      </c>
      <c r="E353" s="149">
        <v>5.31</v>
      </c>
      <c r="F353" s="149">
        <v>2.88</v>
      </c>
      <c r="G353" s="149">
        <v>0</v>
      </c>
      <c r="H353" s="149">
        <v>2.73</v>
      </c>
      <c r="I353" s="150">
        <v>10.92</v>
      </c>
    </row>
    <row r="354" spans="1:9" ht="15.6" x14ac:dyDescent="0.25">
      <c r="A354" s="145"/>
      <c r="B354" s="146">
        <v>1277284</v>
      </c>
      <c r="C354" s="147"/>
      <c r="D354" s="148" t="s">
        <v>817</v>
      </c>
      <c r="E354" s="149">
        <v>5.31</v>
      </c>
      <c r="F354" s="149">
        <v>2.88</v>
      </c>
      <c r="G354" s="149">
        <v>0</v>
      </c>
      <c r="H354" s="149">
        <v>2.73</v>
      </c>
      <c r="I354" s="150">
        <v>10.92</v>
      </c>
    </row>
    <row r="355" spans="1:9" ht="15.6" x14ac:dyDescent="0.25">
      <c r="A355" s="145"/>
      <c r="B355" s="146">
        <v>1286514</v>
      </c>
      <c r="C355" s="147"/>
      <c r="D355" s="148" t="s">
        <v>901</v>
      </c>
      <c r="E355" s="149">
        <v>5.31</v>
      </c>
      <c r="F355" s="149">
        <v>2.88</v>
      </c>
      <c r="G355" s="149">
        <v>0</v>
      </c>
      <c r="H355" s="149">
        <v>0</v>
      </c>
      <c r="I355" s="150">
        <v>8.19</v>
      </c>
    </row>
    <row r="356" spans="1:9" ht="15.6" x14ac:dyDescent="0.25">
      <c r="A356" s="145"/>
      <c r="B356" s="146">
        <v>1288653</v>
      </c>
      <c r="C356" s="147"/>
      <c r="D356" s="148" t="s">
        <v>790</v>
      </c>
      <c r="E356" s="149">
        <v>5.31</v>
      </c>
      <c r="F356" s="149">
        <v>2.88</v>
      </c>
      <c r="G356" s="149">
        <v>24.03</v>
      </c>
      <c r="H356" s="149">
        <v>2.73</v>
      </c>
      <c r="I356" s="150">
        <v>34.949999999999996</v>
      </c>
    </row>
    <row r="357" spans="1:9" ht="15.6" x14ac:dyDescent="0.25">
      <c r="A357" s="145"/>
      <c r="B357" s="146">
        <v>1292684</v>
      </c>
      <c r="C357" s="147"/>
      <c r="D357" s="148" t="s">
        <v>745</v>
      </c>
      <c r="E357" s="149">
        <v>5.31</v>
      </c>
      <c r="F357" s="149">
        <v>2.88</v>
      </c>
      <c r="G357" s="149">
        <v>0</v>
      </c>
      <c r="H357" s="149">
        <v>2.73</v>
      </c>
      <c r="I357" s="150">
        <v>10.92</v>
      </c>
    </row>
    <row r="358" spans="1:9" ht="15.6" x14ac:dyDescent="0.25">
      <c r="A358" s="145"/>
      <c r="B358" s="146">
        <v>1294192</v>
      </c>
      <c r="C358" s="147"/>
      <c r="D358" s="148" t="s">
        <v>787</v>
      </c>
      <c r="E358" s="149">
        <v>5.31</v>
      </c>
      <c r="F358" s="149">
        <v>2.88</v>
      </c>
      <c r="G358" s="149">
        <v>32.92</v>
      </c>
      <c r="H358" s="149">
        <v>2.73</v>
      </c>
      <c r="I358" s="150">
        <v>43.839999999999996</v>
      </c>
    </row>
    <row r="359" spans="1:9" ht="15.6" x14ac:dyDescent="0.25">
      <c r="A359" s="145"/>
      <c r="B359" s="146">
        <v>1297035</v>
      </c>
      <c r="C359" s="147"/>
      <c r="D359" s="148" t="s">
        <v>864</v>
      </c>
      <c r="E359" s="149">
        <v>5.31</v>
      </c>
      <c r="F359" s="149">
        <v>2.88</v>
      </c>
      <c r="G359" s="149">
        <v>0</v>
      </c>
      <c r="H359" s="149">
        <v>2.73</v>
      </c>
      <c r="I359" s="150">
        <v>10.92</v>
      </c>
    </row>
    <row r="360" spans="1:9" ht="15.6" x14ac:dyDescent="0.25">
      <c r="A360" s="145"/>
      <c r="B360" s="146">
        <v>1302777</v>
      </c>
      <c r="C360" s="147"/>
      <c r="D360" s="148" t="s">
        <v>809</v>
      </c>
      <c r="E360" s="149">
        <v>0</v>
      </c>
      <c r="F360" s="149">
        <v>0</v>
      </c>
      <c r="G360" s="149">
        <v>0</v>
      </c>
      <c r="H360" s="149">
        <v>0</v>
      </c>
      <c r="I360" s="150">
        <v>0</v>
      </c>
    </row>
    <row r="361" spans="1:9" ht="15.6" x14ac:dyDescent="0.25">
      <c r="A361" s="145"/>
      <c r="B361" s="146">
        <v>1309292</v>
      </c>
      <c r="C361" s="147"/>
      <c r="D361" s="148" t="s">
        <v>790</v>
      </c>
      <c r="E361" s="149">
        <v>5.31</v>
      </c>
      <c r="F361" s="149">
        <v>2.88</v>
      </c>
      <c r="G361" s="149">
        <v>24.03</v>
      </c>
      <c r="H361" s="149">
        <v>2.73</v>
      </c>
      <c r="I361" s="150">
        <v>34.949999999999996</v>
      </c>
    </row>
    <row r="362" spans="1:9" ht="15.6" x14ac:dyDescent="0.25">
      <c r="A362" s="145"/>
      <c r="B362" s="146">
        <v>1310052</v>
      </c>
      <c r="C362" s="147"/>
      <c r="D362" s="148" t="s">
        <v>848</v>
      </c>
      <c r="E362" s="149">
        <v>5.31</v>
      </c>
      <c r="F362" s="149">
        <v>2.88</v>
      </c>
      <c r="G362" s="149">
        <v>0</v>
      </c>
      <c r="H362" s="149">
        <v>2.73</v>
      </c>
      <c r="I362" s="150">
        <v>10.92</v>
      </c>
    </row>
    <row r="363" spans="1:9" ht="15.6" x14ac:dyDescent="0.25">
      <c r="A363" s="145"/>
      <c r="B363" s="146">
        <v>1311739</v>
      </c>
      <c r="C363" s="147"/>
      <c r="D363" s="148" t="s">
        <v>871</v>
      </c>
      <c r="E363" s="149">
        <v>5.31</v>
      </c>
      <c r="F363" s="149">
        <v>2.88</v>
      </c>
      <c r="G363" s="149">
        <v>0</v>
      </c>
      <c r="H363" s="149">
        <v>2.73</v>
      </c>
      <c r="I363" s="150">
        <v>10.92</v>
      </c>
    </row>
    <row r="364" spans="1:9" ht="15.6" x14ac:dyDescent="0.25">
      <c r="A364" s="145"/>
      <c r="B364" s="146">
        <v>1312249</v>
      </c>
      <c r="C364" s="147"/>
      <c r="D364" s="148" t="s">
        <v>808</v>
      </c>
      <c r="E364" s="149">
        <v>0</v>
      </c>
      <c r="F364" s="149">
        <v>0</v>
      </c>
      <c r="G364" s="149">
        <v>0</v>
      </c>
      <c r="H364" s="149">
        <v>0</v>
      </c>
      <c r="I364" s="150">
        <v>0</v>
      </c>
    </row>
    <row r="365" spans="1:9" ht="15.6" x14ac:dyDescent="0.25">
      <c r="A365" s="145"/>
      <c r="B365" s="146">
        <v>1312402</v>
      </c>
      <c r="C365" s="147"/>
      <c r="D365" s="148" t="s">
        <v>868</v>
      </c>
      <c r="E365" s="149">
        <v>5.31</v>
      </c>
      <c r="F365" s="149">
        <v>2.88</v>
      </c>
      <c r="G365" s="149">
        <v>0</v>
      </c>
      <c r="H365" s="149">
        <v>2.73</v>
      </c>
      <c r="I365" s="150">
        <v>10.92</v>
      </c>
    </row>
    <row r="366" spans="1:9" ht="15.6" x14ac:dyDescent="0.25">
      <c r="A366" s="145"/>
      <c r="B366" s="146">
        <v>1314725</v>
      </c>
      <c r="C366" s="147"/>
      <c r="D366" s="148" t="s">
        <v>751</v>
      </c>
      <c r="E366" s="149">
        <v>0</v>
      </c>
      <c r="F366" s="149">
        <v>0</v>
      </c>
      <c r="G366" s="149">
        <v>0</v>
      </c>
      <c r="H366" s="149">
        <v>0</v>
      </c>
      <c r="I366" s="150">
        <v>0</v>
      </c>
    </row>
    <row r="367" spans="1:9" ht="15.6" x14ac:dyDescent="0.25">
      <c r="A367" s="145"/>
      <c r="B367" s="146">
        <v>1318398</v>
      </c>
      <c r="C367" s="147"/>
      <c r="D367" s="148" t="s">
        <v>779</v>
      </c>
      <c r="E367" s="149">
        <v>5.31</v>
      </c>
      <c r="F367" s="149">
        <v>2.88</v>
      </c>
      <c r="G367" s="149">
        <v>0</v>
      </c>
      <c r="H367" s="149">
        <v>2.73</v>
      </c>
      <c r="I367" s="150">
        <v>10.92</v>
      </c>
    </row>
    <row r="368" spans="1:9" ht="15.6" x14ac:dyDescent="0.25">
      <c r="A368" s="145"/>
      <c r="B368" s="146">
        <v>1318486</v>
      </c>
      <c r="C368" s="147"/>
      <c r="D368" s="148" t="s">
        <v>877</v>
      </c>
      <c r="E368" s="149">
        <v>0</v>
      </c>
      <c r="F368" s="149">
        <v>0</v>
      </c>
      <c r="G368" s="149">
        <v>0</v>
      </c>
      <c r="H368" s="149">
        <v>0</v>
      </c>
      <c r="I368" s="150">
        <v>0</v>
      </c>
    </row>
    <row r="369" spans="1:9" ht="15.6" x14ac:dyDescent="0.25">
      <c r="A369" s="145"/>
      <c r="B369" s="146">
        <v>1322737</v>
      </c>
      <c r="C369" s="147"/>
      <c r="D369" s="148" t="s">
        <v>891</v>
      </c>
      <c r="E369" s="149">
        <v>5.31</v>
      </c>
      <c r="F369" s="149">
        <v>2.88</v>
      </c>
      <c r="G369" s="149">
        <v>0</v>
      </c>
      <c r="H369" s="149">
        <v>2.73</v>
      </c>
      <c r="I369" s="150">
        <v>10.92</v>
      </c>
    </row>
    <row r="370" spans="1:9" ht="15.6" x14ac:dyDescent="0.25">
      <c r="A370" s="145"/>
      <c r="B370" s="146">
        <v>1323262</v>
      </c>
      <c r="C370" s="147"/>
      <c r="D370" s="148" t="s">
        <v>885</v>
      </c>
      <c r="E370" s="149">
        <v>5.31</v>
      </c>
      <c r="F370" s="149">
        <v>2.88</v>
      </c>
      <c r="G370" s="149">
        <v>0</v>
      </c>
      <c r="H370" s="149">
        <v>2.73</v>
      </c>
      <c r="I370" s="150">
        <v>10.92</v>
      </c>
    </row>
    <row r="371" spans="1:9" ht="15.6" x14ac:dyDescent="0.25">
      <c r="A371" s="145"/>
      <c r="B371" s="146">
        <v>1324413</v>
      </c>
      <c r="C371" s="147"/>
      <c r="D371" s="148" t="s">
        <v>766</v>
      </c>
      <c r="E371" s="149">
        <v>0</v>
      </c>
      <c r="F371" s="149">
        <v>0</v>
      </c>
      <c r="G371" s="149">
        <v>0</v>
      </c>
      <c r="H371" s="149">
        <v>0</v>
      </c>
      <c r="I371" s="150">
        <v>0</v>
      </c>
    </row>
    <row r="372" spans="1:9" ht="15.6" x14ac:dyDescent="0.25">
      <c r="A372" s="145"/>
      <c r="B372" s="146">
        <v>1326183</v>
      </c>
      <c r="C372" s="147"/>
      <c r="D372" s="148" t="s">
        <v>790</v>
      </c>
      <c r="E372" s="149">
        <v>5.31</v>
      </c>
      <c r="F372" s="149">
        <v>2.88</v>
      </c>
      <c r="G372" s="149">
        <v>18.260000000000002</v>
      </c>
      <c r="H372" s="149">
        <v>2.73</v>
      </c>
      <c r="I372" s="150">
        <v>29.180000000000003</v>
      </c>
    </row>
    <row r="373" spans="1:9" ht="15.6" x14ac:dyDescent="0.25">
      <c r="A373" s="145"/>
      <c r="B373" s="146">
        <v>1330173</v>
      </c>
      <c r="C373" s="147"/>
      <c r="D373" s="148" t="s">
        <v>851</v>
      </c>
      <c r="E373" s="149">
        <v>5.31</v>
      </c>
      <c r="F373" s="149">
        <v>2.88</v>
      </c>
      <c r="G373" s="149">
        <v>22.66</v>
      </c>
      <c r="H373" s="149">
        <v>2.73</v>
      </c>
      <c r="I373" s="150">
        <v>33.58</v>
      </c>
    </row>
    <row r="374" spans="1:9" ht="15.6" x14ac:dyDescent="0.25">
      <c r="A374" s="145"/>
      <c r="B374" s="146">
        <v>1332758</v>
      </c>
      <c r="C374" s="147"/>
      <c r="D374" s="148" t="s">
        <v>871</v>
      </c>
      <c r="E374" s="149">
        <v>5.31</v>
      </c>
      <c r="F374" s="149">
        <v>2.88</v>
      </c>
      <c r="G374" s="149">
        <v>0</v>
      </c>
      <c r="H374" s="149">
        <v>2.73</v>
      </c>
      <c r="I374" s="150">
        <v>10.92</v>
      </c>
    </row>
    <row r="375" spans="1:9" ht="15.6" x14ac:dyDescent="0.25">
      <c r="A375" s="145"/>
      <c r="B375" s="146">
        <v>1333361</v>
      </c>
      <c r="C375" s="147"/>
      <c r="D375" s="148" t="s">
        <v>786</v>
      </c>
      <c r="E375" s="149">
        <v>0</v>
      </c>
      <c r="F375" s="149">
        <v>0</v>
      </c>
      <c r="G375" s="149">
        <v>0</v>
      </c>
      <c r="H375" s="149">
        <v>0</v>
      </c>
      <c r="I375" s="150">
        <v>0</v>
      </c>
    </row>
    <row r="376" spans="1:9" ht="15.6" x14ac:dyDescent="0.25">
      <c r="A376" s="145"/>
      <c r="B376" s="146">
        <v>1333447</v>
      </c>
      <c r="C376" s="147"/>
      <c r="D376" s="148" t="s">
        <v>875</v>
      </c>
      <c r="E376" s="149">
        <v>5.31</v>
      </c>
      <c r="F376" s="149">
        <v>2.88</v>
      </c>
      <c r="G376" s="149">
        <v>0</v>
      </c>
      <c r="H376" s="149">
        <v>2.73</v>
      </c>
      <c r="I376" s="150">
        <v>10.92</v>
      </c>
    </row>
    <row r="377" spans="1:9" ht="15.6" x14ac:dyDescent="0.25">
      <c r="A377" s="145"/>
      <c r="B377" s="146">
        <v>1334333</v>
      </c>
      <c r="C377" s="147"/>
      <c r="D377" s="148" t="s">
        <v>831</v>
      </c>
      <c r="E377" s="149">
        <v>5.31</v>
      </c>
      <c r="F377" s="149">
        <v>2.88</v>
      </c>
      <c r="G377" s="149">
        <v>0</v>
      </c>
      <c r="H377" s="149">
        <v>2.73</v>
      </c>
      <c r="I377" s="150">
        <v>10.92</v>
      </c>
    </row>
    <row r="378" spans="1:9" ht="15.6" x14ac:dyDescent="0.25">
      <c r="A378" s="145"/>
      <c r="B378" s="146">
        <v>1340947</v>
      </c>
      <c r="C378" s="147"/>
      <c r="D378" s="148" t="s">
        <v>821</v>
      </c>
      <c r="E378" s="149">
        <v>5.31</v>
      </c>
      <c r="F378" s="149">
        <v>2.88</v>
      </c>
      <c r="G378" s="149">
        <v>0</v>
      </c>
      <c r="H378" s="149">
        <v>2.73</v>
      </c>
      <c r="I378" s="150">
        <v>10.92</v>
      </c>
    </row>
    <row r="379" spans="1:9" ht="15.6" x14ac:dyDescent="0.25">
      <c r="A379" s="145"/>
      <c r="B379" s="146">
        <v>1346078</v>
      </c>
      <c r="C379" s="147"/>
      <c r="D379" s="148" t="s">
        <v>898</v>
      </c>
      <c r="E379" s="149">
        <v>5.31</v>
      </c>
      <c r="F379" s="149">
        <v>2.88</v>
      </c>
      <c r="G379" s="149">
        <v>0</v>
      </c>
      <c r="H379" s="149">
        <v>2.73</v>
      </c>
      <c r="I379" s="150">
        <v>10.92</v>
      </c>
    </row>
    <row r="380" spans="1:9" ht="15.6" x14ac:dyDescent="0.25">
      <c r="A380" s="145"/>
      <c r="B380" s="146">
        <v>1346467</v>
      </c>
      <c r="C380" s="147"/>
      <c r="D380" s="148" t="s">
        <v>894</v>
      </c>
      <c r="E380" s="149">
        <v>5.31</v>
      </c>
      <c r="F380" s="149">
        <v>2.88</v>
      </c>
      <c r="G380" s="149">
        <v>0</v>
      </c>
      <c r="H380" s="149">
        <v>2.73</v>
      </c>
      <c r="I380" s="150">
        <v>10.92</v>
      </c>
    </row>
    <row r="381" spans="1:9" ht="15.6" x14ac:dyDescent="0.25">
      <c r="A381" s="145"/>
      <c r="B381" s="146">
        <v>1351744</v>
      </c>
      <c r="C381" s="147"/>
      <c r="D381" s="148" t="s">
        <v>868</v>
      </c>
      <c r="E381" s="149">
        <v>5.31</v>
      </c>
      <c r="F381" s="149">
        <v>2.88</v>
      </c>
      <c r="G381" s="149">
        <v>0</v>
      </c>
      <c r="H381" s="149">
        <v>2.73</v>
      </c>
      <c r="I381" s="150">
        <v>10.92</v>
      </c>
    </row>
    <row r="382" spans="1:9" ht="15.6" x14ac:dyDescent="0.25">
      <c r="A382" s="145"/>
      <c r="B382" s="146">
        <v>1352706</v>
      </c>
      <c r="C382" s="147"/>
      <c r="D382" s="148" t="s">
        <v>937</v>
      </c>
      <c r="E382" s="149">
        <v>0</v>
      </c>
      <c r="F382" s="149">
        <v>0</v>
      </c>
      <c r="G382" s="149">
        <v>0</v>
      </c>
      <c r="H382" s="149">
        <v>2.73</v>
      </c>
      <c r="I382" s="150">
        <v>2.73</v>
      </c>
    </row>
    <row r="383" spans="1:9" ht="15.6" x14ac:dyDescent="0.25">
      <c r="A383" s="145"/>
      <c r="B383" s="146">
        <v>1353502</v>
      </c>
      <c r="C383" s="147"/>
      <c r="D383" s="148" t="s">
        <v>816</v>
      </c>
      <c r="E383" s="149">
        <v>5.31</v>
      </c>
      <c r="F383" s="149">
        <v>2.88</v>
      </c>
      <c r="G383" s="149">
        <v>0</v>
      </c>
      <c r="H383" s="149">
        <v>2.73</v>
      </c>
      <c r="I383" s="150">
        <v>10.92</v>
      </c>
    </row>
    <row r="384" spans="1:9" ht="15.6" x14ac:dyDescent="0.25">
      <c r="A384" s="145"/>
      <c r="B384" s="146">
        <v>1361339</v>
      </c>
      <c r="C384" s="147"/>
      <c r="D384" s="148" t="s">
        <v>964</v>
      </c>
      <c r="E384" s="149">
        <v>5.31</v>
      </c>
      <c r="F384" s="149">
        <v>0</v>
      </c>
      <c r="G384" s="149">
        <v>0</v>
      </c>
      <c r="H384" s="149">
        <v>0</v>
      </c>
      <c r="I384" s="150">
        <v>5.31</v>
      </c>
    </row>
    <row r="385" spans="1:9" ht="15.6" x14ac:dyDescent="0.25">
      <c r="A385" s="145"/>
      <c r="B385" s="146">
        <v>1362430</v>
      </c>
      <c r="C385" s="147"/>
      <c r="D385" s="148" t="s">
        <v>851</v>
      </c>
      <c r="E385" s="149">
        <v>5.31</v>
      </c>
      <c r="F385" s="149">
        <v>2.88</v>
      </c>
      <c r="G385" s="149">
        <v>22.66</v>
      </c>
      <c r="H385" s="149">
        <v>2.73</v>
      </c>
      <c r="I385" s="150">
        <v>33.58</v>
      </c>
    </row>
    <row r="386" spans="1:9" ht="15.6" x14ac:dyDescent="0.25">
      <c r="A386" s="145"/>
      <c r="B386" s="146">
        <v>1368275</v>
      </c>
      <c r="C386" s="147"/>
      <c r="D386" s="148" t="s">
        <v>763</v>
      </c>
      <c r="E386" s="149">
        <v>5.31</v>
      </c>
      <c r="F386" s="149">
        <v>0</v>
      </c>
      <c r="G386" s="149">
        <v>0</v>
      </c>
      <c r="H386" s="149">
        <v>0</v>
      </c>
      <c r="I386" s="150">
        <v>5.31</v>
      </c>
    </row>
    <row r="387" spans="1:9" ht="15.6" x14ac:dyDescent="0.25">
      <c r="A387" s="145"/>
      <c r="B387" s="146">
        <v>1368741</v>
      </c>
      <c r="C387" s="147"/>
      <c r="D387" s="148" t="s">
        <v>917</v>
      </c>
      <c r="E387" s="149">
        <v>5.31</v>
      </c>
      <c r="F387" s="149">
        <v>2.88</v>
      </c>
      <c r="G387" s="149">
        <v>0</v>
      </c>
      <c r="H387" s="149">
        <v>2.73</v>
      </c>
      <c r="I387" s="150">
        <v>10.92</v>
      </c>
    </row>
    <row r="388" spans="1:9" ht="15.6" x14ac:dyDescent="0.25">
      <c r="A388" s="145"/>
      <c r="B388" s="146">
        <v>1371467</v>
      </c>
      <c r="C388" s="147"/>
      <c r="D388" s="148" t="s">
        <v>944</v>
      </c>
      <c r="E388" s="149">
        <v>5.31</v>
      </c>
      <c r="F388" s="149">
        <v>2.88</v>
      </c>
      <c r="G388" s="149">
        <v>0</v>
      </c>
      <c r="H388" s="149">
        <v>2.73</v>
      </c>
      <c r="I388" s="150">
        <v>10.92</v>
      </c>
    </row>
    <row r="389" spans="1:9" ht="15.6" x14ac:dyDescent="0.25">
      <c r="A389" s="145"/>
      <c r="B389" s="146">
        <v>1379838</v>
      </c>
      <c r="C389" s="147"/>
      <c r="D389" s="148" t="s">
        <v>868</v>
      </c>
      <c r="E389" s="149">
        <v>5.31</v>
      </c>
      <c r="F389" s="149">
        <v>2.88</v>
      </c>
      <c r="G389" s="149">
        <v>0</v>
      </c>
      <c r="H389" s="149">
        <v>2.73</v>
      </c>
      <c r="I389" s="150">
        <v>10.92</v>
      </c>
    </row>
    <row r="390" spans="1:9" ht="15.6" x14ac:dyDescent="0.25">
      <c r="A390" s="145"/>
      <c r="B390" s="146">
        <v>1380622</v>
      </c>
      <c r="C390" s="147"/>
      <c r="D390" s="148" t="s">
        <v>826</v>
      </c>
      <c r="E390" s="149">
        <v>5.31</v>
      </c>
      <c r="F390" s="149">
        <v>2.88</v>
      </c>
      <c r="G390" s="149">
        <v>0</v>
      </c>
      <c r="H390" s="149">
        <v>2.73</v>
      </c>
      <c r="I390" s="150">
        <v>10.92</v>
      </c>
    </row>
    <row r="391" spans="1:9" ht="15.6" x14ac:dyDescent="0.25">
      <c r="A391" s="145"/>
      <c r="B391" s="146">
        <v>1381735</v>
      </c>
      <c r="C391" s="147"/>
      <c r="D391" s="148" t="s">
        <v>919</v>
      </c>
      <c r="E391" s="149">
        <v>0</v>
      </c>
      <c r="F391" s="149">
        <v>0</v>
      </c>
      <c r="G391" s="149">
        <v>0</v>
      </c>
      <c r="H391" s="149">
        <v>0</v>
      </c>
      <c r="I391" s="150">
        <v>0</v>
      </c>
    </row>
    <row r="392" spans="1:9" ht="15.6" x14ac:dyDescent="0.25">
      <c r="A392" s="145"/>
      <c r="B392" s="146">
        <v>1383445</v>
      </c>
      <c r="C392" s="147"/>
      <c r="D392" s="148" t="s">
        <v>855</v>
      </c>
      <c r="E392" s="149">
        <v>5.31</v>
      </c>
      <c r="F392" s="149">
        <v>2.88</v>
      </c>
      <c r="G392" s="149">
        <v>0</v>
      </c>
      <c r="H392" s="149">
        <v>0</v>
      </c>
      <c r="I392" s="150">
        <v>8.19</v>
      </c>
    </row>
    <row r="393" spans="1:9" ht="15.6" x14ac:dyDescent="0.25">
      <c r="A393" s="145"/>
      <c r="B393" s="146">
        <v>1383730</v>
      </c>
      <c r="C393" s="147"/>
      <c r="D393" s="148" t="s">
        <v>857</v>
      </c>
      <c r="E393" s="149">
        <v>0</v>
      </c>
      <c r="F393" s="149">
        <v>0</v>
      </c>
      <c r="G393" s="149">
        <v>0</v>
      </c>
      <c r="H393" s="149">
        <v>0</v>
      </c>
      <c r="I393" s="150">
        <v>0</v>
      </c>
    </row>
    <row r="394" spans="1:9" ht="15.6" x14ac:dyDescent="0.25">
      <c r="A394" s="145"/>
      <c r="B394" s="146">
        <v>1384662</v>
      </c>
      <c r="C394" s="147"/>
      <c r="D394" s="148" t="s">
        <v>908</v>
      </c>
      <c r="E394" s="149">
        <v>5.31</v>
      </c>
      <c r="F394" s="149">
        <v>2.88</v>
      </c>
      <c r="G394" s="149">
        <v>0</v>
      </c>
      <c r="H394" s="149">
        <v>2.73</v>
      </c>
      <c r="I394" s="150">
        <v>10.92</v>
      </c>
    </row>
    <row r="395" spans="1:9" ht="15.6" x14ac:dyDescent="0.25">
      <c r="A395" s="145"/>
      <c r="B395" s="146">
        <v>1385255</v>
      </c>
      <c r="C395" s="147"/>
      <c r="D395" s="148" t="s">
        <v>892</v>
      </c>
      <c r="E395" s="149">
        <v>0</v>
      </c>
      <c r="F395" s="149">
        <v>0</v>
      </c>
      <c r="G395" s="149">
        <v>0</v>
      </c>
      <c r="H395" s="149">
        <v>0</v>
      </c>
      <c r="I395" s="150">
        <v>0</v>
      </c>
    </row>
    <row r="396" spans="1:9" ht="15.6" x14ac:dyDescent="0.25">
      <c r="A396" s="145"/>
      <c r="B396" s="146">
        <v>1389582</v>
      </c>
      <c r="C396" s="147"/>
      <c r="D396" s="148" t="s">
        <v>787</v>
      </c>
      <c r="E396" s="149">
        <v>5.31</v>
      </c>
      <c r="F396" s="149">
        <v>2.88</v>
      </c>
      <c r="G396" s="149">
        <v>18.260000000000002</v>
      </c>
      <c r="H396" s="149">
        <v>2.73</v>
      </c>
      <c r="I396" s="150">
        <v>29.180000000000003</v>
      </c>
    </row>
    <row r="397" spans="1:9" ht="15.6" x14ac:dyDescent="0.25">
      <c r="A397" s="145"/>
      <c r="B397" s="146">
        <v>1390032</v>
      </c>
      <c r="C397" s="147"/>
      <c r="D397" s="148" t="s">
        <v>767</v>
      </c>
      <c r="E397" s="149">
        <v>0</v>
      </c>
      <c r="F397" s="149">
        <v>0</v>
      </c>
      <c r="G397" s="149">
        <v>0</v>
      </c>
      <c r="H397" s="149">
        <v>0</v>
      </c>
      <c r="I397" s="150">
        <v>0</v>
      </c>
    </row>
    <row r="398" spans="1:9" ht="15.6" x14ac:dyDescent="0.25">
      <c r="A398" s="145"/>
      <c r="B398" s="146">
        <v>1399823</v>
      </c>
      <c r="C398" s="147"/>
      <c r="D398" s="148" t="s">
        <v>878</v>
      </c>
      <c r="E398" s="149">
        <v>5.31</v>
      </c>
      <c r="F398" s="149">
        <v>2.88</v>
      </c>
      <c r="G398" s="149">
        <v>0</v>
      </c>
      <c r="H398" s="149">
        <v>2.73</v>
      </c>
      <c r="I398" s="150">
        <v>10.92</v>
      </c>
    </row>
    <row r="399" spans="1:9" ht="15.6" x14ac:dyDescent="0.25">
      <c r="A399" s="145"/>
      <c r="B399" s="146">
        <v>1408390</v>
      </c>
      <c r="C399" s="147"/>
      <c r="D399" s="148" t="s">
        <v>838</v>
      </c>
      <c r="E399" s="149">
        <v>5.31</v>
      </c>
      <c r="F399" s="149">
        <v>2.88</v>
      </c>
      <c r="G399" s="149">
        <v>0</v>
      </c>
      <c r="H399" s="149">
        <v>2.73</v>
      </c>
      <c r="I399" s="150">
        <v>10.92</v>
      </c>
    </row>
    <row r="400" spans="1:9" ht="15.6" x14ac:dyDescent="0.25">
      <c r="A400" s="145"/>
      <c r="B400" s="146">
        <v>1416144</v>
      </c>
      <c r="C400" s="147"/>
      <c r="D400" s="148" t="s">
        <v>898</v>
      </c>
      <c r="E400" s="149">
        <v>5.31</v>
      </c>
      <c r="F400" s="149">
        <v>2.88</v>
      </c>
      <c r="G400" s="149">
        <v>0</v>
      </c>
      <c r="H400" s="149">
        <v>2.73</v>
      </c>
      <c r="I400" s="150">
        <v>10.92</v>
      </c>
    </row>
    <row r="401" spans="1:9" ht="15.6" x14ac:dyDescent="0.25">
      <c r="A401" s="145"/>
      <c r="B401" s="146">
        <v>1423883</v>
      </c>
      <c r="C401" s="147"/>
      <c r="D401" s="148" t="s">
        <v>886</v>
      </c>
      <c r="E401" s="149">
        <v>5.31</v>
      </c>
      <c r="F401" s="149">
        <v>2.88</v>
      </c>
      <c r="G401" s="149">
        <v>0</v>
      </c>
      <c r="H401" s="149">
        <v>2.73</v>
      </c>
      <c r="I401" s="150">
        <v>10.92</v>
      </c>
    </row>
    <row r="402" spans="1:9" ht="15.6" x14ac:dyDescent="0.25">
      <c r="A402" s="145"/>
      <c r="B402" s="146">
        <v>1425119</v>
      </c>
      <c r="C402" s="147"/>
      <c r="D402" s="148" t="s">
        <v>887</v>
      </c>
      <c r="E402" s="149">
        <v>5.31</v>
      </c>
      <c r="F402" s="149">
        <v>2.88</v>
      </c>
      <c r="G402" s="149">
        <v>0</v>
      </c>
      <c r="H402" s="149">
        <v>2.73</v>
      </c>
      <c r="I402" s="150">
        <v>10.92</v>
      </c>
    </row>
    <row r="403" spans="1:9" ht="15.6" x14ac:dyDescent="0.25">
      <c r="A403" s="145"/>
      <c r="B403" s="146">
        <v>1430981</v>
      </c>
      <c r="C403" s="147"/>
      <c r="D403" s="148" t="s">
        <v>886</v>
      </c>
      <c r="E403" s="149">
        <v>5.31</v>
      </c>
      <c r="F403" s="149">
        <v>2.88</v>
      </c>
      <c r="G403" s="149">
        <v>0</v>
      </c>
      <c r="H403" s="149">
        <v>2.73</v>
      </c>
      <c r="I403" s="150">
        <v>10.92</v>
      </c>
    </row>
    <row r="404" spans="1:9" ht="15.6" x14ac:dyDescent="0.25">
      <c r="A404" s="145"/>
      <c r="B404" s="146">
        <v>1438312</v>
      </c>
      <c r="C404" s="147"/>
      <c r="D404" s="148" t="s">
        <v>895</v>
      </c>
      <c r="E404" s="149">
        <v>5.31</v>
      </c>
      <c r="F404" s="149">
        <v>2.88</v>
      </c>
      <c r="G404" s="149">
        <v>0</v>
      </c>
      <c r="H404" s="149">
        <v>2.73</v>
      </c>
      <c r="I404" s="150">
        <v>10.92</v>
      </c>
    </row>
    <row r="405" spans="1:9" ht="15.6" x14ac:dyDescent="0.25">
      <c r="A405" s="145"/>
      <c r="B405" s="146">
        <v>1440814</v>
      </c>
      <c r="C405" s="147"/>
      <c r="D405" s="148" t="s">
        <v>795</v>
      </c>
      <c r="E405" s="149">
        <v>0</v>
      </c>
      <c r="F405" s="149">
        <v>0</v>
      </c>
      <c r="G405" s="149">
        <v>0</v>
      </c>
      <c r="H405" s="149">
        <v>0</v>
      </c>
      <c r="I405" s="150">
        <v>0</v>
      </c>
    </row>
    <row r="406" spans="1:9" ht="15.6" x14ac:dyDescent="0.25">
      <c r="A406" s="145"/>
      <c r="B406" s="146">
        <v>1448588</v>
      </c>
      <c r="C406" s="147"/>
      <c r="D406" s="148" t="s">
        <v>906</v>
      </c>
      <c r="E406" s="149">
        <v>5.31</v>
      </c>
      <c r="F406" s="149">
        <v>2.88</v>
      </c>
      <c r="G406" s="149">
        <v>0</v>
      </c>
      <c r="H406" s="149">
        <v>0</v>
      </c>
      <c r="I406" s="150">
        <v>8.19</v>
      </c>
    </row>
    <row r="407" spans="1:9" ht="15.6" x14ac:dyDescent="0.25">
      <c r="A407" s="145"/>
      <c r="B407" s="146">
        <v>1449719</v>
      </c>
      <c r="C407" s="147"/>
      <c r="D407" s="148" t="s">
        <v>856</v>
      </c>
      <c r="E407" s="149">
        <v>5.31</v>
      </c>
      <c r="F407" s="149">
        <v>2.88</v>
      </c>
      <c r="G407" s="149">
        <v>0</v>
      </c>
      <c r="H407" s="149">
        <v>2.73</v>
      </c>
      <c r="I407" s="150">
        <v>10.92</v>
      </c>
    </row>
    <row r="408" spans="1:9" ht="15.6" x14ac:dyDescent="0.25">
      <c r="A408" s="145"/>
      <c r="B408" s="146">
        <v>1456206</v>
      </c>
      <c r="C408" s="147"/>
      <c r="D408" s="148" t="s">
        <v>854</v>
      </c>
      <c r="E408" s="149">
        <v>5.31</v>
      </c>
      <c r="F408" s="149">
        <v>2.88</v>
      </c>
      <c r="G408" s="149">
        <v>0</v>
      </c>
      <c r="H408" s="149">
        <v>2.73</v>
      </c>
      <c r="I408" s="150">
        <v>10.92</v>
      </c>
    </row>
    <row r="409" spans="1:9" ht="15.6" x14ac:dyDescent="0.25">
      <c r="A409" s="145"/>
      <c r="B409" s="146">
        <v>1456735</v>
      </c>
      <c r="C409" s="147"/>
      <c r="D409" s="148" t="s">
        <v>790</v>
      </c>
      <c r="E409" s="149">
        <v>5.31</v>
      </c>
      <c r="F409" s="149">
        <v>2.88</v>
      </c>
      <c r="G409" s="149">
        <v>18.260000000000002</v>
      </c>
      <c r="H409" s="149">
        <v>2.73</v>
      </c>
      <c r="I409" s="150">
        <v>29.180000000000003</v>
      </c>
    </row>
    <row r="410" spans="1:9" ht="15.6" x14ac:dyDescent="0.25">
      <c r="A410" s="145"/>
      <c r="B410" s="146">
        <v>1463055</v>
      </c>
      <c r="C410" s="147"/>
      <c r="D410" s="148" t="s">
        <v>876</v>
      </c>
      <c r="E410" s="149">
        <v>0</v>
      </c>
      <c r="F410" s="149">
        <v>0</v>
      </c>
      <c r="G410" s="149">
        <v>0</v>
      </c>
      <c r="H410" s="149">
        <v>0</v>
      </c>
      <c r="I410" s="150">
        <v>0</v>
      </c>
    </row>
    <row r="411" spans="1:9" ht="15.6" x14ac:dyDescent="0.25">
      <c r="A411" s="145"/>
      <c r="B411" s="146">
        <v>1476732</v>
      </c>
      <c r="C411" s="147"/>
      <c r="D411" s="148" t="s">
        <v>874</v>
      </c>
      <c r="E411" s="149">
        <v>5.31</v>
      </c>
      <c r="F411" s="149">
        <v>2.88</v>
      </c>
      <c r="G411" s="149">
        <v>0</v>
      </c>
      <c r="H411" s="149">
        <v>2.73</v>
      </c>
      <c r="I411" s="150">
        <v>10.92</v>
      </c>
    </row>
    <row r="412" spans="1:9" ht="15.6" x14ac:dyDescent="0.25">
      <c r="A412" s="145"/>
      <c r="B412" s="146">
        <v>1478449</v>
      </c>
      <c r="C412" s="147"/>
      <c r="D412" s="148" t="s">
        <v>919</v>
      </c>
      <c r="E412" s="149">
        <v>0</v>
      </c>
      <c r="F412" s="149">
        <v>0</v>
      </c>
      <c r="G412" s="149">
        <v>0</v>
      </c>
      <c r="H412" s="149">
        <v>0</v>
      </c>
      <c r="I412" s="150">
        <v>0</v>
      </c>
    </row>
    <row r="413" spans="1:9" ht="15.6" x14ac:dyDescent="0.25">
      <c r="A413" s="145"/>
      <c r="B413" s="146">
        <v>1482530</v>
      </c>
      <c r="C413" s="147"/>
      <c r="D413" s="148" t="s">
        <v>908</v>
      </c>
      <c r="E413" s="149">
        <v>5.31</v>
      </c>
      <c r="F413" s="149">
        <v>2.88</v>
      </c>
      <c r="G413" s="149">
        <v>0</v>
      </c>
      <c r="H413" s="149">
        <v>2.73</v>
      </c>
      <c r="I413" s="150">
        <v>10.92</v>
      </c>
    </row>
    <row r="414" spans="1:9" ht="15.6" x14ac:dyDescent="0.25">
      <c r="A414" s="145"/>
      <c r="B414" s="146">
        <v>1487409</v>
      </c>
      <c r="C414" s="147"/>
      <c r="D414" s="148" t="s">
        <v>773</v>
      </c>
      <c r="E414" s="149">
        <v>5.31</v>
      </c>
      <c r="F414" s="149">
        <v>2.88</v>
      </c>
      <c r="G414" s="149">
        <v>0</v>
      </c>
      <c r="H414" s="149">
        <v>2.73</v>
      </c>
      <c r="I414" s="150">
        <v>10.92</v>
      </c>
    </row>
    <row r="415" spans="1:9" ht="15.6" x14ac:dyDescent="0.25">
      <c r="A415" s="145"/>
      <c r="B415" s="146">
        <v>1488642</v>
      </c>
      <c r="C415" s="147"/>
      <c r="D415" s="148" t="s">
        <v>748</v>
      </c>
      <c r="E415" s="149">
        <v>5.31</v>
      </c>
      <c r="F415" s="149">
        <v>2.88</v>
      </c>
      <c r="G415" s="149">
        <v>0</v>
      </c>
      <c r="H415" s="149">
        <v>2.73</v>
      </c>
      <c r="I415" s="150">
        <v>10.92</v>
      </c>
    </row>
    <row r="416" spans="1:9" ht="15.6" x14ac:dyDescent="0.25">
      <c r="A416" s="145"/>
      <c r="B416" s="146">
        <v>1492224</v>
      </c>
      <c r="C416" s="147"/>
      <c r="D416" s="148" t="s">
        <v>853</v>
      </c>
      <c r="E416" s="149">
        <v>5.31</v>
      </c>
      <c r="F416" s="149">
        <v>2.88</v>
      </c>
      <c r="G416" s="149">
        <v>0</v>
      </c>
      <c r="H416" s="149">
        <v>2.73</v>
      </c>
      <c r="I416" s="150">
        <v>10.92</v>
      </c>
    </row>
    <row r="417" spans="1:9" ht="15.6" x14ac:dyDescent="0.25">
      <c r="A417" s="145"/>
      <c r="B417" s="146">
        <v>1496693</v>
      </c>
      <c r="C417" s="147"/>
      <c r="D417" s="148" t="s">
        <v>893</v>
      </c>
      <c r="E417" s="149">
        <v>5.31</v>
      </c>
      <c r="F417" s="149">
        <v>2.88</v>
      </c>
      <c r="G417" s="149">
        <v>0</v>
      </c>
      <c r="H417" s="149">
        <v>2.73</v>
      </c>
      <c r="I417" s="150">
        <v>10.92</v>
      </c>
    </row>
    <row r="418" spans="1:9" ht="15.6" x14ac:dyDescent="0.25">
      <c r="A418" s="145"/>
      <c r="B418" s="146">
        <v>1501638</v>
      </c>
      <c r="C418" s="147"/>
      <c r="D418" s="148" t="s">
        <v>919</v>
      </c>
      <c r="E418" s="149">
        <v>0</v>
      </c>
      <c r="F418" s="149">
        <v>0</v>
      </c>
      <c r="G418" s="149">
        <v>0</v>
      </c>
      <c r="H418" s="149">
        <v>0</v>
      </c>
      <c r="I418" s="150">
        <v>0</v>
      </c>
    </row>
    <row r="419" spans="1:9" ht="15.6" x14ac:dyDescent="0.25">
      <c r="A419" s="145"/>
      <c r="B419" s="146">
        <v>1514592</v>
      </c>
      <c r="C419" s="147"/>
      <c r="D419" s="148" t="s">
        <v>747</v>
      </c>
      <c r="E419" s="149">
        <v>5.31</v>
      </c>
      <c r="F419" s="149">
        <v>2.88</v>
      </c>
      <c r="G419" s="149">
        <v>0</v>
      </c>
      <c r="H419" s="149">
        <v>2.73</v>
      </c>
      <c r="I419" s="150">
        <v>10.92</v>
      </c>
    </row>
    <row r="420" spans="1:9" ht="15.6" x14ac:dyDescent="0.25">
      <c r="A420" s="145"/>
      <c r="B420" s="146">
        <v>1514833</v>
      </c>
      <c r="C420" s="147"/>
      <c r="D420" s="148" t="s">
        <v>829</v>
      </c>
      <c r="E420" s="149">
        <v>5.31</v>
      </c>
      <c r="F420" s="149">
        <v>2.88</v>
      </c>
      <c r="G420" s="149">
        <v>0</v>
      </c>
      <c r="H420" s="149">
        <v>2.73</v>
      </c>
      <c r="I420" s="150">
        <v>10.92</v>
      </c>
    </row>
    <row r="421" spans="1:9" ht="15.6" x14ac:dyDescent="0.25">
      <c r="A421" s="145"/>
      <c r="B421" s="146">
        <v>1518666</v>
      </c>
      <c r="C421" s="147"/>
      <c r="D421" s="148" t="s">
        <v>921</v>
      </c>
      <c r="E421" s="149">
        <v>5.31</v>
      </c>
      <c r="F421" s="149">
        <v>2.88</v>
      </c>
      <c r="G421" s="149">
        <v>0</v>
      </c>
      <c r="H421" s="149">
        <v>2.73</v>
      </c>
      <c r="I421" s="150">
        <v>10.92</v>
      </c>
    </row>
    <row r="422" spans="1:9" ht="15.6" x14ac:dyDescent="0.25">
      <c r="A422" s="145"/>
      <c r="B422" s="146">
        <v>1518955</v>
      </c>
      <c r="C422" s="147"/>
      <c r="D422" s="148" t="s">
        <v>763</v>
      </c>
      <c r="E422" s="149">
        <v>5.31</v>
      </c>
      <c r="F422" s="149">
        <v>0</v>
      </c>
      <c r="G422" s="149">
        <v>0</v>
      </c>
      <c r="H422" s="149">
        <v>0</v>
      </c>
      <c r="I422" s="150">
        <v>5.31</v>
      </c>
    </row>
    <row r="423" spans="1:9" ht="15.6" x14ac:dyDescent="0.25">
      <c r="A423" s="145"/>
      <c r="B423" s="146">
        <v>1528669</v>
      </c>
      <c r="C423" s="147"/>
      <c r="D423" s="148" t="s">
        <v>748</v>
      </c>
      <c r="E423" s="149">
        <v>5.31</v>
      </c>
      <c r="F423" s="149">
        <v>2.88</v>
      </c>
      <c r="G423" s="149">
        <v>0</v>
      </c>
      <c r="H423" s="149">
        <v>2.73</v>
      </c>
      <c r="I423" s="150">
        <v>10.92</v>
      </c>
    </row>
    <row r="424" spans="1:9" ht="15.6" x14ac:dyDescent="0.25">
      <c r="A424" s="145"/>
      <c r="B424" s="146">
        <v>1529391</v>
      </c>
      <c r="C424" s="147"/>
      <c r="D424" s="148" t="s">
        <v>911</v>
      </c>
      <c r="E424" s="149">
        <v>5.31</v>
      </c>
      <c r="F424" s="149">
        <v>0</v>
      </c>
      <c r="G424" s="149">
        <v>0</v>
      </c>
      <c r="H424" s="149">
        <v>2.73</v>
      </c>
      <c r="I424" s="150">
        <v>8.0399999999999991</v>
      </c>
    </row>
    <row r="425" spans="1:9" ht="15.6" x14ac:dyDescent="0.25">
      <c r="A425" s="145"/>
      <c r="B425" s="146">
        <v>1535276</v>
      </c>
      <c r="C425" s="147"/>
      <c r="D425" s="148" t="s">
        <v>790</v>
      </c>
      <c r="E425" s="149">
        <v>5.31</v>
      </c>
      <c r="F425" s="149">
        <v>2.88</v>
      </c>
      <c r="G425" s="149">
        <v>24.03</v>
      </c>
      <c r="H425" s="149">
        <v>2.73</v>
      </c>
      <c r="I425" s="150">
        <v>34.949999999999996</v>
      </c>
    </row>
    <row r="426" spans="1:9" ht="15.6" x14ac:dyDescent="0.25">
      <c r="A426" s="145"/>
      <c r="B426" s="146">
        <v>1541084</v>
      </c>
      <c r="C426" s="147"/>
      <c r="D426" s="148" t="s">
        <v>857</v>
      </c>
      <c r="E426" s="149">
        <v>0</v>
      </c>
      <c r="F426" s="149">
        <v>0</v>
      </c>
      <c r="G426" s="149">
        <v>0</v>
      </c>
      <c r="H426" s="149">
        <v>2.73</v>
      </c>
      <c r="I426" s="150">
        <v>2.73</v>
      </c>
    </row>
    <row r="427" spans="1:9" ht="15.6" x14ac:dyDescent="0.25">
      <c r="A427" s="145"/>
      <c r="B427" s="146">
        <v>1545754</v>
      </c>
      <c r="C427" s="147"/>
      <c r="D427" s="148" t="s">
        <v>891</v>
      </c>
      <c r="E427" s="149">
        <v>0</v>
      </c>
      <c r="F427" s="149">
        <v>0</v>
      </c>
      <c r="G427" s="149">
        <v>0</v>
      </c>
      <c r="H427" s="149">
        <v>0</v>
      </c>
      <c r="I427" s="150">
        <v>0</v>
      </c>
    </row>
    <row r="428" spans="1:9" ht="15.6" x14ac:dyDescent="0.25">
      <c r="A428" s="145"/>
      <c r="B428" s="146">
        <v>1547670</v>
      </c>
      <c r="C428" s="147"/>
      <c r="D428" s="148" t="s">
        <v>862</v>
      </c>
      <c r="E428" s="149">
        <v>5.31</v>
      </c>
      <c r="F428" s="149">
        <v>2.88</v>
      </c>
      <c r="G428" s="149">
        <v>0</v>
      </c>
      <c r="H428" s="149">
        <v>2.73</v>
      </c>
      <c r="I428" s="150">
        <v>10.92</v>
      </c>
    </row>
    <row r="429" spans="1:9" ht="15.6" x14ac:dyDescent="0.25">
      <c r="A429" s="145"/>
      <c r="B429" s="146">
        <v>1549688</v>
      </c>
      <c r="C429" s="147"/>
      <c r="D429" s="148" t="s">
        <v>751</v>
      </c>
      <c r="E429" s="149">
        <v>0</v>
      </c>
      <c r="F429" s="149">
        <v>0</v>
      </c>
      <c r="G429" s="149">
        <v>0</v>
      </c>
      <c r="H429" s="149">
        <v>0</v>
      </c>
      <c r="I429" s="150">
        <v>0</v>
      </c>
    </row>
    <row r="430" spans="1:9" ht="15.6" x14ac:dyDescent="0.25">
      <c r="A430" s="145"/>
      <c r="B430" s="146">
        <v>1552220</v>
      </c>
      <c r="C430" s="147"/>
      <c r="D430" s="148" t="s">
        <v>868</v>
      </c>
      <c r="E430" s="149">
        <v>5.31</v>
      </c>
      <c r="F430" s="149">
        <v>2.88</v>
      </c>
      <c r="G430" s="149">
        <v>0</v>
      </c>
      <c r="H430" s="149">
        <v>2.73</v>
      </c>
      <c r="I430" s="150">
        <v>10.92</v>
      </c>
    </row>
    <row r="431" spans="1:9" ht="15.6" x14ac:dyDescent="0.25">
      <c r="A431" s="145"/>
      <c r="B431" s="146">
        <v>1552406</v>
      </c>
      <c r="C431" s="147"/>
      <c r="D431" s="148" t="s">
        <v>868</v>
      </c>
      <c r="E431" s="149">
        <v>5.31</v>
      </c>
      <c r="F431" s="149">
        <v>2.88</v>
      </c>
      <c r="G431" s="149">
        <v>0</v>
      </c>
      <c r="H431" s="149">
        <v>2.73</v>
      </c>
      <c r="I431" s="150">
        <v>10.92</v>
      </c>
    </row>
    <row r="432" spans="1:9" ht="15.6" x14ac:dyDescent="0.25">
      <c r="A432" s="145"/>
      <c r="B432" s="146">
        <v>1556172</v>
      </c>
      <c r="C432" s="147"/>
      <c r="D432" s="148" t="s">
        <v>915</v>
      </c>
      <c r="E432" s="149">
        <v>5.31</v>
      </c>
      <c r="F432" s="149">
        <v>2.88</v>
      </c>
      <c r="G432" s="149">
        <v>0</v>
      </c>
      <c r="H432" s="149">
        <v>2.73</v>
      </c>
      <c r="I432" s="150">
        <v>10.92</v>
      </c>
    </row>
    <row r="433" spans="1:9" ht="15.6" x14ac:dyDescent="0.25">
      <c r="A433" s="145"/>
      <c r="B433" s="146">
        <v>1562682</v>
      </c>
      <c r="C433" s="147"/>
      <c r="D433" s="148" t="s">
        <v>790</v>
      </c>
      <c r="E433" s="149">
        <v>5.31</v>
      </c>
      <c r="F433" s="149">
        <v>2.88</v>
      </c>
      <c r="G433" s="149">
        <v>24.03</v>
      </c>
      <c r="H433" s="149">
        <v>2.73</v>
      </c>
      <c r="I433" s="150">
        <v>34.949999999999996</v>
      </c>
    </row>
    <row r="434" spans="1:9" ht="15.6" x14ac:dyDescent="0.25">
      <c r="A434" s="145"/>
      <c r="B434" s="146">
        <v>1563233</v>
      </c>
      <c r="C434" s="147"/>
      <c r="D434" s="148" t="s">
        <v>877</v>
      </c>
      <c r="E434" s="149">
        <v>0</v>
      </c>
      <c r="F434" s="149">
        <v>0</v>
      </c>
      <c r="G434" s="149">
        <v>0</v>
      </c>
      <c r="H434" s="149">
        <v>2.73</v>
      </c>
      <c r="I434" s="150">
        <v>2.73</v>
      </c>
    </row>
    <row r="435" spans="1:9" ht="15.6" x14ac:dyDescent="0.25">
      <c r="A435" s="145"/>
      <c r="B435" s="146">
        <v>1564953</v>
      </c>
      <c r="C435" s="147"/>
      <c r="D435" s="148" t="s">
        <v>851</v>
      </c>
      <c r="E435" s="149">
        <v>5.31</v>
      </c>
      <c r="F435" s="149">
        <v>2.88</v>
      </c>
      <c r="G435" s="149">
        <v>22.66</v>
      </c>
      <c r="H435" s="149">
        <v>2.73</v>
      </c>
      <c r="I435" s="150">
        <v>33.58</v>
      </c>
    </row>
    <row r="436" spans="1:9" ht="15.6" x14ac:dyDescent="0.25">
      <c r="A436" s="145"/>
      <c r="B436" s="146">
        <v>1568592</v>
      </c>
      <c r="C436" s="147"/>
      <c r="D436" s="148" t="s">
        <v>930</v>
      </c>
      <c r="E436" s="149">
        <v>0</v>
      </c>
      <c r="F436" s="149">
        <v>0</v>
      </c>
      <c r="G436" s="149">
        <v>0</v>
      </c>
      <c r="H436" s="149">
        <v>0</v>
      </c>
      <c r="I436" s="150">
        <v>0</v>
      </c>
    </row>
    <row r="437" spans="1:9" ht="15.6" x14ac:dyDescent="0.25">
      <c r="A437" s="145"/>
      <c r="B437" s="146">
        <v>1571179</v>
      </c>
      <c r="C437" s="147"/>
      <c r="D437" s="148" t="s">
        <v>821</v>
      </c>
      <c r="E437" s="149">
        <v>5.31</v>
      </c>
      <c r="F437" s="149">
        <v>2.88</v>
      </c>
      <c r="G437" s="149">
        <v>0</v>
      </c>
      <c r="H437" s="149">
        <v>2.73</v>
      </c>
      <c r="I437" s="150">
        <v>10.92</v>
      </c>
    </row>
    <row r="438" spans="1:9" ht="15.6" x14ac:dyDescent="0.25">
      <c r="A438" s="145"/>
      <c r="B438" s="146">
        <v>1571307</v>
      </c>
      <c r="C438" s="147"/>
      <c r="D438" s="148" t="s">
        <v>802</v>
      </c>
      <c r="E438" s="149">
        <v>0</v>
      </c>
      <c r="F438" s="149">
        <v>0</v>
      </c>
      <c r="G438" s="149">
        <v>0</v>
      </c>
      <c r="H438" s="149">
        <v>0</v>
      </c>
      <c r="I438" s="150">
        <v>0</v>
      </c>
    </row>
    <row r="439" spans="1:9" ht="15.6" x14ac:dyDescent="0.25">
      <c r="A439" s="145"/>
      <c r="B439" s="146">
        <v>1580429</v>
      </c>
      <c r="C439" s="147"/>
      <c r="D439" s="148" t="s">
        <v>847</v>
      </c>
      <c r="E439" s="149">
        <v>5.31</v>
      </c>
      <c r="F439" s="149">
        <v>2.88</v>
      </c>
      <c r="G439" s="149">
        <v>0</v>
      </c>
      <c r="H439" s="149">
        <v>2.73</v>
      </c>
      <c r="I439" s="150">
        <v>10.92</v>
      </c>
    </row>
    <row r="440" spans="1:9" ht="15.6" x14ac:dyDescent="0.25">
      <c r="A440" s="145"/>
      <c r="B440" s="146">
        <v>1593042</v>
      </c>
      <c r="C440" s="147"/>
      <c r="D440" s="148" t="s">
        <v>857</v>
      </c>
      <c r="E440" s="149">
        <v>0</v>
      </c>
      <c r="F440" s="149">
        <v>0</v>
      </c>
      <c r="G440" s="149">
        <v>0</v>
      </c>
      <c r="H440" s="149">
        <v>0</v>
      </c>
      <c r="I440" s="150">
        <v>0</v>
      </c>
    </row>
    <row r="441" spans="1:9" ht="15.6" x14ac:dyDescent="0.25">
      <c r="A441" s="145"/>
      <c r="B441" s="146">
        <v>1596935</v>
      </c>
      <c r="C441" s="147"/>
      <c r="D441" s="148" t="s">
        <v>883</v>
      </c>
      <c r="E441" s="149">
        <v>5.31</v>
      </c>
      <c r="F441" s="149">
        <v>2.88</v>
      </c>
      <c r="G441" s="149">
        <v>0</v>
      </c>
      <c r="H441" s="149">
        <v>2.73</v>
      </c>
      <c r="I441" s="150">
        <v>10.92</v>
      </c>
    </row>
    <row r="442" spans="1:9" ht="15.6" x14ac:dyDescent="0.25">
      <c r="A442" s="145"/>
      <c r="B442" s="146">
        <v>1597500</v>
      </c>
      <c r="C442" s="147"/>
      <c r="D442" s="148" t="s">
        <v>744</v>
      </c>
      <c r="E442" s="149">
        <v>0</v>
      </c>
      <c r="F442" s="149">
        <v>0</v>
      </c>
      <c r="G442" s="149">
        <v>0</v>
      </c>
      <c r="H442" s="149">
        <v>0</v>
      </c>
      <c r="I442" s="150">
        <v>0</v>
      </c>
    </row>
    <row r="443" spans="1:9" ht="15.6" x14ac:dyDescent="0.25">
      <c r="A443" s="145"/>
      <c r="B443" s="146">
        <v>1603046</v>
      </c>
      <c r="C443" s="147"/>
      <c r="D443" s="148" t="s">
        <v>760</v>
      </c>
      <c r="E443" s="149">
        <v>0</v>
      </c>
      <c r="F443" s="149">
        <v>0</v>
      </c>
      <c r="G443" s="149">
        <v>0</v>
      </c>
      <c r="H443" s="149">
        <v>2.73</v>
      </c>
      <c r="I443" s="150">
        <v>2.73</v>
      </c>
    </row>
    <row r="444" spans="1:9" ht="15.6" x14ac:dyDescent="0.25">
      <c r="A444" s="145"/>
      <c r="B444" s="146">
        <v>1611752</v>
      </c>
      <c r="C444" s="147"/>
      <c r="D444" s="148" t="s">
        <v>801</v>
      </c>
      <c r="E444" s="149">
        <v>0</v>
      </c>
      <c r="F444" s="149">
        <v>0</v>
      </c>
      <c r="G444" s="149">
        <v>0</v>
      </c>
      <c r="H444" s="149">
        <v>0</v>
      </c>
      <c r="I444" s="150">
        <v>0</v>
      </c>
    </row>
    <row r="445" spans="1:9" ht="15.6" x14ac:dyDescent="0.25">
      <c r="A445" s="145"/>
      <c r="B445" s="146">
        <v>1617964</v>
      </c>
      <c r="C445" s="147"/>
      <c r="D445" s="148" t="s">
        <v>821</v>
      </c>
      <c r="E445" s="149">
        <v>5.31</v>
      </c>
      <c r="F445" s="149">
        <v>2.88</v>
      </c>
      <c r="G445" s="149">
        <v>0</v>
      </c>
      <c r="H445" s="149">
        <v>2.73</v>
      </c>
      <c r="I445" s="150">
        <v>10.92</v>
      </c>
    </row>
    <row r="446" spans="1:9" ht="15.6" x14ac:dyDescent="0.25">
      <c r="A446" s="145"/>
      <c r="B446" s="146">
        <v>1618102</v>
      </c>
      <c r="C446" s="147"/>
      <c r="D446" s="148" t="s">
        <v>868</v>
      </c>
      <c r="E446" s="149">
        <v>5.31</v>
      </c>
      <c r="F446" s="149">
        <v>2.88</v>
      </c>
      <c r="G446" s="149">
        <v>0</v>
      </c>
      <c r="H446" s="149">
        <v>2.73</v>
      </c>
      <c r="I446" s="150">
        <v>10.92</v>
      </c>
    </row>
    <row r="447" spans="1:9" ht="15.6" x14ac:dyDescent="0.25">
      <c r="A447" s="145"/>
      <c r="B447" s="146">
        <v>1618715</v>
      </c>
      <c r="C447" s="147"/>
      <c r="D447" s="148" t="s">
        <v>784</v>
      </c>
      <c r="E447" s="149">
        <v>0</v>
      </c>
      <c r="F447" s="149">
        <v>0</v>
      </c>
      <c r="G447" s="149">
        <v>0</v>
      </c>
      <c r="H447" s="149">
        <v>0</v>
      </c>
      <c r="I447" s="150">
        <v>0</v>
      </c>
    </row>
    <row r="448" spans="1:9" ht="15.6" x14ac:dyDescent="0.25">
      <c r="A448" s="145"/>
      <c r="B448" s="146">
        <v>1620138</v>
      </c>
      <c r="C448" s="147"/>
      <c r="D448" s="148" t="s">
        <v>902</v>
      </c>
      <c r="E448" s="149">
        <v>5.31</v>
      </c>
      <c r="F448" s="149">
        <v>2.88</v>
      </c>
      <c r="G448" s="149">
        <v>0</v>
      </c>
      <c r="H448" s="149">
        <v>2.73</v>
      </c>
      <c r="I448" s="150">
        <v>10.92</v>
      </c>
    </row>
    <row r="449" spans="1:9" ht="15.6" x14ac:dyDescent="0.25">
      <c r="A449" s="145"/>
      <c r="B449" s="146">
        <v>1627726</v>
      </c>
      <c r="C449" s="147"/>
      <c r="D449" s="148" t="s">
        <v>929</v>
      </c>
      <c r="E449" s="149">
        <v>5.31</v>
      </c>
      <c r="F449" s="149">
        <v>2.88</v>
      </c>
      <c r="G449" s="149">
        <v>0</v>
      </c>
      <c r="H449" s="149">
        <v>2.73</v>
      </c>
      <c r="I449" s="150">
        <v>10.92</v>
      </c>
    </row>
    <row r="450" spans="1:9" ht="15.6" x14ac:dyDescent="0.25">
      <c r="A450" s="145"/>
      <c r="B450" s="146">
        <v>1629935</v>
      </c>
      <c r="C450" s="147"/>
      <c r="D450" s="148" t="s">
        <v>760</v>
      </c>
      <c r="E450" s="149">
        <v>0</v>
      </c>
      <c r="F450" s="149">
        <v>0</v>
      </c>
      <c r="G450" s="149">
        <v>0</v>
      </c>
      <c r="H450" s="149">
        <v>2.73</v>
      </c>
      <c r="I450" s="150">
        <v>2.73</v>
      </c>
    </row>
    <row r="451" spans="1:9" ht="15.6" x14ac:dyDescent="0.25">
      <c r="A451" s="145"/>
      <c r="B451" s="146">
        <v>1635089</v>
      </c>
      <c r="C451" s="147"/>
      <c r="D451" s="148" t="s">
        <v>851</v>
      </c>
      <c r="E451" s="149">
        <v>5.31</v>
      </c>
      <c r="F451" s="149">
        <v>2.88</v>
      </c>
      <c r="G451" s="149">
        <v>22.66</v>
      </c>
      <c r="H451" s="149">
        <v>2.73</v>
      </c>
      <c r="I451" s="150">
        <v>33.58</v>
      </c>
    </row>
    <row r="452" spans="1:9" ht="15.6" x14ac:dyDescent="0.25">
      <c r="A452" s="145"/>
      <c r="B452" s="146">
        <v>1640223</v>
      </c>
      <c r="C452" s="147"/>
      <c r="D452" s="148" t="s">
        <v>857</v>
      </c>
      <c r="E452" s="149">
        <v>0</v>
      </c>
      <c r="F452" s="149">
        <v>0</v>
      </c>
      <c r="G452" s="149">
        <v>0</v>
      </c>
      <c r="H452" s="149">
        <v>0</v>
      </c>
      <c r="I452" s="150">
        <v>0</v>
      </c>
    </row>
    <row r="453" spans="1:9" ht="15.6" x14ac:dyDescent="0.25">
      <c r="A453" s="145"/>
      <c r="B453" s="146">
        <v>1643609</v>
      </c>
      <c r="C453" s="147"/>
      <c r="D453" s="148" t="s">
        <v>881</v>
      </c>
      <c r="E453" s="149">
        <v>5.31</v>
      </c>
      <c r="F453" s="149">
        <v>2.88</v>
      </c>
      <c r="G453" s="149">
        <v>0</v>
      </c>
      <c r="H453" s="149">
        <v>2.73</v>
      </c>
      <c r="I453" s="150">
        <v>10.92</v>
      </c>
    </row>
    <row r="454" spans="1:9" ht="15.6" x14ac:dyDescent="0.25">
      <c r="A454" s="145"/>
      <c r="B454" s="146">
        <v>1648181</v>
      </c>
      <c r="C454" s="147"/>
      <c r="D454" s="148" t="s">
        <v>814</v>
      </c>
      <c r="E454" s="149">
        <v>0</v>
      </c>
      <c r="F454" s="149">
        <v>0</v>
      </c>
      <c r="G454" s="149">
        <v>0</v>
      </c>
      <c r="H454" s="149">
        <v>0</v>
      </c>
      <c r="I454" s="150">
        <v>0</v>
      </c>
    </row>
    <row r="455" spans="1:9" ht="15.6" x14ac:dyDescent="0.25">
      <c r="A455" s="145"/>
      <c r="B455" s="146">
        <v>1649406</v>
      </c>
      <c r="C455" s="147"/>
      <c r="D455" s="148" t="s">
        <v>857</v>
      </c>
      <c r="E455" s="149">
        <v>0</v>
      </c>
      <c r="F455" s="149">
        <v>0</v>
      </c>
      <c r="G455" s="149">
        <v>0</v>
      </c>
      <c r="H455" s="149">
        <v>0</v>
      </c>
      <c r="I455" s="150">
        <v>0</v>
      </c>
    </row>
    <row r="456" spans="1:9" ht="15.6" x14ac:dyDescent="0.25">
      <c r="A456" s="145"/>
      <c r="B456" s="146">
        <v>1651022</v>
      </c>
      <c r="C456" s="147"/>
      <c r="D456" s="148" t="s">
        <v>851</v>
      </c>
      <c r="E456" s="149">
        <v>5.31</v>
      </c>
      <c r="F456" s="149">
        <v>2.88</v>
      </c>
      <c r="G456" s="149">
        <v>22.66</v>
      </c>
      <c r="H456" s="149">
        <v>2.73</v>
      </c>
      <c r="I456" s="150">
        <v>33.58</v>
      </c>
    </row>
    <row r="457" spans="1:9" ht="15.6" x14ac:dyDescent="0.25">
      <c r="A457" s="145"/>
      <c r="B457" s="146">
        <v>1652852</v>
      </c>
      <c r="C457" s="147"/>
      <c r="D457" s="148" t="s">
        <v>873</v>
      </c>
      <c r="E457" s="149">
        <v>5.31</v>
      </c>
      <c r="F457" s="149">
        <v>2.88</v>
      </c>
      <c r="G457" s="149">
        <v>0</v>
      </c>
      <c r="H457" s="149">
        <v>2.73</v>
      </c>
      <c r="I457" s="150">
        <v>10.92</v>
      </c>
    </row>
    <row r="458" spans="1:9" ht="15.6" x14ac:dyDescent="0.25">
      <c r="A458" s="145"/>
      <c r="B458" s="146">
        <v>1661046</v>
      </c>
      <c r="C458" s="147"/>
      <c r="D458" s="148" t="s">
        <v>716</v>
      </c>
      <c r="E458" s="149">
        <v>0</v>
      </c>
      <c r="F458" s="149">
        <v>0</v>
      </c>
      <c r="G458" s="149">
        <v>0</v>
      </c>
      <c r="H458" s="149">
        <v>0</v>
      </c>
      <c r="I458" s="150">
        <v>0</v>
      </c>
    </row>
    <row r="459" spans="1:9" ht="15.6" x14ac:dyDescent="0.25">
      <c r="A459" s="145"/>
      <c r="B459" s="146">
        <v>1669880</v>
      </c>
      <c r="C459" s="147"/>
      <c r="D459" s="148" t="s">
        <v>849</v>
      </c>
      <c r="E459" s="149">
        <v>0</v>
      </c>
      <c r="F459" s="149">
        <v>0</v>
      </c>
      <c r="G459" s="149">
        <v>0</v>
      </c>
      <c r="H459" s="149">
        <v>2.73</v>
      </c>
      <c r="I459" s="150">
        <v>2.73</v>
      </c>
    </row>
    <row r="460" spans="1:9" ht="15.6" x14ac:dyDescent="0.25">
      <c r="A460" s="145"/>
      <c r="B460" s="146">
        <v>1678664</v>
      </c>
      <c r="C460" s="147"/>
      <c r="D460" s="148" t="s">
        <v>817</v>
      </c>
      <c r="E460" s="149">
        <v>5.31</v>
      </c>
      <c r="F460" s="149">
        <v>2.88</v>
      </c>
      <c r="G460" s="149">
        <v>0</v>
      </c>
      <c r="H460" s="149">
        <v>2.73</v>
      </c>
      <c r="I460" s="150">
        <v>10.92</v>
      </c>
    </row>
    <row r="461" spans="1:9" ht="15.6" x14ac:dyDescent="0.25">
      <c r="A461" s="145"/>
      <c r="B461" s="146">
        <v>1683704</v>
      </c>
      <c r="C461" s="147"/>
      <c r="D461" s="148" t="s">
        <v>814</v>
      </c>
      <c r="E461" s="149">
        <v>0</v>
      </c>
      <c r="F461" s="149">
        <v>0</v>
      </c>
      <c r="G461" s="149">
        <v>0</v>
      </c>
      <c r="H461" s="149">
        <v>0</v>
      </c>
      <c r="I461" s="150">
        <v>0</v>
      </c>
    </row>
    <row r="462" spans="1:9" ht="15.6" x14ac:dyDescent="0.25">
      <c r="A462" s="145"/>
      <c r="B462" s="146">
        <v>1685080</v>
      </c>
      <c r="C462" s="147"/>
      <c r="D462" s="148" t="s">
        <v>893</v>
      </c>
      <c r="E462" s="149">
        <v>5.31</v>
      </c>
      <c r="F462" s="149">
        <v>2.88</v>
      </c>
      <c r="G462" s="149">
        <v>0</v>
      </c>
      <c r="H462" s="149">
        <v>2.73</v>
      </c>
      <c r="I462" s="150">
        <v>10.92</v>
      </c>
    </row>
    <row r="463" spans="1:9" ht="15.6" x14ac:dyDescent="0.25">
      <c r="A463" s="145"/>
      <c r="B463" s="146">
        <v>1687632</v>
      </c>
      <c r="C463" s="147"/>
      <c r="D463" s="148" t="s">
        <v>911</v>
      </c>
      <c r="E463" s="149">
        <v>5.31</v>
      </c>
      <c r="F463" s="149">
        <v>0</v>
      </c>
      <c r="G463" s="149">
        <v>0</v>
      </c>
      <c r="H463" s="149">
        <v>2.73</v>
      </c>
      <c r="I463" s="150">
        <v>8.0399999999999991</v>
      </c>
    </row>
    <row r="464" spans="1:9" ht="15.6" x14ac:dyDescent="0.25">
      <c r="A464" s="145"/>
      <c r="B464" s="146">
        <v>1688092</v>
      </c>
      <c r="C464" s="147"/>
      <c r="D464" s="148" t="s">
        <v>857</v>
      </c>
      <c r="E464" s="149">
        <v>0</v>
      </c>
      <c r="F464" s="149">
        <v>0</v>
      </c>
      <c r="G464" s="149">
        <v>0</v>
      </c>
      <c r="H464" s="149">
        <v>0</v>
      </c>
      <c r="I464" s="150">
        <v>0</v>
      </c>
    </row>
    <row r="465" spans="1:9" ht="15.6" x14ac:dyDescent="0.25">
      <c r="A465" s="145"/>
      <c r="B465" s="146">
        <v>1688269</v>
      </c>
      <c r="C465" s="147"/>
      <c r="D465" s="148" t="s">
        <v>779</v>
      </c>
      <c r="E465" s="149">
        <v>5.31</v>
      </c>
      <c r="F465" s="149">
        <v>2.88</v>
      </c>
      <c r="G465" s="149">
        <v>0</v>
      </c>
      <c r="H465" s="149">
        <v>2.73</v>
      </c>
      <c r="I465" s="150">
        <v>10.92</v>
      </c>
    </row>
    <row r="466" spans="1:9" ht="15.6" x14ac:dyDescent="0.25">
      <c r="A466" s="145"/>
      <c r="B466" s="146">
        <v>1689556</v>
      </c>
      <c r="C466" s="147"/>
      <c r="D466" s="148" t="s">
        <v>757</v>
      </c>
      <c r="E466" s="149">
        <v>0</v>
      </c>
      <c r="F466" s="149">
        <v>0</v>
      </c>
      <c r="G466" s="149">
        <v>0</v>
      </c>
      <c r="H466" s="149">
        <v>0</v>
      </c>
      <c r="I466" s="150">
        <v>0</v>
      </c>
    </row>
    <row r="467" spans="1:9" ht="15.6" x14ac:dyDescent="0.25">
      <c r="A467" s="145"/>
      <c r="B467" s="146">
        <v>1692344</v>
      </c>
      <c r="C467" s="147"/>
      <c r="D467" s="148" t="s">
        <v>851</v>
      </c>
      <c r="E467" s="149">
        <v>5.31</v>
      </c>
      <c r="F467" s="149">
        <v>2.88</v>
      </c>
      <c r="G467" s="149">
        <v>22.66</v>
      </c>
      <c r="H467" s="149">
        <v>2.73</v>
      </c>
      <c r="I467" s="150">
        <v>33.58</v>
      </c>
    </row>
    <row r="468" spans="1:9" ht="15.6" x14ac:dyDescent="0.25">
      <c r="A468" s="145"/>
      <c r="B468" s="146">
        <v>1696307</v>
      </c>
      <c r="C468" s="147"/>
      <c r="D468" s="148" t="s">
        <v>868</v>
      </c>
      <c r="E468" s="149">
        <v>5.31</v>
      </c>
      <c r="F468" s="149">
        <v>2.88</v>
      </c>
      <c r="G468" s="149">
        <v>0</v>
      </c>
      <c r="H468" s="149">
        <v>2.73</v>
      </c>
      <c r="I468" s="150">
        <v>10.92</v>
      </c>
    </row>
    <row r="469" spans="1:9" ht="15.6" x14ac:dyDescent="0.25">
      <c r="A469" s="145"/>
      <c r="B469" s="146">
        <v>1701379</v>
      </c>
      <c r="C469" s="147"/>
      <c r="D469" s="148" t="s">
        <v>868</v>
      </c>
      <c r="E469" s="149">
        <v>5.31</v>
      </c>
      <c r="F469" s="149">
        <v>2.88</v>
      </c>
      <c r="G469" s="149">
        <v>0</v>
      </c>
      <c r="H469" s="149">
        <v>2.73</v>
      </c>
      <c r="I469" s="150">
        <v>10.92</v>
      </c>
    </row>
    <row r="470" spans="1:9" ht="15.6" x14ac:dyDescent="0.25">
      <c r="A470" s="145"/>
      <c r="B470" s="146">
        <v>1702178</v>
      </c>
      <c r="C470" s="147"/>
      <c r="D470" s="148" t="s">
        <v>868</v>
      </c>
      <c r="E470" s="149">
        <v>5.31</v>
      </c>
      <c r="F470" s="149">
        <v>2.88</v>
      </c>
      <c r="G470" s="149">
        <v>0</v>
      </c>
      <c r="H470" s="149">
        <v>2.73</v>
      </c>
      <c r="I470" s="150">
        <v>10.92</v>
      </c>
    </row>
    <row r="471" spans="1:9" ht="15.6" x14ac:dyDescent="0.25">
      <c r="A471" s="145"/>
      <c r="B471" s="146">
        <v>1709522</v>
      </c>
      <c r="C471" s="147"/>
      <c r="D471" s="148" t="s">
        <v>824</v>
      </c>
      <c r="E471" s="149">
        <v>0</v>
      </c>
      <c r="F471" s="149">
        <v>0</v>
      </c>
      <c r="G471" s="149">
        <v>0</v>
      </c>
      <c r="H471" s="149">
        <v>0</v>
      </c>
      <c r="I471" s="150">
        <v>0</v>
      </c>
    </row>
    <row r="472" spans="1:9" ht="15.6" x14ac:dyDescent="0.25">
      <c r="A472" s="145"/>
      <c r="B472" s="146">
        <v>1711823</v>
      </c>
      <c r="C472" s="147"/>
      <c r="D472" s="148" t="s">
        <v>751</v>
      </c>
      <c r="E472" s="149">
        <v>0</v>
      </c>
      <c r="F472" s="149">
        <v>0</v>
      </c>
      <c r="G472" s="149">
        <v>0</v>
      </c>
      <c r="H472" s="149">
        <v>0</v>
      </c>
      <c r="I472" s="150">
        <v>0</v>
      </c>
    </row>
    <row r="473" spans="1:9" ht="15.6" x14ac:dyDescent="0.25">
      <c r="A473" s="145"/>
      <c r="B473" s="146">
        <v>1712099</v>
      </c>
      <c r="C473" s="147"/>
      <c r="D473" s="148" t="s">
        <v>818</v>
      </c>
      <c r="E473" s="149">
        <v>5.31</v>
      </c>
      <c r="F473" s="149">
        <v>2.88</v>
      </c>
      <c r="G473" s="149">
        <v>0</v>
      </c>
      <c r="H473" s="149">
        <v>2.73</v>
      </c>
      <c r="I473" s="150">
        <v>10.92</v>
      </c>
    </row>
    <row r="474" spans="1:9" ht="15.6" x14ac:dyDescent="0.25">
      <c r="A474" s="145"/>
      <c r="B474" s="146">
        <v>1716149</v>
      </c>
      <c r="C474" s="147"/>
      <c r="D474" s="148" t="s">
        <v>873</v>
      </c>
      <c r="E474" s="149">
        <v>5.31</v>
      </c>
      <c r="F474" s="149">
        <v>2.88</v>
      </c>
      <c r="G474" s="149">
        <v>0</v>
      </c>
      <c r="H474" s="149">
        <v>2.73</v>
      </c>
      <c r="I474" s="150">
        <v>10.92</v>
      </c>
    </row>
    <row r="475" spans="1:9" ht="15.6" x14ac:dyDescent="0.25">
      <c r="A475" s="145"/>
      <c r="B475" s="146">
        <v>1717369</v>
      </c>
      <c r="C475" s="147"/>
      <c r="D475" s="148" t="s">
        <v>790</v>
      </c>
      <c r="E475" s="149">
        <v>5.31</v>
      </c>
      <c r="F475" s="149">
        <v>2.88</v>
      </c>
      <c r="G475" s="149">
        <v>18.260000000000002</v>
      </c>
      <c r="H475" s="149">
        <v>2.73</v>
      </c>
      <c r="I475" s="150">
        <v>29.180000000000003</v>
      </c>
    </row>
    <row r="476" spans="1:9" ht="15.6" x14ac:dyDescent="0.25">
      <c r="A476" s="145"/>
      <c r="B476" s="146">
        <v>1721357</v>
      </c>
      <c r="C476" s="147"/>
      <c r="D476" s="148" t="s">
        <v>881</v>
      </c>
      <c r="E476" s="149">
        <v>5.31</v>
      </c>
      <c r="F476" s="149">
        <v>2.88</v>
      </c>
      <c r="G476" s="149">
        <v>0</v>
      </c>
      <c r="H476" s="149">
        <v>2.73</v>
      </c>
      <c r="I476" s="150">
        <v>10.92</v>
      </c>
    </row>
    <row r="477" spans="1:9" ht="15.6" x14ac:dyDescent="0.25">
      <c r="A477" s="145"/>
      <c r="B477" s="146">
        <v>1725984</v>
      </c>
      <c r="C477" s="147"/>
      <c r="D477" s="148" t="s">
        <v>868</v>
      </c>
      <c r="E477" s="149">
        <v>5.31</v>
      </c>
      <c r="F477" s="149">
        <v>2.88</v>
      </c>
      <c r="G477" s="149">
        <v>0</v>
      </c>
      <c r="H477" s="149">
        <v>2.73</v>
      </c>
      <c r="I477" s="150">
        <v>10.92</v>
      </c>
    </row>
    <row r="478" spans="1:9" ht="15.6" x14ac:dyDescent="0.25">
      <c r="A478" s="145"/>
      <c r="B478" s="146">
        <v>1726613</v>
      </c>
      <c r="C478" s="147"/>
      <c r="D478" s="148" t="s">
        <v>934</v>
      </c>
      <c r="E478" s="149">
        <v>5.31</v>
      </c>
      <c r="F478" s="149">
        <v>2.88</v>
      </c>
      <c r="G478" s="149">
        <v>0</v>
      </c>
      <c r="H478" s="149">
        <v>2.73</v>
      </c>
      <c r="I478" s="150">
        <v>10.92</v>
      </c>
    </row>
    <row r="479" spans="1:9" ht="15.6" x14ac:dyDescent="0.25">
      <c r="A479" s="145"/>
      <c r="B479" s="146">
        <v>1726849</v>
      </c>
      <c r="C479" s="147"/>
      <c r="D479" s="148" t="s">
        <v>759</v>
      </c>
      <c r="E479" s="149">
        <v>0</v>
      </c>
      <c r="F479" s="149">
        <v>0</v>
      </c>
      <c r="G479" s="149">
        <v>0</v>
      </c>
      <c r="H479" s="149">
        <v>2.73</v>
      </c>
      <c r="I479" s="150">
        <v>2.73</v>
      </c>
    </row>
    <row r="480" spans="1:9" ht="15.6" x14ac:dyDescent="0.25">
      <c r="A480" s="145"/>
      <c r="B480" s="146">
        <v>1729958</v>
      </c>
      <c r="C480" s="147"/>
      <c r="D480" s="148" t="s">
        <v>859</v>
      </c>
      <c r="E480" s="149">
        <v>5.31</v>
      </c>
      <c r="F480" s="149">
        <v>2.88</v>
      </c>
      <c r="G480" s="149">
        <v>0</v>
      </c>
      <c r="H480" s="149">
        <v>2.73</v>
      </c>
      <c r="I480" s="150">
        <v>10.92</v>
      </c>
    </row>
    <row r="481" spans="1:9" ht="15.6" x14ac:dyDescent="0.25">
      <c r="A481" s="145"/>
      <c r="B481" s="146">
        <v>1735379</v>
      </c>
      <c r="C481" s="147"/>
      <c r="D481" s="148" t="s">
        <v>873</v>
      </c>
      <c r="E481" s="149">
        <v>5.31</v>
      </c>
      <c r="F481" s="149">
        <v>2.88</v>
      </c>
      <c r="G481" s="149">
        <v>0</v>
      </c>
      <c r="H481" s="149">
        <v>2.73</v>
      </c>
      <c r="I481" s="150">
        <v>10.92</v>
      </c>
    </row>
    <row r="482" spans="1:9" ht="15.6" x14ac:dyDescent="0.25">
      <c r="A482" s="145"/>
      <c r="B482" s="146">
        <v>1746975</v>
      </c>
      <c r="C482" s="147"/>
      <c r="D482" s="148" t="s">
        <v>817</v>
      </c>
      <c r="E482" s="149">
        <v>5.31</v>
      </c>
      <c r="F482" s="149">
        <v>2.88</v>
      </c>
      <c r="G482" s="149">
        <v>0</v>
      </c>
      <c r="H482" s="149">
        <v>2.73</v>
      </c>
      <c r="I482" s="150">
        <v>10.92</v>
      </c>
    </row>
    <row r="483" spans="1:9" ht="15.6" x14ac:dyDescent="0.25">
      <c r="A483" s="145"/>
      <c r="B483" s="146">
        <v>1748168</v>
      </c>
      <c r="C483" s="147"/>
      <c r="D483" s="148" t="s">
        <v>892</v>
      </c>
      <c r="E483" s="149">
        <v>5.31</v>
      </c>
      <c r="F483" s="149">
        <v>2.88</v>
      </c>
      <c r="G483" s="149">
        <v>0</v>
      </c>
      <c r="H483" s="149">
        <v>2.73</v>
      </c>
      <c r="I483" s="150">
        <v>10.92</v>
      </c>
    </row>
    <row r="484" spans="1:9" ht="15.6" x14ac:dyDescent="0.25">
      <c r="A484" s="145"/>
      <c r="B484" s="146">
        <v>1749340</v>
      </c>
      <c r="C484" s="147"/>
      <c r="D484" s="148" t="s">
        <v>933</v>
      </c>
      <c r="E484" s="149">
        <v>5.31</v>
      </c>
      <c r="F484" s="149">
        <v>2.88</v>
      </c>
      <c r="G484" s="149">
        <v>0</v>
      </c>
      <c r="H484" s="149">
        <v>2.73</v>
      </c>
      <c r="I484" s="150">
        <v>10.92</v>
      </c>
    </row>
    <row r="485" spans="1:9" ht="15.6" x14ac:dyDescent="0.25">
      <c r="A485" s="145"/>
      <c r="B485" s="146">
        <v>1759706</v>
      </c>
      <c r="C485" s="147"/>
      <c r="D485" s="148" t="s">
        <v>830</v>
      </c>
      <c r="E485" s="149">
        <v>5.31</v>
      </c>
      <c r="F485" s="149">
        <v>2.88</v>
      </c>
      <c r="G485" s="149">
        <v>0</v>
      </c>
      <c r="H485" s="149">
        <v>2.73</v>
      </c>
      <c r="I485" s="150">
        <v>10.92</v>
      </c>
    </row>
    <row r="486" spans="1:9" ht="15.6" x14ac:dyDescent="0.25">
      <c r="A486" s="145"/>
      <c r="B486" s="146">
        <v>1760126</v>
      </c>
      <c r="C486" s="147"/>
      <c r="D486" s="148" t="s">
        <v>745</v>
      </c>
      <c r="E486" s="149">
        <v>5.31</v>
      </c>
      <c r="F486" s="149">
        <v>2.88</v>
      </c>
      <c r="G486" s="149">
        <v>0</v>
      </c>
      <c r="H486" s="149">
        <v>2.73</v>
      </c>
      <c r="I486" s="150">
        <v>10.92</v>
      </c>
    </row>
    <row r="487" spans="1:9" ht="15.6" x14ac:dyDescent="0.25">
      <c r="A487" s="145"/>
      <c r="B487" s="146">
        <v>1772320</v>
      </c>
      <c r="C487" s="147"/>
      <c r="D487" s="148" t="s">
        <v>901</v>
      </c>
      <c r="E487" s="149">
        <v>5.31</v>
      </c>
      <c r="F487" s="149">
        <v>2.88</v>
      </c>
      <c r="G487" s="149">
        <v>0</v>
      </c>
      <c r="H487" s="149">
        <v>2.73</v>
      </c>
      <c r="I487" s="150">
        <v>10.92</v>
      </c>
    </row>
    <row r="488" spans="1:9" ht="15.6" x14ac:dyDescent="0.25">
      <c r="A488" s="145"/>
      <c r="B488" s="146">
        <v>1777271</v>
      </c>
      <c r="C488" s="147"/>
      <c r="D488" s="148" t="s">
        <v>869</v>
      </c>
      <c r="E488" s="149">
        <v>5.31</v>
      </c>
      <c r="F488" s="149">
        <v>2.88</v>
      </c>
      <c r="G488" s="149">
        <v>0</v>
      </c>
      <c r="H488" s="149">
        <v>2.73</v>
      </c>
      <c r="I488" s="150">
        <v>10.92</v>
      </c>
    </row>
    <row r="489" spans="1:9" ht="15.6" x14ac:dyDescent="0.25">
      <c r="A489" s="145"/>
      <c r="B489" s="146">
        <v>1778555</v>
      </c>
      <c r="C489" s="147"/>
      <c r="D489" s="148" t="s">
        <v>750</v>
      </c>
      <c r="E489" s="149">
        <v>5.31</v>
      </c>
      <c r="F489" s="149">
        <v>2.88</v>
      </c>
      <c r="G489" s="149">
        <v>0</v>
      </c>
      <c r="H489" s="149">
        <v>2.73</v>
      </c>
      <c r="I489" s="150">
        <v>10.92</v>
      </c>
    </row>
    <row r="490" spans="1:9" ht="15.6" x14ac:dyDescent="0.25">
      <c r="A490" s="145"/>
      <c r="B490" s="146">
        <v>1779813</v>
      </c>
      <c r="C490" s="147"/>
      <c r="D490" s="148" t="s">
        <v>771</v>
      </c>
      <c r="E490" s="149">
        <v>5.31</v>
      </c>
      <c r="F490" s="149">
        <v>2.88</v>
      </c>
      <c r="G490" s="149">
        <v>0</v>
      </c>
      <c r="H490" s="149">
        <v>2.73</v>
      </c>
      <c r="I490" s="150">
        <v>10.92</v>
      </c>
    </row>
    <row r="491" spans="1:9" ht="15.6" x14ac:dyDescent="0.25">
      <c r="A491" s="145"/>
      <c r="B491" s="146">
        <v>1780625</v>
      </c>
      <c r="C491" s="147"/>
      <c r="D491" s="148" t="s">
        <v>894</v>
      </c>
      <c r="E491" s="149">
        <v>5.31</v>
      </c>
      <c r="F491" s="149">
        <v>2.88</v>
      </c>
      <c r="G491" s="149">
        <v>0</v>
      </c>
      <c r="H491" s="149">
        <v>0</v>
      </c>
      <c r="I491" s="150">
        <v>8.19</v>
      </c>
    </row>
    <row r="492" spans="1:9" ht="15.6" x14ac:dyDescent="0.25">
      <c r="A492" s="145"/>
      <c r="B492" s="146">
        <v>1781801</v>
      </c>
      <c r="C492" s="147"/>
      <c r="D492" s="148" t="s">
        <v>822</v>
      </c>
      <c r="E492" s="149">
        <v>5.31</v>
      </c>
      <c r="F492" s="149">
        <v>2.88</v>
      </c>
      <c r="G492" s="149">
        <v>0</v>
      </c>
      <c r="H492" s="149">
        <v>2.73</v>
      </c>
      <c r="I492" s="150">
        <v>10.92</v>
      </c>
    </row>
    <row r="493" spans="1:9" ht="15.6" x14ac:dyDescent="0.25">
      <c r="A493" s="145"/>
      <c r="B493" s="146">
        <v>1785558</v>
      </c>
      <c r="C493" s="147"/>
      <c r="D493" s="148" t="s">
        <v>952</v>
      </c>
      <c r="E493" s="149">
        <v>5.31</v>
      </c>
      <c r="F493" s="149">
        <v>2.88</v>
      </c>
      <c r="G493" s="149">
        <v>0</v>
      </c>
      <c r="H493" s="149">
        <v>2.73</v>
      </c>
      <c r="I493" s="150">
        <v>10.92</v>
      </c>
    </row>
    <row r="494" spans="1:9" ht="15.6" x14ac:dyDescent="0.25">
      <c r="A494" s="145"/>
      <c r="B494" s="146">
        <v>1788319</v>
      </c>
      <c r="C494" s="147"/>
      <c r="D494" s="148" t="s">
        <v>945</v>
      </c>
      <c r="E494" s="149">
        <v>0</v>
      </c>
      <c r="F494" s="149">
        <v>0</v>
      </c>
      <c r="G494" s="149">
        <v>0</v>
      </c>
      <c r="H494" s="149">
        <v>0</v>
      </c>
      <c r="I494" s="150">
        <v>0</v>
      </c>
    </row>
    <row r="495" spans="1:9" ht="15.6" x14ac:dyDescent="0.25">
      <c r="A495" s="145"/>
      <c r="B495" s="146">
        <v>1790641</v>
      </c>
      <c r="C495" s="147"/>
      <c r="D495" s="148" t="s">
        <v>811</v>
      </c>
      <c r="E495" s="149">
        <v>0</v>
      </c>
      <c r="F495" s="149">
        <v>0</v>
      </c>
      <c r="G495" s="149">
        <v>0</v>
      </c>
      <c r="H495" s="149">
        <v>0</v>
      </c>
      <c r="I495" s="150">
        <v>0</v>
      </c>
    </row>
    <row r="496" spans="1:9" ht="15.6" x14ac:dyDescent="0.25">
      <c r="A496" s="145"/>
      <c r="B496" s="146">
        <v>1791335</v>
      </c>
      <c r="C496" s="147"/>
      <c r="D496" s="148" t="s">
        <v>773</v>
      </c>
      <c r="E496" s="149">
        <v>5.31</v>
      </c>
      <c r="F496" s="149">
        <v>2.88</v>
      </c>
      <c r="G496" s="149">
        <v>48.31</v>
      </c>
      <c r="H496" s="149">
        <v>2.73</v>
      </c>
      <c r="I496" s="150">
        <v>59.23</v>
      </c>
    </row>
    <row r="497" spans="1:9" ht="15.6" x14ac:dyDescent="0.25">
      <c r="A497" s="145"/>
      <c r="B497" s="146">
        <v>1803234</v>
      </c>
      <c r="C497" s="147"/>
      <c r="D497" s="148" t="s">
        <v>867</v>
      </c>
      <c r="E497" s="149">
        <v>5.31</v>
      </c>
      <c r="F497" s="149">
        <v>2.88</v>
      </c>
      <c r="G497" s="149">
        <v>0</v>
      </c>
      <c r="H497" s="149">
        <v>2.73</v>
      </c>
      <c r="I497" s="150">
        <v>10.92</v>
      </c>
    </row>
    <row r="498" spans="1:9" ht="15.6" x14ac:dyDescent="0.25">
      <c r="A498" s="145"/>
      <c r="B498" s="146">
        <v>1803809</v>
      </c>
      <c r="C498" s="147"/>
      <c r="D498" s="148" t="s">
        <v>861</v>
      </c>
      <c r="E498" s="149">
        <v>5.31</v>
      </c>
      <c r="F498" s="149">
        <v>2.88</v>
      </c>
      <c r="G498" s="149">
        <v>0</v>
      </c>
      <c r="H498" s="149">
        <v>2.73</v>
      </c>
      <c r="I498" s="150">
        <v>10.92</v>
      </c>
    </row>
    <row r="499" spans="1:9" ht="15.6" x14ac:dyDescent="0.25">
      <c r="A499" s="145"/>
      <c r="B499" s="146">
        <v>1806148</v>
      </c>
      <c r="C499" s="147"/>
      <c r="D499" s="148" t="s">
        <v>921</v>
      </c>
      <c r="E499" s="149">
        <v>0</v>
      </c>
      <c r="F499" s="149">
        <v>0</v>
      </c>
      <c r="G499" s="149">
        <v>0</v>
      </c>
      <c r="H499" s="149">
        <v>0</v>
      </c>
      <c r="I499" s="150">
        <v>0</v>
      </c>
    </row>
    <row r="500" spans="1:9" ht="15.6" x14ac:dyDescent="0.25">
      <c r="A500" s="145"/>
      <c r="B500" s="146">
        <v>1806278</v>
      </c>
      <c r="C500" s="147"/>
      <c r="D500" s="148" t="s">
        <v>857</v>
      </c>
      <c r="E500" s="149">
        <v>0</v>
      </c>
      <c r="F500" s="149">
        <v>0</v>
      </c>
      <c r="G500" s="149">
        <v>0</v>
      </c>
      <c r="H500" s="149">
        <v>0</v>
      </c>
      <c r="I500" s="150">
        <v>0</v>
      </c>
    </row>
    <row r="501" spans="1:9" ht="15.6" x14ac:dyDescent="0.25">
      <c r="A501" s="145"/>
      <c r="B501" s="146">
        <v>1814197</v>
      </c>
      <c r="C501" s="147"/>
      <c r="D501" s="148" t="s">
        <v>868</v>
      </c>
      <c r="E501" s="149">
        <v>5.31</v>
      </c>
      <c r="F501" s="149">
        <v>2.88</v>
      </c>
      <c r="G501" s="149">
        <v>0</v>
      </c>
      <c r="H501" s="149">
        <v>2.73</v>
      </c>
      <c r="I501" s="150">
        <v>10.92</v>
      </c>
    </row>
    <row r="502" spans="1:9" ht="15.6" x14ac:dyDescent="0.25">
      <c r="A502" s="145"/>
      <c r="B502" s="146">
        <v>1818327</v>
      </c>
      <c r="C502" s="147"/>
      <c r="D502" s="148" t="s">
        <v>751</v>
      </c>
      <c r="E502" s="149">
        <v>5.31</v>
      </c>
      <c r="F502" s="149">
        <v>0</v>
      </c>
      <c r="G502" s="149">
        <v>0</v>
      </c>
      <c r="H502" s="149">
        <v>2.73</v>
      </c>
      <c r="I502" s="150">
        <v>8.0399999999999991</v>
      </c>
    </row>
    <row r="503" spans="1:9" ht="15.6" x14ac:dyDescent="0.25">
      <c r="A503" s="145"/>
      <c r="B503" s="146">
        <v>1819228</v>
      </c>
      <c r="C503" s="147"/>
      <c r="D503" s="148" t="s">
        <v>790</v>
      </c>
      <c r="E503" s="149">
        <v>5.31</v>
      </c>
      <c r="F503" s="149">
        <v>2.88</v>
      </c>
      <c r="G503" s="149">
        <v>18.260000000000002</v>
      </c>
      <c r="H503" s="149">
        <v>2.73</v>
      </c>
      <c r="I503" s="150">
        <v>29.180000000000003</v>
      </c>
    </row>
    <row r="504" spans="1:9" ht="15.6" x14ac:dyDescent="0.25">
      <c r="A504" s="145"/>
      <c r="B504" s="146">
        <v>1821865</v>
      </c>
      <c r="C504" s="147"/>
      <c r="D504" s="148" t="s">
        <v>918</v>
      </c>
      <c r="E504" s="149">
        <v>0</v>
      </c>
      <c r="F504" s="149">
        <v>0</v>
      </c>
      <c r="G504" s="149">
        <v>0</v>
      </c>
      <c r="H504" s="149">
        <v>0</v>
      </c>
      <c r="I504" s="150">
        <v>0</v>
      </c>
    </row>
    <row r="505" spans="1:9" ht="15.6" x14ac:dyDescent="0.25">
      <c r="A505" s="145"/>
      <c r="B505" s="146">
        <v>1826472</v>
      </c>
      <c r="C505" s="147"/>
      <c r="D505" s="148" t="s">
        <v>744</v>
      </c>
      <c r="E505" s="149">
        <v>0</v>
      </c>
      <c r="F505" s="149">
        <v>0</v>
      </c>
      <c r="G505" s="149">
        <v>0</v>
      </c>
      <c r="H505" s="149">
        <v>0</v>
      </c>
      <c r="I505" s="150">
        <v>0</v>
      </c>
    </row>
    <row r="506" spans="1:9" ht="15.6" x14ac:dyDescent="0.25">
      <c r="A506" s="145"/>
      <c r="B506" s="146">
        <v>1826986</v>
      </c>
      <c r="C506" s="147"/>
      <c r="D506" s="148" t="s">
        <v>822</v>
      </c>
      <c r="E506" s="149">
        <v>5.31</v>
      </c>
      <c r="F506" s="149">
        <v>2.88</v>
      </c>
      <c r="G506" s="149">
        <v>0</v>
      </c>
      <c r="H506" s="149">
        <v>2.73</v>
      </c>
      <c r="I506" s="150">
        <v>10.92</v>
      </c>
    </row>
    <row r="507" spans="1:9" ht="15.6" x14ac:dyDescent="0.25">
      <c r="A507" s="145"/>
      <c r="B507" s="146">
        <v>1829778</v>
      </c>
      <c r="C507" s="147"/>
      <c r="D507" s="148" t="s">
        <v>845</v>
      </c>
      <c r="E507" s="149">
        <v>5.31</v>
      </c>
      <c r="F507" s="149">
        <v>2.88</v>
      </c>
      <c r="G507" s="149">
        <v>0</v>
      </c>
      <c r="H507" s="149">
        <v>2.73</v>
      </c>
      <c r="I507" s="150">
        <v>10.92</v>
      </c>
    </row>
    <row r="508" spans="1:9" ht="15.6" x14ac:dyDescent="0.25">
      <c r="A508" s="145"/>
      <c r="B508" s="146">
        <v>1830581</v>
      </c>
      <c r="C508" s="147"/>
      <c r="D508" s="148" t="s">
        <v>851</v>
      </c>
      <c r="E508" s="149">
        <v>5.31</v>
      </c>
      <c r="F508" s="149">
        <v>2.88</v>
      </c>
      <c r="G508" s="149">
        <v>22.66</v>
      </c>
      <c r="H508" s="149">
        <v>2.73</v>
      </c>
      <c r="I508" s="150">
        <v>33.58</v>
      </c>
    </row>
    <row r="509" spans="1:9" ht="15.6" x14ac:dyDescent="0.25">
      <c r="A509" s="145"/>
      <c r="B509" s="146">
        <v>1831922</v>
      </c>
      <c r="C509" s="147"/>
      <c r="D509" s="148" t="s">
        <v>857</v>
      </c>
      <c r="E509" s="149">
        <v>0</v>
      </c>
      <c r="F509" s="149">
        <v>0</v>
      </c>
      <c r="G509" s="149">
        <v>0</v>
      </c>
      <c r="H509" s="149">
        <v>0</v>
      </c>
      <c r="I509" s="150">
        <v>0</v>
      </c>
    </row>
    <row r="510" spans="1:9" ht="15.6" x14ac:dyDescent="0.25">
      <c r="A510" s="145"/>
      <c r="B510" s="146">
        <v>1834479</v>
      </c>
      <c r="C510" s="147"/>
      <c r="D510" s="148" t="s">
        <v>772</v>
      </c>
      <c r="E510" s="149">
        <v>5.31</v>
      </c>
      <c r="F510" s="149">
        <v>2.88</v>
      </c>
      <c r="G510" s="149">
        <v>39.130000000000003</v>
      </c>
      <c r="H510" s="149">
        <v>2.73</v>
      </c>
      <c r="I510" s="150">
        <v>50.05</v>
      </c>
    </row>
    <row r="511" spans="1:9" ht="15.6" x14ac:dyDescent="0.25">
      <c r="A511" s="145"/>
      <c r="B511" s="146">
        <v>1841849</v>
      </c>
      <c r="C511" s="147"/>
      <c r="D511" s="148" t="s">
        <v>851</v>
      </c>
      <c r="E511" s="149">
        <v>5.31</v>
      </c>
      <c r="F511" s="149">
        <v>2.88</v>
      </c>
      <c r="G511" s="149">
        <v>22.66</v>
      </c>
      <c r="H511" s="149">
        <v>2.73</v>
      </c>
      <c r="I511" s="150">
        <v>33.58</v>
      </c>
    </row>
    <row r="512" spans="1:9" ht="15.6" x14ac:dyDescent="0.25">
      <c r="A512" s="145"/>
      <c r="B512" s="146">
        <v>1847173</v>
      </c>
      <c r="C512" s="147"/>
      <c r="D512" s="148" t="s">
        <v>893</v>
      </c>
      <c r="E512" s="149">
        <v>5.31</v>
      </c>
      <c r="F512" s="149">
        <v>2.88</v>
      </c>
      <c r="G512" s="149">
        <v>0</v>
      </c>
      <c r="H512" s="149">
        <v>2.73</v>
      </c>
      <c r="I512" s="150">
        <v>10.92</v>
      </c>
    </row>
    <row r="513" spans="1:9" ht="15.6" x14ac:dyDescent="0.25">
      <c r="A513" s="145"/>
      <c r="B513" s="146">
        <v>1855529</v>
      </c>
      <c r="C513" s="147"/>
      <c r="D513" s="148" t="s">
        <v>851</v>
      </c>
      <c r="E513" s="149">
        <v>5.31</v>
      </c>
      <c r="F513" s="149">
        <v>2.88</v>
      </c>
      <c r="G513" s="149">
        <v>22.66</v>
      </c>
      <c r="H513" s="149">
        <v>2.73</v>
      </c>
      <c r="I513" s="150">
        <v>33.58</v>
      </c>
    </row>
    <row r="514" spans="1:9" ht="15.6" x14ac:dyDescent="0.25">
      <c r="A514" s="145"/>
      <c r="B514" s="146">
        <v>1861251</v>
      </c>
      <c r="C514" s="147"/>
      <c r="D514" s="148" t="s">
        <v>865</v>
      </c>
      <c r="E514" s="149">
        <v>5.31</v>
      </c>
      <c r="F514" s="149">
        <v>2.88</v>
      </c>
      <c r="G514" s="149">
        <v>0</v>
      </c>
      <c r="H514" s="149">
        <v>2.73</v>
      </c>
      <c r="I514" s="150">
        <v>10.92</v>
      </c>
    </row>
    <row r="515" spans="1:9" ht="15.6" x14ac:dyDescent="0.25">
      <c r="A515" s="145"/>
      <c r="B515" s="146">
        <v>1861349</v>
      </c>
      <c r="C515" s="147"/>
      <c r="D515" s="148" t="s">
        <v>748</v>
      </c>
      <c r="E515" s="149">
        <v>5.31</v>
      </c>
      <c r="F515" s="149">
        <v>2.88</v>
      </c>
      <c r="G515" s="149">
        <v>0</v>
      </c>
      <c r="H515" s="149">
        <v>2.73</v>
      </c>
      <c r="I515" s="150">
        <v>10.92</v>
      </c>
    </row>
    <row r="516" spans="1:9" ht="15.6" x14ac:dyDescent="0.25">
      <c r="A516" s="145"/>
      <c r="B516" s="146">
        <v>1861872</v>
      </c>
      <c r="C516" s="147"/>
      <c r="D516" s="148" t="s">
        <v>908</v>
      </c>
      <c r="E516" s="149">
        <v>5.31</v>
      </c>
      <c r="F516" s="149">
        <v>2.88</v>
      </c>
      <c r="G516" s="149">
        <v>0</v>
      </c>
      <c r="H516" s="149">
        <v>2.73</v>
      </c>
      <c r="I516" s="150">
        <v>10.92</v>
      </c>
    </row>
    <row r="517" spans="1:9" ht="15.6" x14ac:dyDescent="0.25">
      <c r="A517" s="145"/>
      <c r="B517" s="146">
        <v>1863164</v>
      </c>
      <c r="C517" s="147"/>
      <c r="D517" s="148" t="s">
        <v>817</v>
      </c>
      <c r="E517" s="149">
        <v>5.31</v>
      </c>
      <c r="F517" s="149">
        <v>2.88</v>
      </c>
      <c r="G517" s="149">
        <v>0</v>
      </c>
      <c r="H517" s="149">
        <v>2.73</v>
      </c>
      <c r="I517" s="150">
        <v>10.92</v>
      </c>
    </row>
    <row r="518" spans="1:9" ht="15.6" x14ac:dyDescent="0.25">
      <c r="A518" s="145"/>
      <c r="B518" s="146">
        <v>1868381</v>
      </c>
      <c r="C518" s="147"/>
      <c r="D518" s="148" t="s">
        <v>889</v>
      </c>
      <c r="E518" s="149">
        <v>5.31</v>
      </c>
      <c r="F518" s="149">
        <v>2.88</v>
      </c>
      <c r="G518" s="149">
        <v>0</v>
      </c>
      <c r="H518" s="149">
        <v>2.73</v>
      </c>
      <c r="I518" s="150">
        <v>10.92</v>
      </c>
    </row>
    <row r="519" spans="1:9" ht="15.6" x14ac:dyDescent="0.25">
      <c r="A519" s="145"/>
      <c r="B519" s="146">
        <v>1868555</v>
      </c>
      <c r="C519" s="147"/>
      <c r="D519" s="148" t="s">
        <v>856</v>
      </c>
      <c r="E519" s="149">
        <v>5.31</v>
      </c>
      <c r="F519" s="149">
        <v>2.88</v>
      </c>
      <c r="G519" s="149">
        <v>0</v>
      </c>
      <c r="H519" s="149">
        <v>2.73</v>
      </c>
      <c r="I519" s="150">
        <v>10.92</v>
      </c>
    </row>
    <row r="520" spans="1:9" ht="15.6" x14ac:dyDescent="0.25">
      <c r="A520" s="145"/>
      <c r="B520" s="146">
        <v>1873467</v>
      </c>
      <c r="C520" s="147"/>
      <c r="D520" s="148" t="s">
        <v>815</v>
      </c>
      <c r="E520" s="149">
        <v>0</v>
      </c>
      <c r="F520" s="149">
        <v>0</v>
      </c>
      <c r="G520" s="149">
        <v>0</v>
      </c>
      <c r="H520" s="149">
        <v>0</v>
      </c>
      <c r="I520" s="150">
        <v>0</v>
      </c>
    </row>
    <row r="521" spans="1:9" ht="15.6" x14ac:dyDescent="0.25">
      <c r="A521" s="145"/>
      <c r="B521" s="146">
        <v>1874246</v>
      </c>
      <c r="C521" s="147"/>
      <c r="D521" s="148" t="s">
        <v>900</v>
      </c>
      <c r="E521" s="149">
        <v>5.31</v>
      </c>
      <c r="F521" s="149">
        <v>2.88</v>
      </c>
      <c r="G521" s="149">
        <v>0</v>
      </c>
      <c r="H521" s="149">
        <v>2.73</v>
      </c>
      <c r="I521" s="150">
        <v>10.92</v>
      </c>
    </row>
    <row r="522" spans="1:9" ht="15.6" x14ac:dyDescent="0.25">
      <c r="A522" s="145"/>
      <c r="B522" s="146">
        <v>1875237</v>
      </c>
      <c r="C522" s="147"/>
      <c r="D522" s="148" t="s">
        <v>748</v>
      </c>
      <c r="E522" s="149">
        <v>5.31</v>
      </c>
      <c r="F522" s="149">
        <v>2.88</v>
      </c>
      <c r="G522" s="149">
        <v>0</v>
      </c>
      <c r="H522" s="149">
        <v>2.73</v>
      </c>
      <c r="I522" s="150">
        <v>10.92</v>
      </c>
    </row>
    <row r="523" spans="1:9" ht="15.6" x14ac:dyDescent="0.25">
      <c r="A523" s="145"/>
      <c r="B523" s="146">
        <v>1880048</v>
      </c>
      <c r="C523" s="147"/>
      <c r="D523" s="148" t="s">
        <v>748</v>
      </c>
      <c r="E523" s="149">
        <v>5.31</v>
      </c>
      <c r="F523" s="149">
        <v>2.88</v>
      </c>
      <c r="G523" s="149">
        <v>0</v>
      </c>
      <c r="H523" s="149">
        <v>2.73</v>
      </c>
      <c r="I523" s="150">
        <v>10.92</v>
      </c>
    </row>
    <row r="524" spans="1:9" ht="15.6" x14ac:dyDescent="0.25">
      <c r="A524" s="145"/>
      <c r="B524" s="146">
        <v>1884557</v>
      </c>
      <c r="C524" s="147"/>
      <c r="D524" s="148" t="s">
        <v>773</v>
      </c>
      <c r="E524" s="149">
        <v>5.31</v>
      </c>
      <c r="F524" s="149">
        <v>2.88</v>
      </c>
      <c r="G524" s="149">
        <v>34.04</v>
      </c>
      <c r="H524" s="149">
        <v>2.73</v>
      </c>
      <c r="I524" s="150">
        <v>44.959999999999994</v>
      </c>
    </row>
    <row r="525" spans="1:9" ht="15.6" x14ac:dyDescent="0.25">
      <c r="A525" s="145"/>
      <c r="B525" s="146">
        <v>1886256</v>
      </c>
      <c r="C525" s="147"/>
      <c r="D525" s="148" t="s">
        <v>790</v>
      </c>
      <c r="E525" s="149">
        <v>5.31</v>
      </c>
      <c r="F525" s="149">
        <v>2.88</v>
      </c>
      <c r="G525" s="149">
        <v>32.92</v>
      </c>
      <c r="H525" s="149">
        <v>2.73</v>
      </c>
      <c r="I525" s="150">
        <v>43.839999999999996</v>
      </c>
    </row>
    <row r="526" spans="1:9" ht="15.6" x14ac:dyDescent="0.25">
      <c r="A526" s="145"/>
      <c r="B526" s="146">
        <v>1892502</v>
      </c>
      <c r="C526" s="147"/>
      <c r="D526" s="148" t="s">
        <v>802</v>
      </c>
      <c r="E526" s="149">
        <v>0</v>
      </c>
      <c r="F526" s="149">
        <v>0</v>
      </c>
      <c r="G526" s="149">
        <v>0</v>
      </c>
      <c r="H526" s="149">
        <v>0</v>
      </c>
      <c r="I526" s="150">
        <v>0</v>
      </c>
    </row>
    <row r="527" spans="1:9" ht="15.6" x14ac:dyDescent="0.25">
      <c r="A527" s="145"/>
      <c r="B527" s="146">
        <v>1899888</v>
      </c>
      <c r="C527" s="147"/>
      <c r="D527" s="148" t="s">
        <v>952</v>
      </c>
      <c r="E527" s="149">
        <v>5.31</v>
      </c>
      <c r="F527" s="149">
        <v>2.88</v>
      </c>
      <c r="G527" s="149">
        <v>0</v>
      </c>
      <c r="H527" s="149">
        <v>2.73</v>
      </c>
      <c r="I527" s="150">
        <v>10.92</v>
      </c>
    </row>
    <row r="528" spans="1:9" ht="15.6" x14ac:dyDescent="0.25">
      <c r="A528" s="145"/>
      <c r="B528" s="146">
        <v>1900026</v>
      </c>
      <c r="C528" s="147"/>
      <c r="D528" s="148" t="s">
        <v>857</v>
      </c>
      <c r="E528" s="149">
        <v>0</v>
      </c>
      <c r="F528" s="149">
        <v>0</v>
      </c>
      <c r="G528" s="149">
        <v>0</v>
      </c>
      <c r="H528" s="149">
        <v>0</v>
      </c>
      <c r="I528" s="150">
        <v>0</v>
      </c>
    </row>
    <row r="529" spans="1:9" ht="15.6" x14ac:dyDescent="0.25">
      <c r="A529" s="145"/>
      <c r="B529" s="146">
        <v>1901058</v>
      </c>
      <c r="C529" s="147"/>
      <c r="D529" s="148" t="s">
        <v>898</v>
      </c>
      <c r="E529" s="149">
        <v>5.31</v>
      </c>
      <c r="F529" s="149">
        <v>2.88</v>
      </c>
      <c r="G529" s="149">
        <v>0</v>
      </c>
      <c r="H529" s="149">
        <v>2.73</v>
      </c>
      <c r="I529" s="150">
        <v>10.92</v>
      </c>
    </row>
    <row r="530" spans="1:9" ht="15.6" x14ac:dyDescent="0.25">
      <c r="A530" s="145"/>
      <c r="B530" s="146">
        <v>1901709</v>
      </c>
      <c r="C530" s="147"/>
      <c r="D530" s="148" t="s">
        <v>787</v>
      </c>
      <c r="E530" s="149">
        <v>5.31</v>
      </c>
      <c r="F530" s="149">
        <v>2.88</v>
      </c>
      <c r="G530" s="149">
        <v>18.260000000000002</v>
      </c>
      <c r="H530" s="149">
        <v>2.73</v>
      </c>
      <c r="I530" s="150">
        <v>29.180000000000003</v>
      </c>
    </row>
    <row r="531" spans="1:9" ht="15.6" x14ac:dyDescent="0.25">
      <c r="A531" s="145"/>
      <c r="B531" s="146">
        <v>1907995</v>
      </c>
      <c r="C531" s="147"/>
      <c r="D531" s="148" t="s">
        <v>857</v>
      </c>
      <c r="E531" s="149">
        <v>0</v>
      </c>
      <c r="F531" s="149">
        <v>0</v>
      </c>
      <c r="G531" s="149">
        <v>0</v>
      </c>
      <c r="H531" s="149">
        <v>0</v>
      </c>
      <c r="I531" s="150">
        <v>0</v>
      </c>
    </row>
    <row r="532" spans="1:9" ht="15.6" x14ac:dyDescent="0.25">
      <c r="A532" s="145"/>
      <c r="B532" s="146">
        <v>1908343</v>
      </c>
      <c r="C532" s="147"/>
      <c r="D532" s="148" t="s">
        <v>824</v>
      </c>
      <c r="E532" s="149">
        <v>5.31</v>
      </c>
      <c r="F532" s="149">
        <v>2.88</v>
      </c>
      <c r="G532" s="149">
        <v>0</v>
      </c>
      <c r="H532" s="149">
        <v>2.73</v>
      </c>
      <c r="I532" s="150">
        <v>10.92</v>
      </c>
    </row>
    <row r="533" spans="1:9" ht="15.6" x14ac:dyDescent="0.25">
      <c r="A533" s="145"/>
      <c r="B533" s="146">
        <v>1913990</v>
      </c>
      <c r="C533" s="147"/>
      <c r="D533" s="148" t="s">
        <v>868</v>
      </c>
      <c r="E533" s="149">
        <v>5.31</v>
      </c>
      <c r="F533" s="149">
        <v>2.88</v>
      </c>
      <c r="G533" s="149">
        <v>0</v>
      </c>
      <c r="H533" s="149">
        <v>2.73</v>
      </c>
      <c r="I533" s="150">
        <v>10.92</v>
      </c>
    </row>
    <row r="534" spans="1:9" ht="15.6" x14ac:dyDescent="0.25">
      <c r="A534" s="145"/>
      <c r="B534" s="146">
        <v>1914100</v>
      </c>
      <c r="C534" s="147"/>
      <c r="D534" s="148" t="s">
        <v>868</v>
      </c>
      <c r="E534" s="149">
        <v>5.31</v>
      </c>
      <c r="F534" s="149">
        <v>2.88</v>
      </c>
      <c r="G534" s="149">
        <v>0</v>
      </c>
      <c r="H534" s="149">
        <v>2.73</v>
      </c>
      <c r="I534" s="150">
        <v>10.92</v>
      </c>
    </row>
    <row r="535" spans="1:9" ht="15.6" x14ac:dyDescent="0.25">
      <c r="A535" s="145"/>
      <c r="B535" s="146">
        <v>1917229</v>
      </c>
      <c r="C535" s="147"/>
      <c r="D535" s="148" t="s">
        <v>818</v>
      </c>
      <c r="E535" s="149">
        <v>5.31</v>
      </c>
      <c r="F535" s="149">
        <v>2.88</v>
      </c>
      <c r="G535" s="149">
        <v>0</v>
      </c>
      <c r="H535" s="149">
        <v>2.73</v>
      </c>
      <c r="I535" s="150">
        <v>10.92</v>
      </c>
    </row>
    <row r="536" spans="1:9" ht="15.6" x14ac:dyDescent="0.25">
      <c r="A536" s="145"/>
      <c r="B536" s="146">
        <v>1919080</v>
      </c>
      <c r="C536" s="147"/>
      <c r="D536" s="148" t="s">
        <v>898</v>
      </c>
      <c r="E536" s="149">
        <v>5.31</v>
      </c>
      <c r="F536" s="149">
        <v>2.88</v>
      </c>
      <c r="G536" s="149">
        <v>0</v>
      </c>
      <c r="H536" s="149">
        <v>2.73</v>
      </c>
      <c r="I536" s="150">
        <v>10.92</v>
      </c>
    </row>
    <row r="537" spans="1:9" ht="15.6" x14ac:dyDescent="0.25">
      <c r="A537" s="145"/>
      <c r="B537" s="146">
        <v>1921596</v>
      </c>
      <c r="C537" s="147"/>
      <c r="D537" s="148" t="s">
        <v>829</v>
      </c>
      <c r="E537" s="149">
        <v>5.31</v>
      </c>
      <c r="F537" s="149">
        <v>2.88</v>
      </c>
      <c r="G537" s="149">
        <v>0</v>
      </c>
      <c r="H537" s="149">
        <v>2.73</v>
      </c>
      <c r="I537" s="150">
        <v>10.92</v>
      </c>
    </row>
    <row r="538" spans="1:9" ht="15.6" x14ac:dyDescent="0.25">
      <c r="A538" s="145"/>
      <c r="B538" s="146">
        <v>1923258</v>
      </c>
      <c r="C538" s="147"/>
      <c r="D538" s="148" t="s">
        <v>800</v>
      </c>
      <c r="E538" s="149">
        <v>0</v>
      </c>
      <c r="F538" s="149">
        <v>0</v>
      </c>
      <c r="G538" s="149">
        <v>0</v>
      </c>
      <c r="H538" s="149">
        <v>0</v>
      </c>
      <c r="I538" s="150">
        <v>0</v>
      </c>
    </row>
    <row r="539" spans="1:9" ht="15.6" x14ac:dyDescent="0.25">
      <c r="A539" s="145"/>
      <c r="B539" s="146">
        <v>1937014</v>
      </c>
      <c r="C539" s="147"/>
      <c r="D539" s="148" t="s">
        <v>778</v>
      </c>
      <c r="E539" s="149">
        <v>5.31</v>
      </c>
      <c r="F539" s="149">
        <v>2.88</v>
      </c>
      <c r="G539" s="149">
        <v>0</v>
      </c>
      <c r="H539" s="149">
        <v>2.73</v>
      </c>
      <c r="I539" s="150">
        <v>10.92</v>
      </c>
    </row>
    <row r="540" spans="1:9" ht="15.6" x14ac:dyDescent="0.25">
      <c r="A540" s="145"/>
      <c r="B540" s="146">
        <v>1943907</v>
      </c>
      <c r="C540" s="147"/>
      <c r="D540" s="148" t="s">
        <v>868</v>
      </c>
      <c r="E540" s="149">
        <v>5.31</v>
      </c>
      <c r="F540" s="149">
        <v>2.88</v>
      </c>
      <c r="G540" s="149">
        <v>0</v>
      </c>
      <c r="H540" s="149">
        <v>2.73</v>
      </c>
      <c r="I540" s="150">
        <v>10.92</v>
      </c>
    </row>
    <row r="541" spans="1:9" ht="15.6" x14ac:dyDescent="0.25">
      <c r="A541" s="145"/>
      <c r="B541" s="146">
        <v>1944248</v>
      </c>
      <c r="C541" s="147"/>
      <c r="D541" s="148" t="s">
        <v>945</v>
      </c>
      <c r="E541" s="149">
        <v>0</v>
      </c>
      <c r="F541" s="149">
        <v>0</v>
      </c>
      <c r="G541" s="149">
        <v>0</v>
      </c>
      <c r="H541" s="149">
        <v>0</v>
      </c>
      <c r="I541" s="150">
        <v>0</v>
      </c>
    </row>
    <row r="542" spans="1:9" ht="15.6" x14ac:dyDescent="0.25">
      <c r="A542" s="145"/>
      <c r="B542" s="146">
        <v>1944602</v>
      </c>
      <c r="C542" s="147"/>
      <c r="D542" s="148" t="s">
        <v>857</v>
      </c>
      <c r="E542" s="149">
        <v>0</v>
      </c>
      <c r="F542" s="149">
        <v>0</v>
      </c>
      <c r="G542" s="149">
        <v>0</v>
      </c>
      <c r="H542" s="149">
        <v>0</v>
      </c>
      <c r="I542" s="150">
        <v>0</v>
      </c>
    </row>
    <row r="543" spans="1:9" ht="15.6" x14ac:dyDescent="0.25">
      <c r="A543" s="145"/>
      <c r="B543" s="146">
        <v>1945708</v>
      </c>
      <c r="C543" s="147"/>
      <c r="D543" s="148" t="s">
        <v>891</v>
      </c>
      <c r="E543" s="149">
        <v>5.31</v>
      </c>
      <c r="F543" s="149">
        <v>2.88</v>
      </c>
      <c r="G543" s="149">
        <v>0</v>
      </c>
      <c r="H543" s="149">
        <v>2.73</v>
      </c>
      <c r="I543" s="150">
        <v>10.92</v>
      </c>
    </row>
    <row r="544" spans="1:9" ht="15.6" x14ac:dyDescent="0.25">
      <c r="A544" s="145"/>
      <c r="B544" s="146">
        <v>1946398</v>
      </c>
      <c r="C544" s="147"/>
      <c r="D544" s="148" t="s">
        <v>838</v>
      </c>
      <c r="E544" s="149">
        <v>5.31</v>
      </c>
      <c r="F544" s="149">
        <v>2.88</v>
      </c>
      <c r="G544" s="149">
        <v>0</v>
      </c>
      <c r="H544" s="149">
        <v>2.73</v>
      </c>
      <c r="I544" s="150">
        <v>10.92</v>
      </c>
    </row>
    <row r="545" spans="1:9" ht="15.6" x14ac:dyDescent="0.25">
      <c r="A545" s="145"/>
      <c r="B545" s="146">
        <v>1947063</v>
      </c>
      <c r="C545" s="147"/>
      <c r="D545" s="148" t="s">
        <v>868</v>
      </c>
      <c r="E545" s="149">
        <v>5.31</v>
      </c>
      <c r="F545" s="149">
        <v>2.88</v>
      </c>
      <c r="G545" s="149">
        <v>0</v>
      </c>
      <c r="H545" s="149">
        <v>2.73</v>
      </c>
      <c r="I545" s="150">
        <v>10.92</v>
      </c>
    </row>
    <row r="546" spans="1:9" ht="15.6" x14ac:dyDescent="0.25">
      <c r="A546" s="145"/>
      <c r="B546" s="146">
        <v>1948934</v>
      </c>
      <c r="C546" s="147"/>
      <c r="D546" s="148" t="s">
        <v>783</v>
      </c>
      <c r="E546" s="149">
        <v>5.31</v>
      </c>
      <c r="F546" s="149">
        <v>2.88</v>
      </c>
      <c r="G546" s="149">
        <v>0</v>
      </c>
      <c r="H546" s="149">
        <v>2.73</v>
      </c>
      <c r="I546" s="150">
        <v>10.92</v>
      </c>
    </row>
    <row r="547" spans="1:9" ht="15.6" x14ac:dyDescent="0.25">
      <c r="A547" s="145"/>
      <c r="B547" s="146">
        <v>1949273</v>
      </c>
      <c r="C547" s="147"/>
      <c r="D547" s="148" t="s">
        <v>886</v>
      </c>
      <c r="E547" s="149">
        <v>5.31</v>
      </c>
      <c r="F547" s="149">
        <v>2.88</v>
      </c>
      <c r="G547" s="149">
        <v>0</v>
      </c>
      <c r="H547" s="149">
        <v>2.73</v>
      </c>
      <c r="I547" s="150">
        <v>10.92</v>
      </c>
    </row>
    <row r="548" spans="1:9" ht="15.6" x14ac:dyDescent="0.25">
      <c r="A548" s="145"/>
      <c r="B548" s="146">
        <v>1954879</v>
      </c>
      <c r="C548" s="147"/>
      <c r="D548" s="148" t="s">
        <v>868</v>
      </c>
      <c r="E548" s="149">
        <v>5.31</v>
      </c>
      <c r="F548" s="149">
        <v>2.88</v>
      </c>
      <c r="G548" s="149">
        <v>0</v>
      </c>
      <c r="H548" s="149">
        <v>2.73</v>
      </c>
      <c r="I548" s="150">
        <v>10.92</v>
      </c>
    </row>
    <row r="549" spans="1:9" ht="15.6" x14ac:dyDescent="0.25">
      <c r="A549" s="145"/>
      <c r="B549" s="146">
        <v>1956549</v>
      </c>
      <c r="C549" s="147"/>
      <c r="D549" s="148" t="s">
        <v>933</v>
      </c>
      <c r="E549" s="149">
        <v>5.31</v>
      </c>
      <c r="F549" s="149">
        <v>2.88</v>
      </c>
      <c r="G549" s="149">
        <v>0</v>
      </c>
      <c r="H549" s="149">
        <v>2.73</v>
      </c>
      <c r="I549" s="150">
        <v>10.92</v>
      </c>
    </row>
    <row r="550" spans="1:9" ht="15.6" x14ac:dyDescent="0.25">
      <c r="A550" s="145"/>
      <c r="B550" s="146">
        <v>1957226</v>
      </c>
      <c r="C550" s="147"/>
      <c r="D550" s="148" t="s">
        <v>857</v>
      </c>
      <c r="E550" s="149">
        <v>0</v>
      </c>
      <c r="F550" s="149">
        <v>0</v>
      </c>
      <c r="G550" s="149">
        <v>0</v>
      </c>
      <c r="H550" s="149">
        <v>0</v>
      </c>
      <c r="I550" s="150">
        <v>0</v>
      </c>
    </row>
    <row r="551" spans="1:9" ht="15.6" x14ac:dyDescent="0.25">
      <c r="A551" s="145"/>
      <c r="B551" s="146">
        <v>1958506</v>
      </c>
      <c r="C551" s="147"/>
      <c r="D551" s="148" t="s">
        <v>912</v>
      </c>
      <c r="E551" s="149">
        <v>5.31</v>
      </c>
      <c r="F551" s="149">
        <v>2.88</v>
      </c>
      <c r="G551" s="149">
        <v>0</v>
      </c>
      <c r="H551" s="149">
        <v>2.73</v>
      </c>
      <c r="I551" s="150">
        <v>10.92</v>
      </c>
    </row>
    <row r="552" spans="1:9" ht="15.6" x14ac:dyDescent="0.25">
      <c r="A552" s="145"/>
      <c r="B552" s="146">
        <v>1959094</v>
      </c>
      <c r="C552" s="147"/>
      <c r="D552" s="148" t="s">
        <v>865</v>
      </c>
      <c r="E552" s="149">
        <v>5.31</v>
      </c>
      <c r="F552" s="149">
        <v>2.88</v>
      </c>
      <c r="G552" s="149">
        <v>0</v>
      </c>
      <c r="H552" s="149">
        <v>2.73</v>
      </c>
      <c r="I552" s="150">
        <v>10.92</v>
      </c>
    </row>
    <row r="553" spans="1:9" ht="15.6" x14ac:dyDescent="0.25">
      <c r="A553" s="145"/>
      <c r="B553" s="146">
        <v>1970901</v>
      </c>
      <c r="C553" s="147"/>
      <c r="D553" s="148" t="s">
        <v>723</v>
      </c>
      <c r="E553" s="149">
        <v>0</v>
      </c>
      <c r="F553" s="149">
        <v>0</v>
      </c>
      <c r="G553" s="149">
        <v>0</v>
      </c>
      <c r="H553" s="149">
        <v>0</v>
      </c>
      <c r="I553" s="150">
        <v>0</v>
      </c>
    </row>
    <row r="554" spans="1:9" ht="15.6" x14ac:dyDescent="0.25">
      <c r="A554" s="145"/>
      <c r="B554" s="146">
        <v>1978983</v>
      </c>
      <c r="C554" s="147"/>
      <c r="D554" s="148" t="s">
        <v>893</v>
      </c>
      <c r="E554" s="149">
        <v>5.31</v>
      </c>
      <c r="F554" s="149">
        <v>2.88</v>
      </c>
      <c r="G554" s="149">
        <v>0</v>
      </c>
      <c r="H554" s="149">
        <v>2.73</v>
      </c>
      <c r="I554" s="150">
        <v>10.92</v>
      </c>
    </row>
    <row r="555" spans="1:9" ht="15.6" x14ac:dyDescent="0.25">
      <c r="A555" s="145"/>
      <c r="B555" s="146">
        <v>1979965</v>
      </c>
      <c r="C555" s="147"/>
      <c r="D555" s="148" t="s">
        <v>933</v>
      </c>
      <c r="E555" s="149">
        <v>5.31</v>
      </c>
      <c r="F555" s="149">
        <v>2.88</v>
      </c>
      <c r="G555" s="149">
        <v>0</v>
      </c>
      <c r="H555" s="149">
        <v>2.73</v>
      </c>
      <c r="I555" s="150">
        <v>10.92</v>
      </c>
    </row>
    <row r="556" spans="1:9" ht="15.6" x14ac:dyDescent="0.25">
      <c r="A556" s="145"/>
      <c r="B556" s="146">
        <v>1982830</v>
      </c>
      <c r="C556" s="147"/>
      <c r="D556" s="148" t="s">
        <v>829</v>
      </c>
      <c r="E556" s="149">
        <v>5.31</v>
      </c>
      <c r="F556" s="149">
        <v>2.88</v>
      </c>
      <c r="G556" s="149">
        <v>0</v>
      </c>
      <c r="H556" s="149">
        <v>2.73</v>
      </c>
      <c r="I556" s="150">
        <v>10.92</v>
      </c>
    </row>
    <row r="557" spans="1:9" ht="15.6" x14ac:dyDescent="0.25">
      <c r="A557" s="145"/>
      <c r="B557" s="146">
        <v>1983964</v>
      </c>
      <c r="C557" s="147"/>
      <c r="D557" s="148" t="s">
        <v>868</v>
      </c>
      <c r="E557" s="149">
        <v>5.31</v>
      </c>
      <c r="F557" s="149">
        <v>2.88</v>
      </c>
      <c r="G557" s="149">
        <v>0</v>
      </c>
      <c r="H557" s="149">
        <v>2.73</v>
      </c>
      <c r="I557" s="150">
        <v>10.92</v>
      </c>
    </row>
    <row r="558" spans="1:9" ht="15.6" x14ac:dyDescent="0.25">
      <c r="A558" s="145"/>
      <c r="B558" s="146">
        <v>1988954</v>
      </c>
      <c r="C558" s="147"/>
      <c r="D558" s="148" t="s">
        <v>868</v>
      </c>
      <c r="E558" s="149">
        <v>5.31</v>
      </c>
      <c r="F558" s="149">
        <v>2.88</v>
      </c>
      <c r="G558" s="149">
        <v>0</v>
      </c>
      <c r="H558" s="149">
        <v>2.73</v>
      </c>
      <c r="I558" s="150">
        <v>10.92</v>
      </c>
    </row>
    <row r="559" spans="1:9" ht="15.6" x14ac:dyDescent="0.25">
      <c r="A559" s="145"/>
      <c r="B559" s="146">
        <v>1989283</v>
      </c>
      <c r="C559" s="147"/>
      <c r="D559" s="148" t="s">
        <v>894</v>
      </c>
      <c r="E559" s="149">
        <v>5.31</v>
      </c>
      <c r="F559" s="149">
        <v>2.88</v>
      </c>
      <c r="G559" s="149">
        <v>0</v>
      </c>
      <c r="H559" s="149">
        <v>2.73</v>
      </c>
      <c r="I559" s="150">
        <v>10.92</v>
      </c>
    </row>
    <row r="560" spans="1:9" ht="15.6" x14ac:dyDescent="0.25">
      <c r="A560" s="145"/>
      <c r="B560" s="146">
        <v>1994638</v>
      </c>
      <c r="C560" s="147"/>
      <c r="D560" s="148" t="s">
        <v>945</v>
      </c>
      <c r="E560" s="149">
        <v>0</v>
      </c>
      <c r="F560" s="149">
        <v>0</v>
      </c>
      <c r="G560" s="149">
        <v>0</v>
      </c>
      <c r="H560" s="149">
        <v>0</v>
      </c>
      <c r="I560" s="150">
        <v>0</v>
      </c>
    </row>
    <row r="561" spans="1:9" ht="15.6" x14ac:dyDescent="0.25">
      <c r="A561" s="145"/>
      <c r="B561" s="146">
        <v>1995153</v>
      </c>
      <c r="C561" s="147"/>
      <c r="D561" s="148" t="s">
        <v>900</v>
      </c>
      <c r="E561" s="149">
        <v>5.31</v>
      </c>
      <c r="F561" s="149">
        <v>2.88</v>
      </c>
      <c r="G561" s="149">
        <v>0</v>
      </c>
      <c r="H561" s="149">
        <v>2.73</v>
      </c>
      <c r="I561" s="150">
        <v>10.92</v>
      </c>
    </row>
    <row r="562" spans="1:9" ht="15.6" x14ac:dyDescent="0.25">
      <c r="A562" s="145"/>
      <c r="B562" s="146">
        <v>1998456</v>
      </c>
      <c r="C562" s="147"/>
      <c r="D562" s="148" t="s">
        <v>834</v>
      </c>
      <c r="E562" s="149">
        <v>5.31</v>
      </c>
      <c r="F562" s="149">
        <v>2.88</v>
      </c>
      <c r="G562" s="149">
        <v>0</v>
      </c>
      <c r="H562" s="149">
        <v>2.73</v>
      </c>
      <c r="I562" s="150">
        <v>10.92</v>
      </c>
    </row>
    <row r="563" spans="1:9" ht="15.6" x14ac:dyDescent="0.25">
      <c r="A563" s="145"/>
      <c r="B563" s="146">
        <v>2001575</v>
      </c>
      <c r="C563" s="147"/>
      <c r="D563" s="148" t="s">
        <v>895</v>
      </c>
      <c r="E563" s="149">
        <v>5.31</v>
      </c>
      <c r="F563" s="149">
        <v>2.88</v>
      </c>
      <c r="G563" s="149">
        <v>0</v>
      </c>
      <c r="H563" s="149">
        <v>2.73</v>
      </c>
      <c r="I563" s="150">
        <v>10.92</v>
      </c>
    </row>
    <row r="564" spans="1:9" ht="15.6" x14ac:dyDescent="0.25">
      <c r="A564" s="145"/>
      <c r="B564" s="146">
        <v>2003015</v>
      </c>
      <c r="C564" s="147"/>
      <c r="D564" s="148" t="s">
        <v>967</v>
      </c>
      <c r="E564" s="149">
        <v>5.31</v>
      </c>
      <c r="F564" s="149">
        <v>2.88</v>
      </c>
      <c r="G564" s="149">
        <v>0</v>
      </c>
      <c r="H564" s="149">
        <v>2.73</v>
      </c>
      <c r="I564" s="150">
        <v>10.92</v>
      </c>
    </row>
    <row r="565" spans="1:9" ht="15.6" x14ac:dyDescent="0.25">
      <c r="A565" s="145"/>
      <c r="B565" s="146">
        <v>2003502</v>
      </c>
      <c r="C565" s="147"/>
      <c r="D565" s="148" t="s">
        <v>907</v>
      </c>
      <c r="E565" s="149">
        <v>0</v>
      </c>
      <c r="F565" s="149">
        <v>0</v>
      </c>
      <c r="G565" s="149">
        <v>0</v>
      </c>
      <c r="H565" s="149">
        <v>0</v>
      </c>
      <c r="I565" s="150">
        <v>0</v>
      </c>
    </row>
    <row r="566" spans="1:9" ht="15.6" x14ac:dyDescent="0.25">
      <c r="A566" s="145"/>
      <c r="B566" s="146">
        <v>2005283</v>
      </c>
      <c r="C566" s="147"/>
      <c r="D566" s="148" t="s">
        <v>750</v>
      </c>
      <c r="E566" s="149">
        <v>5.31</v>
      </c>
      <c r="F566" s="149">
        <v>2.88</v>
      </c>
      <c r="G566" s="149">
        <v>0</v>
      </c>
      <c r="H566" s="149">
        <v>2.73</v>
      </c>
      <c r="I566" s="150">
        <v>10.92</v>
      </c>
    </row>
    <row r="567" spans="1:9" ht="15.6" x14ac:dyDescent="0.25">
      <c r="A567" s="145"/>
      <c r="B567" s="146">
        <v>2005800</v>
      </c>
      <c r="C567" s="147"/>
      <c r="D567" s="148" t="s">
        <v>908</v>
      </c>
      <c r="E567" s="149">
        <v>5.31</v>
      </c>
      <c r="F567" s="149">
        <v>2.88</v>
      </c>
      <c r="G567" s="149">
        <v>0</v>
      </c>
      <c r="H567" s="149">
        <v>2.73</v>
      </c>
      <c r="I567" s="150">
        <v>10.92</v>
      </c>
    </row>
    <row r="568" spans="1:9" ht="15.6" x14ac:dyDescent="0.25">
      <c r="A568" s="145"/>
      <c r="B568" s="146">
        <v>2011115</v>
      </c>
      <c r="C568" s="147"/>
      <c r="D568" s="148" t="s">
        <v>926</v>
      </c>
      <c r="E568" s="149">
        <v>5.31</v>
      </c>
      <c r="F568" s="149">
        <v>0</v>
      </c>
      <c r="G568" s="149">
        <v>0</v>
      </c>
      <c r="H568" s="149">
        <v>2.73</v>
      </c>
      <c r="I568" s="150">
        <v>8.0399999999999991</v>
      </c>
    </row>
    <row r="569" spans="1:9" ht="15.6" x14ac:dyDescent="0.25">
      <c r="A569" s="145"/>
      <c r="B569" s="146">
        <v>2011837</v>
      </c>
      <c r="C569" s="147"/>
      <c r="D569" s="148" t="s">
        <v>792</v>
      </c>
      <c r="E569" s="149">
        <v>5.31</v>
      </c>
      <c r="F569" s="149">
        <v>2.88</v>
      </c>
      <c r="G569" s="149">
        <v>0</v>
      </c>
      <c r="H569" s="149">
        <v>2.73</v>
      </c>
      <c r="I569" s="150">
        <v>10.92</v>
      </c>
    </row>
    <row r="570" spans="1:9" ht="15.6" x14ac:dyDescent="0.25">
      <c r="A570" s="145"/>
      <c r="B570" s="146">
        <v>2013099</v>
      </c>
      <c r="C570" s="147"/>
      <c r="D570" s="148" t="s">
        <v>826</v>
      </c>
      <c r="E570" s="149">
        <v>5.31</v>
      </c>
      <c r="F570" s="149">
        <v>2.88</v>
      </c>
      <c r="G570" s="149">
        <v>0</v>
      </c>
      <c r="H570" s="149">
        <v>2.73</v>
      </c>
      <c r="I570" s="150">
        <v>10.92</v>
      </c>
    </row>
    <row r="571" spans="1:9" ht="15.6" x14ac:dyDescent="0.25">
      <c r="A571" s="145"/>
      <c r="B571" s="146">
        <v>2017717</v>
      </c>
      <c r="C571" s="147"/>
      <c r="D571" s="148" t="s">
        <v>868</v>
      </c>
      <c r="E571" s="149">
        <v>5.31</v>
      </c>
      <c r="F571" s="149">
        <v>2.88</v>
      </c>
      <c r="G571" s="149">
        <v>0</v>
      </c>
      <c r="H571" s="149">
        <v>2.73</v>
      </c>
      <c r="I571" s="150">
        <v>10.92</v>
      </c>
    </row>
    <row r="572" spans="1:9" ht="15.6" x14ac:dyDescent="0.25">
      <c r="A572" s="145"/>
      <c r="B572" s="146">
        <v>2017916</v>
      </c>
      <c r="C572" s="147"/>
      <c r="D572" s="148" t="s">
        <v>919</v>
      </c>
      <c r="E572" s="149">
        <v>5.31</v>
      </c>
      <c r="F572" s="149">
        <v>2.88</v>
      </c>
      <c r="G572" s="149">
        <v>0</v>
      </c>
      <c r="H572" s="149">
        <v>2.73</v>
      </c>
      <c r="I572" s="150">
        <v>10.92</v>
      </c>
    </row>
    <row r="573" spans="1:9" ht="15.6" x14ac:dyDescent="0.25">
      <c r="A573" s="145"/>
      <c r="B573" s="146">
        <v>2018994</v>
      </c>
      <c r="C573" s="147"/>
      <c r="D573" s="148" t="s">
        <v>849</v>
      </c>
      <c r="E573" s="149">
        <v>0</v>
      </c>
      <c r="F573" s="149">
        <v>0</v>
      </c>
      <c r="G573" s="149">
        <v>0</v>
      </c>
      <c r="H573" s="149">
        <v>2.73</v>
      </c>
      <c r="I573" s="150">
        <v>2.73</v>
      </c>
    </row>
    <row r="574" spans="1:9" ht="15.6" x14ac:dyDescent="0.25">
      <c r="A574" s="145"/>
      <c r="B574" s="146">
        <v>2029906</v>
      </c>
      <c r="C574" s="147"/>
      <c r="D574" s="148" t="s">
        <v>774</v>
      </c>
      <c r="E574" s="149">
        <v>5.31</v>
      </c>
      <c r="F574" s="149">
        <v>2.88</v>
      </c>
      <c r="G574" s="149">
        <v>36.56</v>
      </c>
      <c r="H574" s="149">
        <v>2.73</v>
      </c>
      <c r="I574" s="150">
        <v>47.48</v>
      </c>
    </row>
    <row r="575" spans="1:9" ht="15.6" x14ac:dyDescent="0.25">
      <c r="A575" s="145"/>
      <c r="B575" s="146">
        <v>2032697</v>
      </c>
      <c r="C575" s="147"/>
      <c r="D575" s="148" t="s">
        <v>786</v>
      </c>
      <c r="E575" s="149">
        <v>0</v>
      </c>
      <c r="F575" s="149">
        <v>0</v>
      </c>
      <c r="G575" s="149">
        <v>0</v>
      </c>
      <c r="H575" s="149">
        <v>0</v>
      </c>
      <c r="I575" s="150">
        <v>0</v>
      </c>
    </row>
    <row r="576" spans="1:9" ht="15.6" x14ac:dyDescent="0.25">
      <c r="A576" s="145"/>
      <c r="B576" s="146">
        <v>2034975</v>
      </c>
      <c r="C576" s="147"/>
      <c r="D576" s="148" t="s">
        <v>920</v>
      </c>
      <c r="E576" s="149">
        <v>0</v>
      </c>
      <c r="F576" s="149">
        <v>0</v>
      </c>
      <c r="G576" s="149">
        <v>0</v>
      </c>
      <c r="H576" s="149">
        <v>0</v>
      </c>
      <c r="I576" s="150">
        <v>0</v>
      </c>
    </row>
    <row r="577" spans="1:9" ht="15.6" x14ac:dyDescent="0.25">
      <c r="A577" s="145"/>
      <c r="B577" s="146">
        <v>2039284</v>
      </c>
      <c r="C577" s="147"/>
      <c r="D577" s="148" t="s">
        <v>904</v>
      </c>
      <c r="E577" s="149">
        <v>0</v>
      </c>
      <c r="F577" s="149">
        <v>0</v>
      </c>
      <c r="G577" s="149">
        <v>0</v>
      </c>
      <c r="H577" s="149">
        <v>2.73</v>
      </c>
      <c r="I577" s="150">
        <v>2.73</v>
      </c>
    </row>
    <row r="578" spans="1:9" ht="15.6" x14ac:dyDescent="0.25">
      <c r="A578" s="145"/>
      <c r="B578" s="146">
        <v>2047455</v>
      </c>
      <c r="C578" s="147"/>
      <c r="D578" s="148" t="s">
        <v>780</v>
      </c>
      <c r="E578" s="149">
        <v>5.31</v>
      </c>
      <c r="F578" s="149">
        <v>2.88</v>
      </c>
      <c r="G578" s="149">
        <v>49.91</v>
      </c>
      <c r="H578" s="149">
        <v>2.73</v>
      </c>
      <c r="I578" s="150">
        <v>60.829999999999991</v>
      </c>
    </row>
    <row r="579" spans="1:9" ht="15.6" x14ac:dyDescent="0.25">
      <c r="A579" s="145"/>
      <c r="B579" s="146">
        <v>2048717</v>
      </c>
      <c r="C579" s="147"/>
      <c r="D579" s="148" t="s">
        <v>732</v>
      </c>
      <c r="E579" s="149">
        <v>0</v>
      </c>
      <c r="F579" s="149">
        <v>0</v>
      </c>
      <c r="G579" s="149">
        <v>0</v>
      </c>
      <c r="H579" s="149">
        <v>2.73</v>
      </c>
      <c r="I579" s="150">
        <v>2.73</v>
      </c>
    </row>
    <row r="580" spans="1:9" ht="15.6" x14ac:dyDescent="0.25">
      <c r="A580" s="145"/>
      <c r="B580" s="146">
        <v>2054802</v>
      </c>
      <c r="C580" s="147"/>
      <c r="D580" s="148" t="s">
        <v>813</v>
      </c>
      <c r="E580" s="149">
        <v>0</v>
      </c>
      <c r="F580" s="149">
        <v>0</v>
      </c>
      <c r="G580" s="149">
        <v>0</v>
      </c>
      <c r="H580" s="149">
        <v>0</v>
      </c>
      <c r="I580" s="150">
        <v>0</v>
      </c>
    </row>
    <row r="581" spans="1:9" ht="15.6" x14ac:dyDescent="0.25">
      <c r="A581" s="145"/>
      <c r="B581" s="146">
        <v>2059374</v>
      </c>
      <c r="C581" s="147"/>
      <c r="D581" s="148" t="s">
        <v>921</v>
      </c>
      <c r="E581" s="149">
        <v>0</v>
      </c>
      <c r="F581" s="149">
        <v>0</v>
      </c>
      <c r="G581" s="149">
        <v>0</v>
      </c>
      <c r="H581" s="149">
        <v>0</v>
      </c>
      <c r="I581" s="150">
        <v>0</v>
      </c>
    </row>
    <row r="582" spans="1:9" ht="15.6" x14ac:dyDescent="0.25">
      <c r="A582" s="145"/>
      <c r="B582" s="146">
        <v>2061043</v>
      </c>
      <c r="C582" s="147"/>
      <c r="D582" s="148" t="s">
        <v>851</v>
      </c>
      <c r="E582" s="149">
        <v>5.31</v>
      </c>
      <c r="F582" s="149">
        <v>2.88</v>
      </c>
      <c r="G582" s="149">
        <v>22.66</v>
      </c>
      <c r="H582" s="149">
        <v>2.73</v>
      </c>
      <c r="I582" s="150">
        <v>33.58</v>
      </c>
    </row>
    <row r="583" spans="1:9" ht="15.6" x14ac:dyDescent="0.25">
      <c r="A583" s="145"/>
      <c r="B583" s="146">
        <v>2069980</v>
      </c>
      <c r="C583" s="147"/>
      <c r="D583" s="148" t="s">
        <v>817</v>
      </c>
      <c r="E583" s="149">
        <v>5.31</v>
      </c>
      <c r="F583" s="149">
        <v>2.88</v>
      </c>
      <c r="G583" s="149">
        <v>0</v>
      </c>
      <c r="H583" s="149">
        <v>2.73</v>
      </c>
      <c r="I583" s="150">
        <v>10.92</v>
      </c>
    </row>
    <row r="584" spans="1:9" ht="15.6" x14ac:dyDescent="0.25">
      <c r="A584" s="145"/>
      <c r="B584" s="146">
        <v>2074139</v>
      </c>
      <c r="C584" s="147"/>
      <c r="D584" s="148" t="s">
        <v>958</v>
      </c>
      <c r="E584" s="149">
        <v>5.31</v>
      </c>
      <c r="F584" s="149">
        <v>2.88</v>
      </c>
      <c r="G584" s="149">
        <v>0</v>
      </c>
      <c r="H584" s="149">
        <v>2.73</v>
      </c>
      <c r="I584" s="150">
        <v>10.92</v>
      </c>
    </row>
    <row r="585" spans="1:9" ht="15.6" x14ac:dyDescent="0.25">
      <c r="A585" s="145"/>
      <c r="B585" s="146">
        <v>2077590</v>
      </c>
      <c r="C585" s="147"/>
      <c r="D585" s="148" t="s">
        <v>911</v>
      </c>
      <c r="E585" s="149">
        <v>5.31</v>
      </c>
      <c r="F585" s="149">
        <v>0</v>
      </c>
      <c r="G585" s="149">
        <v>0</v>
      </c>
      <c r="H585" s="149">
        <v>2.73</v>
      </c>
      <c r="I585" s="150">
        <v>8.0399999999999991</v>
      </c>
    </row>
    <row r="586" spans="1:9" ht="15.6" x14ac:dyDescent="0.25">
      <c r="A586" s="145"/>
      <c r="B586" s="146">
        <v>2079855</v>
      </c>
      <c r="C586" s="147"/>
      <c r="D586" s="148" t="s">
        <v>917</v>
      </c>
      <c r="E586" s="149">
        <v>5.31</v>
      </c>
      <c r="F586" s="149">
        <v>2.88</v>
      </c>
      <c r="G586" s="149">
        <v>0</v>
      </c>
      <c r="H586" s="149">
        <v>2.73</v>
      </c>
      <c r="I586" s="150">
        <v>10.92</v>
      </c>
    </row>
    <row r="587" spans="1:9" ht="15.6" x14ac:dyDescent="0.25">
      <c r="A587" s="145"/>
      <c r="B587" s="146">
        <v>2090391</v>
      </c>
      <c r="C587" s="147"/>
      <c r="D587" s="148" t="s">
        <v>773</v>
      </c>
      <c r="E587" s="149">
        <v>5.31</v>
      </c>
      <c r="F587" s="149">
        <v>2.88</v>
      </c>
      <c r="G587" s="149">
        <v>0</v>
      </c>
      <c r="H587" s="149">
        <v>2.73</v>
      </c>
      <c r="I587" s="150">
        <v>10.92</v>
      </c>
    </row>
    <row r="588" spans="1:9" ht="15.6" x14ac:dyDescent="0.25">
      <c r="A588" s="145"/>
      <c r="B588" s="146">
        <v>2090413</v>
      </c>
      <c r="C588" s="147"/>
      <c r="D588" s="148" t="s">
        <v>738</v>
      </c>
      <c r="E588" s="149">
        <v>5.31</v>
      </c>
      <c r="F588" s="149">
        <v>2.88</v>
      </c>
      <c r="G588" s="149">
        <v>0</v>
      </c>
      <c r="H588" s="149">
        <v>2.73</v>
      </c>
      <c r="I588" s="150">
        <v>10.92</v>
      </c>
    </row>
    <row r="589" spans="1:9" ht="15.6" x14ac:dyDescent="0.25">
      <c r="A589" s="145"/>
      <c r="B589" s="146">
        <v>2092393</v>
      </c>
      <c r="C589" s="147"/>
      <c r="D589" s="148" t="s">
        <v>950</v>
      </c>
      <c r="E589" s="149">
        <v>5.31</v>
      </c>
      <c r="F589" s="149">
        <v>2.88</v>
      </c>
      <c r="G589" s="149">
        <v>0</v>
      </c>
      <c r="H589" s="149">
        <v>2.73</v>
      </c>
      <c r="I589" s="150">
        <v>10.92</v>
      </c>
    </row>
    <row r="590" spans="1:9" ht="15.6" x14ac:dyDescent="0.25">
      <c r="A590" s="145"/>
      <c r="B590" s="146">
        <v>2092401</v>
      </c>
      <c r="C590" s="147"/>
      <c r="D590" s="148" t="s">
        <v>886</v>
      </c>
      <c r="E590" s="149">
        <v>5.31</v>
      </c>
      <c r="F590" s="149">
        <v>2.88</v>
      </c>
      <c r="G590" s="149">
        <v>0</v>
      </c>
      <c r="H590" s="149">
        <v>2.73</v>
      </c>
      <c r="I590" s="150">
        <v>10.92</v>
      </c>
    </row>
    <row r="591" spans="1:9" ht="15.6" x14ac:dyDescent="0.25">
      <c r="A591" s="145"/>
      <c r="B591" s="146">
        <v>2095101</v>
      </c>
      <c r="C591" s="147"/>
      <c r="D591" s="148" t="s">
        <v>868</v>
      </c>
      <c r="E591" s="149">
        <v>5.31</v>
      </c>
      <c r="F591" s="149">
        <v>2.88</v>
      </c>
      <c r="G591" s="149">
        <v>0</v>
      </c>
      <c r="H591" s="149">
        <v>2.73</v>
      </c>
      <c r="I591" s="150">
        <v>10.92</v>
      </c>
    </row>
    <row r="592" spans="1:9" ht="15.6" x14ac:dyDescent="0.25">
      <c r="A592" s="145"/>
      <c r="B592" s="146">
        <v>2099727</v>
      </c>
      <c r="C592" s="147"/>
      <c r="D592" s="148" t="s">
        <v>851</v>
      </c>
      <c r="E592" s="149">
        <v>5.31</v>
      </c>
      <c r="F592" s="149">
        <v>2.88</v>
      </c>
      <c r="G592" s="149">
        <v>22.66</v>
      </c>
      <c r="H592" s="149">
        <v>2.73</v>
      </c>
      <c r="I592" s="150">
        <v>33.58</v>
      </c>
    </row>
    <row r="593" spans="1:9" ht="15.6" x14ac:dyDescent="0.25">
      <c r="A593" s="145"/>
      <c r="B593" s="146">
        <v>2101175</v>
      </c>
      <c r="C593" s="147"/>
      <c r="D593" s="148" t="s">
        <v>871</v>
      </c>
      <c r="E593" s="149">
        <v>5.31</v>
      </c>
      <c r="F593" s="149">
        <v>2.88</v>
      </c>
      <c r="G593" s="149">
        <v>0</v>
      </c>
      <c r="H593" s="149">
        <v>2.73</v>
      </c>
      <c r="I593" s="150">
        <v>10.92</v>
      </c>
    </row>
    <row r="594" spans="1:9" ht="15.6" x14ac:dyDescent="0.25">
      <c r="A594" s="145"/>
      <c r="B594" s="146">
        <v>2102581</v>
      </c>
      <c r="C594" s="147"/>
      <c r="D594" s="148" t="s">
        <v>919</v>
      </c>
      <c r="E594" s="149">
        <v>0</v>
      </c>
      <c r="F594" s="149">
        <v>0</v>
      </c>
      <c r="G594" s="149">
        <v>0</v>
      </c>
      <c r="H594" s="149">
        <v>0</v>
      </c>
      <c r="I594" s="150">
        <v>0</v>
      </c>
    </row>
    <row r="595" spans="1:9" ht="15.6" x14ac:dyDescent="0.25">
      <c r="A595" s="145"/>
      <c r="B595" s="146">
        <v>2104727</v>
      </c>
      <c r="C595" s="147"/>
      <c r="D595" s="148" t="s">
        <v>873</v>
      </c>
      <c r="E595" s="149">
        <v>5.31</v>
      </c>
      <c r="F595" s="149">
        <v>2.88</v>
      </c>
      <c r="G595" s="149">
        <v>0</v>
      </c>
      <c r="H595" s="149">
        <v>2.73</v>
      </c>
      <c r="I595" s="150">
        <v>10.92</v>
      </c>
    </row>
    <row r="596" spans="1:9" ht="15.6" x14ac:dyDescent="0.25">
      <c r="A596" s="145"/>
      <c r="B596" s="146">
        <v>2107027</v>
      </c>
      <c r="C596" s="147"/>
      <c r="D596" s="148" t="s">
        <v>935</v>
      </c>
      <c r="E596" s="149">
        <v>5.31</v>
      </c>
      <c r="F596" s="149">
        <v>2.88</v>
      </c>
      <c r="G596" s="149">
        <v>0</v>
      </c>
      <c r="H596" s="149">
        <v>2.73</v>
      </c>
      <c r="I596" s="150">
        <v>10.92</v>
      </c>
    </row>
    <row r="597" spans="1:9" ht="15.6" x14ac:dyDescent="0.25">
      <c r="A597" s="145"/>
      <c r="B597" s="146">
        <v>2110357</v>
      </c>
      <c r="C597" s="147"/>
      <c r="D597" s="148" t="s">
        <v>836</v>
      </c>
      <c r="E597" s="149">
        <v>5.31</v>
      </c>
      <c r="F597" s="149">
        <v>2.88</v>
      </c>
      <c r="G597" s="149">
        <v>0</v>
      </c>
      <c r="H597" s="149">
        <v>2.73</v>
      </c>
      <c r="I597" s="150">
        <v>10.92</v>
      </c>
    </row>
    <row r="598" spans="1:9" ht="15.6" x14ac:dyDescent="0.25">
      <c r="A598" s="145"/>
      <c r="B598" s="146">
        <v>2113371</v>
      </c>
      <c r="C598" s="147"/>
      <c r="D598" s="148" t="s">
        <v>794</v>
      </c>
      <c r="E598" s="149">
        <v>0</v>
      </c>
      <c r="F598" s="149">
        <v>0</v>
      </c>
      <c r="G598" s="149">
        <v>0</v>
      </c>
      <c r="H598" s="149">
        <v>0</v>
      </c>
      <c r="I598" s="150">
        <v>0</v>
      </c>
    </row>
    <row r="599" spans="1:9" ht="15.6" x14ac:dyDescent="0.25">
      <c r="A599" s="145"/>
      <c r="B599" s="146">
        <v>2113672</v>
      </c>
      <c r="C599" s="147"/>
      <c r="D599" s="148" t="s">
        <v>787</v>
      </c>
      <c r="E599" s="149">
        <v>5.31</v>
      </c>
      <c r="F599" s="149">
        <v>2.88</v>
      </c>
      <c r="G599" s="149">
        <v>18.260000000000002</v>
      </c>
      <c r="H599" s="149">
        <v>2.73</v>
      </c>
      <c r="I599" s="150">
        <v>29.180000000000003</v>
      </c>
    </row>
    <row r="600" spans="1:9" ht="15.6" x14ac:dyDescent="0.25">
      <c r="A600" s="145"/>
      <c r="B600" s="146">
        <v>2114796</v>
      </c>
      <c r="C600" s="147"/>
      <c r="D600" s="148" t="s">
        <v>732</v>
      </c>
      <c r="E600" s="149">
        <v>0</v>
      </c>
      <c r="F600" s="149">
        <v>0</v>
      </c>
      <c r="G600" s="149">
        <v>0</v>
      </c>
      <c r="H600" s="149">
        <v>2.73</v>
      </c>
      <c r="I600" s="150">
        <v>2.73</v>
      </c>
    </row>
    <row r="601" spans="1:9" ht="15.6" x14ac:dyDescent="0.25">
      <c r="A601" s="145"/>
      <c r="B601" s="146">
        <v>2117121</v>
      </c>
      <c r="C601" s="147"/>
      <c r="D601" s="148" t="s">
        <v>889</v>
      </c>
      <c r="E601" s="149">
        <v>5.31</v>
      </c>
      <c r="F601" s="149">
        <v>2.88</v>
      </c>
      <c r="G601" s="149">
        <v>0</v>
      </c>
      <c r="H601" s="149">
        <v>2.73</v>
      </c>
      <c r="I601" s="150">
        <v>10.92</v>
      </c>
    </row>
    <row r="602" spans="1:9" ht="15.6" x14ac:dyDescent="0.25">
      <c r="A602" s="145"/>
      <c r="B602" s="146">
        <v>2120414</v>
      </c>
      <c r="C602" s="147"/>
      <c r="D602" s="148" t="s">
        <v>863</v>
      </c>
      <c r="E602" s="149">
        <v>5.31</v>
      </c>
      <c r="F602" s="149">
        <v>2.88</v>
      </c>
      <c r="G602" s="149">
        <v>0</v>
      </c>
      <c r="H602" s="149">
        <v>2.73</v>
      </c>
      <c r="I602" s="150">
        <v>10.92</v>
      </c>
    </row>
    <row r="603" spans="1:9" ht="15.6" x14ac:dyDescent="0.25">
      <c r="A603" s="145"/>
      <c r="B603" s="146">
        <v>2122211</v>
      </c>
      <c r="C603" s="147"/>
      <c r="D603" s="148" t="s">
        <v>921</v>
      </c>
      <c r="E603" s="149">
        <v>0</v>
      </c>
      <c r="F603" s="149">
        <v>0</v>
      </c>
      <c r="G603" s="149">
        <v>0</v>
      </c>
      <c r="H603" s="149">
        <v>0</v>
      </c>
      <c r="I603" s="150">
        <v>0</v>
      </c>
    </row>
    <row r="604" spans="1:9" ht="15.6" x14ac:dyDescent="0.25">
      <c r="A604" s="145"/>
      <c r="B604" s="146">
        <v>2123323</v>
      </c>
      <c r="C604" s="147"/>
      <c r="D604" s="148" t="s">
        <v>771</v>
      </c>
      <c r="E604" s="149">
        <v>5.31</v>
      </c>
      <c r="F604" s="149">
        <v>2.88</v>
      </c>
      <c r="G604" s="149">
        <v>58.08</v>
      </c>
      <c r="H604" s="149">
        <v>2.73</v>
      </c>
      <c r="I604" s="150">
        <v>69</v>
      </c>
    </row>
    <row r="605" spans="1:9" ht="15.6" x14ac:dyDescent="0.25">
      <c r="A605" s="145"/>
      <c r="B605" s="146">
        <v>2132241</v>
      </c>
      <c r="C605" s="147"/>
      <c r="D605" s="148" t="s">
        <v>923</v>
      </c>
      <c r="E605" s="149">
        <v>5.31</v>
      </c>
      <c r="F605" s="149">
        <v>2.88</v>
      </c>
      <c r="G605" s="149">
        <v>0</v>
      </c>
      <c r="H605" s="149">
        <v>2.73</v>
      </c>
      <c r="I605" s="150">
        <v>10.92</v>
      </c>
    </row>
    <row r="606" spans="1:9" ht="15.6" x14ac:dyDescent="0.25">
      <c r="A606" s="145"/>
      <c r="B606" s="146">
        <v>2136853</v>
      </c>
      <c r="C606" s="147"/>
      <c r="D606" s="148" t="s">
        <v>869</v>
      </c>
      <c r="E606" s="149">
        <v>5.31</v>
      </c>
      <c r="F606" s="149">
        <v>2.88</v>
      </c>
      <c r="G606" s="149">
        <v>0</v>
      </c>
      <c r="H606" s="149">
        <v>2.73</v>
      </c>
      <c r="I606" s="150">
        <v>10.92</v>
      </c>
    </row>
    <row r="607" spans="1:9" ht="15.6" x14ac:dyDescent="0.25">
      <c r="A607" s="145"/>
      <c r="B607" s="146">
        <v>2138026</v>
      </c>
      <c r="C607" s="147"/>
      <c r="D607" s="148" t="s">
        <v>779</v>
      </c>
      <c r="E607" s="149">
        <v>5.31</v>
      </c>
      <c r="F607" s="149">
        <v>2.88</v>
      </c>
      <c r="G607" s="149">
        <v>0</v>
      </c>
      <c r="H607" s="149">
        <v>2.73</v>
      </c>
      <c r="I607" s="150">
        <v>10.92</v>
      </c>
    </row>
    <row r="608" spans="1:9" ht="15.6" x14ac:dyDescent="0.25">
      <c r="A608" s="145"/>
      <c r="B608" s="146">
        <v>2142825</v>
      </c>
      <c r="C608" s="147"/>
      <c r="D608" s="148" t="s">
        <v>780</v>
      </c>
      <c r="E608" s="149">
        <v>5.31</v>
      </c>
      <c r="F608" s="149">
        <v>2.88</v>
      </c>
      <c r="G608" s="149">
        <v>0</v>
      </c>
      <c r="H608" s="149">
        <v>2.73</v>
      </c>
      <c r="I608" s="150">
        <v>10.92</v>
      </c>
    </row>
    <row r="609" spans="1:9" ht="15.6" x14ac:dyDescent="0.25">
      <c r="A609" s="145"/>
      <c r="B609" s="146">
        <v>2146402</v>
      </c>
      <c r="C609" s="147"/>
      <c r="D609" s="148" t="s">
        <v>868</v>
      </c>
      <c r="E609" s="149">
        <v>5.31</v>
      </c>
      <c r="F609" s="149">
        <v>2.88</v>
      </c>
      <c r="G609" s="149">
        <v>0</v>
      </c>
      <c r="H609" s="149">
        <v>2.73</v>
      </c>
      <c r="I609" s="150">
        <v>10.92</v>
      </c>
    </row>
    <row r="610" spans="1:9" ht="15.6" x14ac:dyDescent="0.25">
      <c r="A610" s="145"/>
      <c r="B610" s="146">
        <v>2147524</v>
      </c>
      <c r="C610" s="147"/>
      <c r="D610" s="148" t="s">
        <v>868</v>
      </c>
      <c r="E610" s="149">
        <v>5.31</v>
      </c>
      <c r="F610" s="149">
        <v>2.88</v>
      </c>
      <c r="G610" s="149">
        <v>0</v>
      </c>
      <c r="H610" s="149">
        <v>2.73</v>
      </c>
      <c r="I610" s="150">
        <v>10.92</v>
      </c>
    </row>
    <row r="611" spans="1:9" ht="15.6" x14ac:dyDescent="0.25">
      <c r="A611" s="145"/>
      <c r="B611" s="146">
        <v>2149259</v>
      </c>
      <c r="C611" s="147"/>
      <c r="D611" s="148" t="s">
        <v>868</v>
      </c>
      <c r="E611" s="149">
        <v>5.31</v>
      </c>
      <c r="F611" s="149">
        <v>2.88</v>
      </c>
      <c r="G611" s="149">
        <v>0</v>
      </c>
      <c r="H611" s="149">
        <v>2.73</v>
      </c>
      <c r="I611" s="150">
        <v>10.92</v>
      </c>
    </row>
    <row r="612" spans="1:9" ht="15.6" x14ac:dyDescent="0.25">
      <c r="A612" s="145"/>
      <c r="B612" s="146">
        <v>2158674</v>
      </c>
      <c r="C612" s="147"/>
      <c r="D612" s="148" t="s">
        <v>918</v>
      </c>
      <c r="E612" s="149">
        <v>0</v>
      </c>
      <c r="F612" s="149">
        <v>0</v>
      </c>
      <c r="G612" s="149">
        <v>0</v>
      </c>
      <c r="H612" s="149">
        <v>0</v>
      </c>
      <c r="I612" s="150">
        <v>0</v>
      </c>
    </row>
    <row r="613" spans="1:9" ht="15.6" x14ac:dyDescent="0.25">
      <c r="A613" s="145"/>
      <c r="B613" s="146">
        <v>2160428</v>
      </c>
      <c r="C613" s="147"/>
      <c r="D613" s="148" t="s">
        <v>721</v>
      </c>
      <c r="E613" s="149">
        <v>0</v>
      </c>
      <c r="F613" s="149">
        <v>0</v>
      </c>
      <c r="G613" s="149">
        <v>0</v>
      </c>
      <c r="H613" s="149">
        <v>0</v>
      </c>
      <c r="I613" s="150">
        <v>0</v>
      </c>
    </row>
    <row r="614" spans="1:9" ht="15.6" x14ac:dyDescent="0.25">
      <c r="A614" s="145"/>
      <c r="B614" s="146">
        <v>2161233</v>
      </c>
      <c r="C614" s="147"/>
      <c r="D614" s="148" t="s">
        <v>765</v>
      </c>
      <c r="E614" s="149">
        <v>0</v>
      </c>
      <c r="F614" s="149">
        <v>0</v>
      </c>
      <c r="G614" s="149">
        <v>0</v>
      </c>
      <c r="H614" s="149">
        <v>0</v>
      </c>
      <c r="I614" s="150">
        <v>0</v>
      </c>
    </row>
    <row r="615" spans="1:9" ht="15.6" x14ac:dyDescent="0.25">
      <c r="A615" s="145"/>
      <c r="B615" s="146">
        <v>2167364</v>
      </c>
      <c r="C615" s="147"/>
      <c r="D615" s="148" t="s">
        <v>868</v>
      </c>
      <c r="E615" s="149">
        <v>5.31</v>
      </c>
      <c r="F615" s="149">
        <v>2.88</v>
      </c>
      <c r="G615" s="149">
        <v>0</v>
      </c>
      <c r="H615" s="149">
        <v>2.73</v>
      </c>
      <c r="I615" s="150">
        <v>10.92</v>
      </c>
    </row>
    <row r="616" spans="1:9" ht="15.6" x14ac:dyDescent="0.25">
      <c r="A616" s="145"/>
      <c r="B616" s="146">
        <v>2167475</v>
      </c>
      <c r="C616" s="147"/>
      <c r="D616" s="148" t="s">
        <v>818</v>
      </c>
      <c r="E616" s="149">
        <v>5.31</v>
      </c>
      <c r="F616" s="149">
        <v>2.88</v>
      </c>
      <c r="G616" s="149">
        <v>0</v>
      </c>
      <c r="H616" s="149">
        <v>2.73</v>
      </c>
      <c r="I616" s="150">
        <v>10.92</v>
      </c>
    </row>
    <row r="617" spans="1:9" ht="15.6" x14ac:dyDescent="0.25">
      <c r="A617" s="145"/>
      <c r="B617" s="146">
        <v>2183077</v>
      </c>
      <c r="C617" s="147"/>
      <c r="D617" s="148" t="s">
        <v>725</v>
      </c>
      <c r="E617" s="149">
        <v>0</v>
      </c>
      <c r="F617" s="149">
        <v>0</v>
      </c>
      <c r="G617" s="149">
        <v>0</v>
      </c>
      <c r="H617" s="149">
        <v>0</v>
      </c>
      <c r="I617" s="150">
        <v>0</v>
      </c>
    </row>
    <row r="618" spans="1:9" ht="15.6" x14ac:dyDescent="0.25">
      <c r="A618" s="145"/>
      <c r="B618" s="146">
        <v>2184333</v>
      </c>
      <c r="C618" s="147"/>
      <c r="D618" s="148" t="s">
        <v>787</v>
      </c>
      <c r="E618" s="149">
        <v>5.31</v>
      </c>
      <c r="F618" s="149">
        <v>2.88</v>
      </c>
      <c r="G618" s="149">
        <v>18.260000000000002</v>
      </c>
      <c r="H618" s="149">
        <v>2.73</v>
      </c>
      <c r="I618" s="150">
        <v>29.180000000000003</v>
      </c>
    </row>
    <row r="619" spans="1:9" ht="15.6" x14ac:dyDescent="0.25">
      <c r="A619" s="145"/>
      <c r="B619" s="146">
        <v>2186747</v>
      </c>
      <c r="C619" s="147"/>
      <c r="D619" s="148" t="s">
        <v>789</v>
      </c>
      <c r="E619" s="149">
        <v>5.31</v>
      </c>
      <c r="F619" s="149">
        <v>2.88</v>
      </c>
      <c r="G619" s="149">
        <v>18.260000000000002</v>
      </c>
      <c r="H619" s="149">
        <v>2.73</v>
      </c>
      <c r="I619" s="150">
        <v>29.180000000000003</v>
      </c>
    </row>
    <row r="620" spans="1:9" ht="15.6" x14ac:dyDescent="0.25">
      <c r="A620" s="145"/>
      <c r="B620" s="146">
        <v>2188072</v>
      </c>
      <c r="C620" s="147"/>
      <c r="D620" s="148" t="s">
        <v>718</v>
      </c>
      <c r="E620" s="149">
        <v>0</v>
      </c>
      <c r="F620" s="149">
        <v>0</v>
      </c>
      <c r="G620" s="149">
        <v>0</v>
      </c>
      <c r="H620" s="149">
        <v>0</v>
      </c>
      <c r="I620" s="150">
        <v>0</v>
      </c>
    </row>
    <row r="621" spans="1:9" ht="15.6" x14ac:dyDescent="0.25">
      <c r="A621" s="145"/>
      <c r="B621" s="146">
        <v>2196275</v>
      </c>
      <c r="C621" s="147"/>
      <c r="D621" s="148" t="s">
        <v>918</v>
      </c>
      <c r="E621" s="149">
        <v>0</v>
      </c>
      <c r="F621" s="149">
        <v>0</v>
      </c>
      <c r="G621" s="149">
        <v>0</v>
      </c>
      <c r="H621" s="149">
        <v>0</v>
      </c>
      <c r="I621" s="150">
        <v>0</v>
      </c>
    </row>
    <row r="622" spans="1:9" ht="15.6" x14ac:dyDescent="0.25">
      <c r="A622" s="145"/>
      <c r="B622" s="146">
        <v>2200229</v>
      </c>
      <c r="C622" s="147"/>
      <c r="D622" s="148" t="s">
        <v>851</v>
      </c>
      <c r="E622" s="149">
        <v>5.31</v>
      </c>
      <c r="F622" s="149">
        <v>2.88</v>
      </c>
      <c r="G622" s="149">
        <v>22.66</v>
      </c>
      <c r="H622" s="149">
        <v>2.73</v>
      </c>
      <c r="I622" s="150">
        <v>33.58</v>
      </c>
    </row>
    <row r="623" spans="1:9" ht="15.6" x14ac:dyDescent="0.25">
      <c r="A623" s="145"/>
      <c r="B623" s="146">
        <v>2202885</v>
      </c>
      <c r="C623" s="147"/>
      <c r="D623" s="148" t="s">
        <v>868</v>
      </c>
      <c r="E623" s="149">
        <v>5.31</v>
      </c>
      <c r="F623" s="149">
        <v>2.88</v>
      </c>
      <c r="G623" s="149">
        <v>0</v>
      </c>
      <c r="H623" s="149">
        <v>2.73</v>
      </c>
      <c r="I623" s="150">
        <v>10.92</v>
      </c>
    </row>
    <row r="624" spans="1:9" ht="15.6" x14ac:dyDescent="0.25">
      <c r="A624" s="145"/>
      <c r="B624" s="146">
        <v>2203027</v>
      </c>
      <c r="C624" s="147"/>
      <c r="D624" s="148" t="s">
        <v>758</v>
      </c>
      <c r="E624" s="149">
        <v>0</v>
      </c>
      <c r="F624" s="149">
        <v>0</v>
      </c>
      <c r="G624" s="149">
        <v>0</v>
      </c>
      <c r="H624" s="149">
        <v>0</v>
      </c>
      <c r="I624" s="150">
        <v>0</v>
      </c>
    </row>
    <row r="625" spans="1:9" ht="15.6" x14ac:dyDescent="0.25">
      <c r="A625" s="145"/>
      <c r="B625" s="146">
        <v>2205717</v>
      </c>
      <c r="C625" s="147"/>
      <c r="D625" s="148" t="s">
        <v>848</v>
      </c>
      <c r="E625" s="149">
        <v>5.31</v>
      </c>
      <c r="F625" s="149">
        <v>2.88</v>
      </c>
      <c r="G625" s="149">
        <v>0</v>
      </c>
      <c r="H625" s="149">
        <v>0</v>
      </c>
      <c r="I625" s="150">
        <v>8.19</v>
      </c>
    </row>
    <row r="626" spans="1:9" ht="15.6" x14ac:dyDescent="0.25">
      <c r="A626" s="145"/>
      <c r="B626" s="146">
        <v>2212783</v>
      </c>
      <c r="C626" s="147"/>
      <c r="D626" s="148" t="s">
        <v>722</v>
      </c>
      <c r="E626" s="149">
        <v>0</v>
      </c>
      <c r="F626" s="149">
        <v>0</v>
      </c>
      <c r="G626" s="149">
        <v>0</v>
      </c>
      <c r="H626" s="149">
        <v>0</v>
      </c>
      <c r="I626" s="150">
        <v>0</v>
      </c>
    </row>
    <row r="627" spans="1:9" ht="15.6" x14ac:dyDescent="0.25">
      <c r="A627" s="145"/>
      <c r="B627" s="146">
        <v>2215208</v>
      </c>
      <c r="C627" s="147"/>
      <c r="D627" s="148" t="s">
        <v>887</v>
      </c>
      <c r="E627" s="149">
        <v>5.31</v>
      </c>
      <c r="F627" s="149">
        <v>2.88</v>
      </c>
      <c r="G627" s="149">
        <v>0</v>
      </c>
      <c r="H627" s="149">
        <v>2.73</v>
      </c>
      <c r="I627" s="150">
        <v>10.92</v>
      </c>
    </row>
    <row r="628" spans="1:9" ht="15.6" x14ac:dyDescent="0.25">
      <c r="A628" s="145"/>
      <c r="B628" s="146">
        <v>2217644</v>
      </c>
      <c r="C628" s="147"/>
      <c r="D628" s="148" t="s">
        <v>868</v>
      </c>
      <c r="E628" s="149">
        <v>5.31</v>
      </c>
      <c r="F628" s="149">
        <v>2.88</v>
      </c>
      <c r="G628" s="149">
        <v>0</v>
      </c>
      <c r="H628" s="149">
        <v>2.73</v>
      </c>
      <c r="I628" s="150">
        <v>10.92</v>
      </c>
    </row>
    <row r="629" spans="1:9" ht="15.6" x14ac:dyDescent="0.25">
      <c r="A629" s="145"/>
      <c r="B629" s="146">
        <v>2224045</v>
      </c>
      <c r="C629" s="147"/>
      <c r="D629" s="148" t="s">
        <v>909</v>
      </c>
      <c r="E629" s="149">
        <v>5.31</v>
      </c>
      <c r="F629" s="149">
        <v>0</v>
      </c>
      <c r="G629" s="149">
        <v>0</v>
      </c>
      <c r="H629" s="149">
        <v>2.73</v>
      </c>
      <c r="I629" s="150">
        <v>8.0399999999999991</v>
      </c>
    </row>
    <row r="630" spans="1:9" ht="15.6" x14ac:dyDescent="0.25">
      <c r="A630" s="145"/>
      <c r="B630" s="146">
        <v>2226783</v>
      </c>
      <c r="C630" s="147"/>
      <c r="D630" s="148" t="s">
        <v>861</v>
      </c>
      <c r="E630" s="149">
        <v>5.31</v>
      </c>
      <c r="F630" s="149">
        <v>2.88</v>
      </c>
      <c r="G630" s="149">
        <v>0</v>
      </c>
      <c r="H630" s="149">
        <v>0</v>
      </c>
      <c r="I630" s="150">
        <v>8.19</v>
      </c>
    </row>
    <row r="631" spans="1:9" ht="15.6" x14ac:dyDescent="0.25">
      <c r="A631" s="145"/>
      <c r="B631" s="146">
        <v>2239853</v>
      </c>
      <c r="C631" s="147"/>
      <c r="D631" s="148" t="s">
        <v>865</v>
      </c>
      <c r="E631" s="149">
        <v>0</v>
      </c>
      <c r="F631" s="149">
        <v>0</v>
      </c>
      <c r="G631" s="149">
        <v>0</v>
      </c>
      <c r="H631" s="149">
        <v>0</v>
      </c>
      <c r="I631" s="150">
        <v>0</v>
      </c>
    </row>
    <row r="632" spans="1:9" ht="15.6" x14ac:dyDescent="0.25">
      <c r="A632" s="145"/>
      <c r="B632" s="146">
        <v>2240305</v>
      </c>
      <c r="C632" s="147"/>
      <c r="D632" s="148" t="s">
        <v>787</v>
      </c>
      <c r="E632" s="149">
        <v>5.31</v>
      </c>
      <c r="F632" s="149">
        <v>2.88</v>
      </c>
      <c r="G632" s="149">
        <v>18.260000000000002</v>
      </c>
      <c r="H632" s="149">
        <v>2.73</v>
      </c>
      <c r="I632" s="150">
        <v>29.180000000000003</v>
      </c>
    </row>
    <row r="633" spans="1:9" ht="15.6" x14ac:dyDescent="0.25">
      <c r="A633" s="145"/>
      <c r="B633" s="146">
        <v>2241123</v>
      </c>
      <c r="C633" s="147"/>
      <c r="D633" s="148" t="s">
        <v>868</v>
      </c>
      <c r="E633" s="149">
        <v>5.31</v>
      </c>
      <c r="F633" s="149">
        <v>2.88</v>
      </c>
      <c r="G633" s="149">
        <v>0</v>
      </c>
      <c r="H633" s="149">
        <v>2.73</v>
      </c>
      <c r="I633" s="150">
        <v>10.92</v>
      </c>
    </row>
    <row r="634" spans="1:9" ht="15.6" x14ac:dyDescent="0.25">
      <c r="A634" s="145"/>
      <c r="B634" s="146">
        <v>2251660</v>
      </c>
      <c r="C634" s="147"/>
      <c r="D634" s="148" t="s">
        <v>789</v>
      </c>
      <c r="E634" s="149">
        <v>5.31</v>
      </c>
      <c r="F634" s="149">
        <v>2.88</v>
      </c>
      <c r="G634" s="149">
        <v>24.03</v>
      </c>
      <c r="H634" s="149">
        <v>2.73</v>
      </c>
      <c r="I634" s="150">
        <v>34.949999999999996</v>
      </c>
    </row>
    <row r="635" spans="1:9" ht="15.6" x14ac:dyDescent="0.25">
      <c r="A635" s="145"/>
      <c r="B635" s="146">
        <v>2255318</v>
      </c>
      <c r="C635" s="147"/>
      <c r="D635" s="148" t="s">
        <v>745</v>
      </c>
      <c r="E635" s="149">
        <v>5.31</v>
      </c>
      <c r="F635" s="149">
        <v>2.88</v>
      </c>
      <c r="G635" s="149">
        <v>0</v>
      </c>
      <c r="H635" s="149">
        <v>2.73</v>
      </c>
      <c r="I635" s="150">
        <v>10.92</v>
      </c>
    </row>
    <row r="636" spans="1:9" ht="15.6" x14ac:dyDescent="0.25">
      <c r="A636" s="145"/>
      <c r="B636" s="146">
        <v>2261416</v>
      </c>
      <c r="C636" s="147"/>
      <c r="D636" s="148" t="s">
        <v>868</v>
      </c>
      <c r="E636" s="149">
        <v>5.31</v>
      </c>
      <c r="F636" s="149">
        <v>2.88</v>
      </c>
      <c r="G636" s="149">
        <v>0</v>
      </c>
      <c r="H636" s="149">
        <v>2.73</v>
      </c>
      <c r="I636" s="150">
        <v>10.92</v>
      </c>
    </row>
    <row r="637" spans="1:9" ht="15.6" x14ac:dyDescent="0.25">
      <c r="A637" s="145"/>
      <c r="B637" s="146">
        <v>2267411</v>
      </c>
      <c r="C637" s="147"/>
      <c r="D637" s="148" t="s">
        <v>907</v>
      </c>
      <c r="E637" s="149">
        <v>0</v>
      </c>
      <c r="F637" s="149">
        <v>0</v>
      </c>
      <c r="G637" s="149">
        <v>0</v>
      </c>
      <c r="H637" s="149">
        <v>0</v>
      </c>
      <c r="I637" s="150">
        <v>0</v>
      </c>
    </row>
    <row r="638" spans="1:9" ht="15.6" x14ac:dyDescent="0.25">
      <c r="A638" s="145"/>
      <c r="B638" s="146">
        <v>2275996</v>
      </c>
      <c r="C638" s="147"/>
      <c r="D638" s="148" t="s">
        <v>881</v>
      </c>
      <c r="E638" s="149">
        <v>5.31</v>
      </c>
      <c r="F638" s="149">
        <v>2.88</v>
      </c>
      <c r="G638" s="149">
        <v>0</v>
      </c>
      <c r="H638" s="149">
        <v>2.73</v>
      </c>
      <c r="I638" s="150">
        <v>10.92</v>
      </c>
    </row>
    <row r="639" spans="1:9" ht="15.6" x14ac:dyDescent="0.25">
      <c r="A639" s="145"/>
      <c r="B639" s="146">
        <v>2276337</v>
      </c>
      <c r="C639" s="147"/>
      <c r="D639" s="148" t="s">
        <v>746</v>
      </c>
      <c r="E639" s="149">
        <v>5.31</v>
      </c>
      <c r="F639" s="149">
        <v>2.88</v>
      </c>
      <c r="G639" s="149">
        <v>0</v>
      </c>
      <c r="H639" s="149">
        <v>2.73</v>
      </c>
      <c r="I639" s="150">
        <v>10.92</v>
      </c>
    </row>
    <row r="640" spans="1:9" ht="15.6" x14ac:dyDescent="0.25">
      <c r="A640" s="145"/>
      <c r="B640" s="146">
        <v>2278006</v>
      </c>
      <c r="C640" s="147"/>
      <c r="D640" s="148" t="s">
        <v>822</v>
      </c>
      <c r="E640" s="149">
        <v>5.31</v>
      </c>
      <c r="F640" s="149">
        <v>2.88</v>
      </c>
      <c r="G640" s="149">
        <v>0</v>
      </c>
      <c r="H640" s="149">
        <v>2.73</v>
      </c>
      <c r="I640" s="150">
        <v>10.92</v>
      </c>
    </row>
    <row r="641" spans="1:9" ht="15.6" x14ac:dyDescent="0.25">
      <c r="A641" s="145"/>
      <c r="B641" s="146">
        <v>2279635</v>
      </c>
      <c r="C641" s="147"/>
      <c r="D641" s="148" t="s">
        <v>851</v>
      </c>
      <c r="E641" s="149">
        <v>5.31</v>
      </c>
      <c r="F641" s="149">
        <v>2.88</v>
      </c>
      <c r="G641" s="149">
        <v>22.66</v>
      </c>
      <c r="H641" s="149">
        <v>2.73</v>
      </c>
      <c r="I641" s="150">
        <v>33.58</v>
      </c>
    </row>
    <row r="642" spans="1:9" ht="15.6" x14ac:dyDescent="0.25">
      <c r="A642" s="145"/>
      <c r="B642" s="146">
        <v>2288725</v>
      </c>
      <c r="C642" s="147"/>
      <c r="D642" s="148" t="s">
        <v>732</v>
      </c>
      <c r="E642" s="149">
        <v>0</v>
      </c>
      <c r="F642" s="149">
        <v>0</v>
      </c>
      <c r="G642" s="149">
        <v>0</v>
      </c>
      <c r="H642" s="149">
        <v>0</v>
      </c>
      <c r="I642" s="150">
        <v>0</v>
      </c>
    </row>
    <row r="643" spans="1:9" ht="15.6" x14ac:dyDescent="0.25">
      <c r="A643" s="145"/>
      <c r="B643" s="146">
        <v>2289980</v>
      </c>
      <c r="C643" s="147"/>
      <c r="D643" s="148" t="s">
        <v>733</v>
      </c>
      <c r="E643" s="149">
        <v>0</v>
      </c>
      <c r="F643" s="149">
        <v>0</v>
      </c>
      <c r="G643" s="149">
        <v>0</v>
      </c>
      <c r="H643" s="149">
        <v>0</v>
      </c>
      <c r="I643" s="150">
        <v>0</v>
      </c>
    </row>
    <row r="644" spans="1:9" ht="15.6" x14ac:dyDescent="0.25">
      <c r="A644" s="145"/>
      <c r="B644" s="146">
        <v>2290955</v>
      </c>
      <c r="C644" s="147"/>
      <c r="D644" s="148" t="s">
        <v>908</v>
      </c>
      <c r="E644" s="149">
        <v>5.31</v>
      </c>
      <c r="F644" s="149">
        <v>2.88</v>
      </c>
      <c r="G644" s="149">
        <v>0</v>
      </c>
      <c r="H644" s="149">
        <v>2.73</v>
      </c>
      <c r="I644" s="150">
        <v>10.92</v>
      </c>
    </row>
    <row r="645" spans="1:9" ht="15.6" x14ac:dyDescent="0.25">
      <c r="A645" s="145"/>
      <c r="B645" s="146">
        <v>2295294</v>
      </c>
      <c r="C645" s="147"/>
      <c r="D645" s="148" t="s">
        <v>827</v>
      </c>
      <c r="E645" s="149">
        <v>5.31</v>
      </c>
      <c r="F645" s="149">
        <v>2.88</v>
      </c>
      <c r="G645" s="149">
        <v>0</v>
      </c>
      <c r="H645" s="149">
        <v>0</v>
      </c>
      <c r="I645" s="150">
        <v>8.19</v>
      </c>
    </row>
    <row r="646" spans="1:9" ht="15.6" x14ac:dyDescent="0.25">
      <c r="A646" s="145"/>
      <c r="B646" s="146">
        <v>2297703</v>
      </c>
      <c r="C646" s="147"/>
      <c r="D646" s="148" t="s">
        <v>817</v>
      </c>
      <c r="E646" s="149">
        <v>5.31</v>
      </c>
      <c r="F646" s="149">
        <v>2.88</v>
      </c>
      <c r="G646" s="149">
        <v>0</v>
      </c>
      <c r="H646" s="149">
        <v>2.73</v>
      </c>
      <c r="I646" s="150">
        <v>10.92</v>
      </c>
    </row>
    <row r="647" spans="1:9" ht="15.6" x14ac:dyDescent="0.25">
      <c r="A647" s="145"/>
      <c r="B647" s="146">
        <v>2298933</v>
      </c>
      <c r="C647" s="147"/>
      <c r="D647" s="148" t="s">
        <v>883</v>
      </c>
      <c r="E647" s="149">
        <v>5.31</v>
      </c>
      <c r="F647" s="149">
        <v>2.88</v>
      </c>
      <c r="G647" s="149">
        <v>0</v>
      </c>
      <c r="H647" s="149">
        <v>2.73</v>
      </c>
      <c r="I647" s="150">
        <v>10.92</v>
      </c>
    </row>
    <row r="648" spans="1:9" ht="15.6" x14ac:dyDescent="0.25">
      <c r="A648" s="145"/>
      <c r="B648" s="146">
        <v>2300517</v>
      </c>
      <c r="C648" s="147"/>
      <c r="D648" s="148" t="s">
        <v>911</v>
      </c>
      <c r="E648" s="149">
        <v>5.31</v>
      </c>
      <c r="F648" s="149">
        <v>0</v>
      </c>
      <c r="G648" s="149">
        <v>0</v>
      </c>
      <c r="H648" s="149">
        <v>2.73</v>
      </c>
      <c r="I648" s="150">
        <v>8.0399999999999991</v>
      </c>
    </row>
    <row r="649" spans="1:9" ht="15.6" x14ac:dyDescent="0.25">
      <c r="A649" s="145"/>
      <c r="B649" s="146">
        <v>2308239</v>
      </c>
      <c r="C649" s="147"/>
      <c r="D649" s="148" t="s">
        <v>751</v>
      </c>
      <c r="E649" s="149">
        <v>0</v>
      </c>
      <c r="F649" s="149">
        <v>0</v>
      </c>
      <c r="G649" s="149">
        <v>0</v>
      </c>
      <c r="H649" s="149">
        <v>0</v>
      </c>
      <c r="I649" s="150">
        <v>0</v>
      </c>
    </row>
    <row r="650" spans="1:9" ht="15.6" x14ac:dyDescent="0.25">
      <c r="A650" s="145"/>
      <c r="B650" s="146">
        <v>2308944</v>
      </c>
      <c r="C650" s="147"/>
      <c r="D650" s="148" t="s">
        <v>907</v>
      </c>
      <c r="E650" s="149">
        <v>0</v>
      </c>
      <c r="F650" s="149">
        <v>0</v>
      </c>
      <c r="G650" s="149">
        <v>0</v>
      </c>
      <c r="H650" s="149">
        <v>0</v>
      </c>
      <c r="I650" s="150">
        <v>0</v>
      </c>
    </row>
    <row r="651" spans="1:9" ht="15.6" x14ac:dyDescent="0.25">
      <c r="A651" s="145"/>
      <c r="B651" s="146">
        <v>2311470</v>
      </c>
      <c r="C651" s="147"/>
      <c r="D651" s="148" t="s">
        <v>865</v>
      </c>
      <c r="E651" s="149">
        <v>5.31</v>
      </c>
      <c r="F651" s="149">
        <v>2.88</v>
      </c>
      <c r="G651" s="149">
        <v>0</v>
      </c>
      <c r="H651" s="149">
        <v>2.73</v>
      </c>
      <c r="I651" s="150">
        <v>10.92</v>
      </c>
    </row>
    <row r="652" spans="1:9" ht="15.6" x14ac:dyDescent="0.25">
      <c r="A652" s="145"/>
      <c r="B652" s="146">
        <v>2317145</v>
      </c>
      <c r="C652" s="147"/>
      <c r="D652" s="148" t="s">
        <v>758</v>
      </c>
      <c r="E652" s="149">
        <v>0</v>
      </c>
      <c r="F652" s="149">
        <v>0</v>
      </c>
      <c r="G652" s="149">
        <v>0</v>
      </c>
      <c r="H652" s="149">
        <v>2.73</v>
      </c>
      <c r="I652" s="150">
        <v>2.73</v>
      </c>
    </row>
    <row r="653" spans="1:9" ht="15.6" x14ac:dyDescent="0.25">
      <c r="A653" s="145"/>
      <c r="B653" s="146">
        <v>2319090</v>
      </c>
      <c r="C653" s="147"/>
      <c r="D653" s="148" t="s">
        <v>788</v>
      </c>
      <c r="E653" s="149">
        <v>5.31</v>
      </c>
      <c r="F653" s="149">
        <v>2.88</v>
      </c>
      <c r="G653" s="149">
        <v>0</v>
      </c>
      <c r="H653" s="149">
        <v>2.73</v>
      </c>
      <c r="I653" s="150">
        <v>10.92</v>
      </c>
    </row>
    <row r="654" spans="1:9" ht="15.6" x14ac:dyDescent="0.25">
      <c r="A654" s="145"/>
      <c r="B654" s="146">
        <v>2322399</v>
      </c>
      <c r="C654" s="147"/>
      <c r="D654" s="148" t="s">
        <v>934</v>
      </c>
      <c r="E654" s="149">
        <v>5.31</v>
      </c>
      <c r="F654" s="149">
        <v>2.88</v>
      </c>
      <c r="G654" s="149">
        <v>0</v>
      </c>
      <c r="H654" s="149">
        <v>2.73</v>
      </c>
      <c r="I654" s="150">
        <v>10.92</v>
      </c>
    </row>
    <row r="655" spans="1:9" ht="15.6" x14ac:dyDescent="0.25">
      <c r="A655" s="145"/>
      <c r="B655" s="146">
        <v>2322401</v>
      </c>
      <c r="C655" s="147"/>
      <c r="D655" s="148" t="s">
        <v>868</v>
      </c>
      <c r="E655" s="149">
        <v>5.31</v>
      </c>
      <c r="F655" s="149">
        <v>2.88</v>
      </c>
      <c r="G655" s="149">
        <v>0</v>
      </c>
      <c r="H655" s="149">
        <v>2.73</v>
      </c>
      <c r="I655" s="150">
        <v>10.92</v>
      </c>
    </row>
    <row r="656" spans="1:9" ht="15.6" x14ac:dyDescent="0.25">
      <c r="A656" s="145"/>
      <c r="B656" s="146">
        <v>2323180</v>
      </c>
      <c r="C656" s="147"/>
      <c r="D656" s="148" t="s">
        <v>789</v>
      </c>
      <c r="E656" s="149">
        <v>5.31</v>
      </c>
      <c r="F656" s="149">
        <v>2.88</v>
      </c>
      <c r="G656" s="149">
        <v>24.03</v>
      </c>
      <c r="H656" s="149">
        <v>2.73</v>
      </c>
      <c r="I656" s="150">
        <v>34.949999999999996</v>
      </c>
    </row>
    <row r="657" spans="1:9" ht="15.6" x14ac:dyDescent="0.25">
      <c r="A657" s="145"/>
      <c r="B657" s="146">
        <v>2328545</v>
      </c>
      <c r="C657" s="147"/>
      <c r="D657" s="148" t="s">
        <v>859</v>
      </c>
      <c r="E657" s="149">
        <v>5.31</v>
      </c>
      <c r="F657" s="149">
        <v>2.88</v>
      </c>
      <c r="G657" s="149">
        <v>0</v>
      </c>
      <c r="H657" s="149">
        <v>0</v>
      </c>
      <c r="I657" s="150">
        <v>8.19</v>
      </c>
    </row>
    <row r="658" spans="1:9" ht="15.6" x14ac:dyDescent="0.25">
      <c r="A658" s="145"/>
      <c r="B658" s="146">
        <v>2332555</v>
      </c>
      <c r="C658" s="147"/>
      <c r="D658" s="148" t="s">
        <v>748</v>
      </c>
      <c r="E658" s="149">
        <v>5.31</v>
      </c>
      <c r="F658" s="149">
        <v>2.88</v>
      </c>
      <c r="G658" s="149">
        <v>0</v>
      </c>
      <c r="H658" s="149">
        <v>2.73</v>
      </c>
      <c r="I658" s="150">
        <v>10.92</v>
      </c>
    </row>
    <row r="659" spans="1:9" ht="15.6" x14ac:dyDescent="0.25">
      <c r="A659" s="145"/>
      <c r="B659" s="146">
        <v>2337465</v>
      </c>
      <c r="C659" s="147"/>
      <c r="D659" s="148" t="s">
        <v>826</v>
      </c>
      <c r="E659" s="149">
        <v>5.31</v>
      </c>
      <c r="F659" s="149">
        <v>2.88</v>
      </c>
      <c r="G659" s="149">
        <v>0</v>
      </c>
      <c r="H659" s="149">
        <v>2.73</v>
      </c>
      <c r="I659" s="150">
        <v>10.92</v>
      </c>
    </row>
    <row r="660" spans="1:9" ht="15.6" x14ac:dyDescent="0.25">
      <c r="A660" s="145"/>
      <c r="B660" s="146">
        <v>2340495</v>
      </c>
      <c r="C660" s="147"/>
      <c r="D660" s="148" t="s">
        <v>865</v>
      </c>
      <c r="E660" s="149">
        <v>5.31</v>
      </c>
      <c r="F660" s="149">
        <v>2.88</v>
      </c>
      <c r="G660" s="149">
        <v>0</v>
      </c>
      <c r="H660" s="149">
        <v>2.73</v>
      </c>
      <c r="I660" s="150">
        <v>10.92</v>
      </c>
    </row>
    <row r="661" spans="1:9" ht="15.6" x14ac:dyDescent="0.25">
      <c r="A661" s="145"/>
      <c r="B661" s="146">
        <v>2340894</v>
      </c>
      <c r="C661" s="147"/>
      <c r="D661" s="148" t="s">
        <v>916</v>
      </c>
      <c r="E661" s="149">
        <v>0</v>
      </c>
      <c r="F661" s="149">
        <v>0</v>
      </c>
      <c r="G661" s="149">
        <v>0</v>
      </c>
      <c r="H661" s="149">
        <v>0</v>
      </c>
      <c r="I661" s="150">
        <v>0</v>
      </c>
    </row>
    <row r="662" spans="1:9" ht="15.6" x14ac:dyDescent="0.25">
      <c r="A662" s="145"/>
      <c r="B662" s="146">
        <v>2345250</v>
      </c>
      <c r="C662" s="147"/>
      <c r="D662" s="148" t="s">
        <v>748</v>
      </c>
      <c r="E662" s="149">
        <v>5.31</v>
      </c>
      <c r="F662" s="149">
        <v>2.88</v>
      </c>
      <c r="G662" s="149">
        <v>0</v>
      </c>
      <c r="H662" s="149">
        <v>2.73</v>
      </c>
      <c r="I662" s="150">
        <v>10.92</v>
      </c>
    </row>
    <row r="663" spans="1:9" ht="15.6" x14ac:dyDescent="0.25">
      <c r="A663" s="145"/>
      <c r="B663" s="146">
        <v>2354436</v>
      </c>
      <c r="C663" s="147"/>
      <c r="D663" s="148" t="s">
        <v>935</v>
      </c>
      <c r="E663" s="149">
        <v>5.31</v>
      </c>
      <c r="F663" s="149">
        <v>2.88</v>
      </c>
      <c r="G663" s="149">
        <v>0</v>
      </c>
      <c r="H663" s="149">
        <v>2.73</v>
      </c>
      <c r="I663" s="150">
        <v>10.92</v>
      </c>
    </row>
    <row r="664" spans="1:9" ht="15.6" x14ac:dyDescent="0.25">
      <c r="A664" s="145"/>
      <c r="B664" s="146">
        <v>2358612</v>
      </c>
      <c r="C664" s="147"/>
      <c r="D664" s="148" t="s">
        <v>731</v>
      </c>
      <c r="E664" s="149">
        <v>0</v>
      </c>
      <c r="F664" s="149">
        <v>0</v>
      </c>
      <c r="G664" s="149">
        <v>0</v>
      </c>
      <c r="H664" s="149">
        <v>0</v>
      </c>
      <c r="I664" s="150">
        <v>0</v>
      </c>
    </row>
    <row r="665" spans="1:9" ht="15.6" x14ac:dyDescent="0.25">
      <c r="A665" s="145"/>
      <c r="B665" s="146">
        <v>2361468</v>
      </c>
      <c r="C665" s="147"/>
      <c r="D665" s="148" t="s">
        <v>786</v>
      </c>
      <c r="E665" s="149">
        <v>0</v>
      </c>
      <c r="F665" s="149">
        <v>0</v>
      </c>
      <c r="G665" s="149">
        <v>0</v>
      </c>
      <c r="H665" s="149">
        <v>0</v>
      </c>
      <c r="I665" s="150">
        <v>0</v>
      </c>
    </row>
    <row r="666" spans="1:9" ht="15.6" x14ac:dyDescent="0.25">
      <c r="A666" s="145"/>
      <c r="B666" s="146">
        <v>2361626</v>
      </c>
      <c r="C666" s="147"/>
      <c r="D666" s="148" t="s">
        <v>784</v>
      </c>
      <c r="E666" s="149">
        <v>0</v>
      </c>
      <c r="F666" s="149">
        <v>0</v>
      </c>
      <c r="G666" s="149">
        <v>0</v>
      </c>
      <c r="H666" s="149">
        <v>0</v>
      </c>
      <c r="I666" s="150">
        <v>0</v>
      </c>
    </row>
    <row r="667" spans="1:9" ht="15.6" x14ac:dyDescent="0.25">
      <c r="A667" s="145"/>
      <c r="B667" s="146">
        <v>2365229</v>
      </c>
      <c r="C667" s="147"/>
      <c r="D667" s="148" t="s">
        <v>835</v>
      </c>
      <c r="E667" s="149">
        <v>5.31</v>
      </c>
      <c r="F667" s="149">
        <v>2.88</v>
      </c>
      <c r="G667" s="149">
        <v>0</v>
      </c>
      <c r="H667" s="149">
        <v>2.73</v>
      </c>
      <c r="I667" s="150">
        <v>10.92</v>
      </c>
    </row>
    <row r="668" spans="1:9" ht="15.6" x14ac:dyDescent="0.25">
      <c r="A668" s="145"/>
      <c r="B668" s="146">
        <v>2371316</v>
      </c>
      <c r="C668" s="147"/>
      <c r="D668" s="148" t="s">
        <v>898</v>
      </c>
      <c r="E668" s="149">
        <v>5.31</v>
      </c>
      <c r="F668" s="149">
        <v>2.88</v>
      </c>
      <c r="G668" s="149">
        <v>0</v>
      </c>
      <c r="H668" s="149">
        <v>2.73</v>
      </c>
      <c r="I668" s="150">
        <v>10.92</v>
      </c>
    </row>
    <row r="669" spans="1:9" ht="15.6" x14ac:dyDescent="0.25">
      <c r="A669" s="145"/>
      <c r="B669" s="146">
        <v>2384345</v>
      </c>
      <c r="C669" s="147"/>
      <c r="D669" s="148" t="s">
        <v>764</v>
      </c>
      <c r="E669" s="149">
        <v>5.31</v>
      </c>
      <c r="F669" s="149">
        <v>2.88</v>
      </c>
      <c r="G669" s="149">
        <v>0</v>
      </c>
      <c r="H669" s="149">
        <v>2.73</v>
      </c>
      <c r="I669" s="150">
        <v>10.92</v>
      </c>
    </row>
    <row r="670" spans="1:9" ht="15.6" x14ac:dyDescent="0.25">
      <c r="A670" s="145"/>
      <c r="B670" s="146">
        <v>2388184</v>
      </c>
      <c r="C670" s="147"/>
      <c r="D670" s="148" t="s">
        <v>856</v>
      </c>
      <c r="E670" s="149">
        <v>5.31</v>
      </c>
      <c r="F670" s="149">
        <v>2.88</v>
      </c>
      <c r="G670" s="149">
        <v>0</v>
      </c>
      <c r="H670" s="149">
        <v>2.73</v>
      </c>
      <c r="I670" s="150">
        <v>10.92</v>
      </c>
    </row>
    <row r="671" spans="1:9" ht="15.6" x14ac:dyDescent="0.25">
      <c r="A671" s="145"/>
      <c r="B671" s="146">
        <v>2390946</v>
      </c>
      <c r="C671" s="147"/>
      <c r="D671" s="148" t="s">
        <v>886</v>
      </c>
      <c r="E671" s="149">
        <v>5.31</v>
      </c>
      <c r="F671" s="149">
        <v>2.88</v>
      </c>
      <c r="G671" s="149">
        <v>0</v>
      </c>
      <c r="H671" s="149">
        <v>2.73</v>
      </c>
      <c r="I671" s="150">
        <v>10.92</v>
      </c>
    </row>
    <row r="672" spans="1:9" ht="15.6" x14ac:dyDescent="0.25">
      <c r="A672" s="145"/>
      <c r="B672" s="146">
        <v>2392236</v>
      </c>
      <c r="C672" s="147"/>
      <c r="D672" s="148" t="s">
        <v>834</v>
      </c>
      <c r="E672" s="149">
        <v>5.31</v>
      </c>
      <c r="F672" s="149">
        <v>2.88</v>
      </c>
      <c r="G672" s="149">
        <v>0</v>
      </c>
      <c r="H672" s="149">
        <v>2.73</v>
      </c>
      <c r="I672" s="150">
        <v>10.92</v>
      </c>
    </row>
    <row r="673" spans="1:9" ht="15.6" x14ac:dyDescent="0.25">
      <c r="A673" s="145"/>
      <c r="B673" s="146">
        <v>2393371</v>
      </c>
      <c r="C673" s="147"/>
      <c r="D673" s="148" t="s">
        <v>868</v>
      </c>
      <c r="E673" s="149">
        <v>5.31</v>
      </c>
      <c r="F673" s="149">
        <v>2.88</v>
      </c>
      <c r="G673" s="149">
        <v>0</v>
      </c>
      <c r="H673" s="149">
        <v>2.73</v>
      </c>
      <c r="I673" s="150">
        <v>10.92</v>
      </c>
    </row>
    <row r="674" spans="1:9" ht="15.6" x14ac:dyDescent="0.25">
      <c r="A674" s="145"/>
      <c r="B674" s="146">
        <v>2394367</v>
      </c>
      <c r="C674" s="147"/>
      <c r="D674" s="148" t="s">
        <v>817</v>
      </c>
      <c r="E674" s="149">
        <v>5.31</v>
      </c>
      <c r="F674" s="149">
        <v>2.88</v>
      </c>
      <c r="G674" s="149">
        <v>0</v>
      </c>
      <c r="H674" s="149">
        <v>2.73</v>
      </c>
      <c r="I674" s="150">
        <v>10.92</v>
      </c>
    </row>
    <row r="675" spans="1:9" ht="15.6" x14ac:dyDescent="0.25">
      <c r="A675" s="145"/>
      <c r="B675" s="146">
        <v>2402368</v>
      </c>
      <c r="C675" s="147"/>
      <c r="D675" s="148" t="s">
        <v>847</v>
      </c>
      <c r="E675" s="149">
        <v>5.31</v>
      </c>
      <c r="F675" s="149">
        <v>2.88</v>
      </c>
      <c r="G675" s="149">
        <v>0</v>
      </c>
      <c r="H675" s="149">
        <v>2.73</v>
      </c>
      <c r="I675" s="150">
        <v>10.92</v>
      </c>
    </row>
    <row r="676" spans="1:9" ht="15.6" x14ac:dyDescent="0.25">
      <c r="A676" s="145"/>
      <c r="B676" s="146">
        <v>2404980</v>
      </c>
      <c r="C676" s="147"/>
      <c r="D676" s="148" t="s">
        <v>789</v>
      </c>
      <c r="E676" s="149">
        <v>5.31</v>
      </c>
      <c r="F676" s="149">
        <v>2.88</v>
      </c>
      <c r="G676" s="149">
        <v>24.03</v>
      </c>
      <c r="H676" s="149">
        <v>2.73</v>
      </c>
      <c r="I676" s="150">
        <v>34.949999999999996</v>
      </c>
    </row>
    <row r="677" spans="1:9" ht="15.6" x14ac:dyDescent="0.25">
      <c r="A677" s="145"/>
      <c r="B677" s="146">
        <v>2414512</v>
      </c>
      <c r="C677" s="147"/>
      <c r="D677" s="148" t="s">
        <v>864</v>
      </c>
      <c r="E677" s="149">
        <v>5.31</v>
      </c>
      <c r="F677" s="149">
        <v>2.88</v>
      </c>
      <c r="G677" s="149">
        <v>0</v>
      </c>
      <c r="H677" s="149">
        <v>2.73</v>
      </c>
      <c r="I677" s="150">
        <v>10.92</v>
      </c>
    </row>
    <row r="678" spans="1:9" ht="15.6" x14ac:dyDescent="0.25">
      <c r="A678" s="145"/>
      <c r="B678" s="146">
        <v>2416865</v>
      </c>
      <c r="C678" s="147"/>
      <c r="D678" s="148" t="s">
        <v>916</v>
      </c>
      <c r="E678" s="149">
        <v>0</v>
      </c>
      <c r="F678" s="149">
        <v>0</v>
      </c>
      <c r="G678" s="149">
        <v>0</v>
      </c>
      <c r="H678" s="149">
        <v>0</v>
      </c>
      <c r="I678" s="150">
        <v>0</v>
      </c>
    </row>
    <row r="679" spans="1:9" ht="15.6" x14ac:dyDescent="0.25">
      <c r="A679" s="145"/>
      <c r="B679" s="146">
        <v>2420353</v>
      </c>
      <c r="C679" s="147"/>
      <c r="D679" s="148" t="s">
        <v>773</v>
      </c>
      <c r="E679" s="149">
        <v>5.31</v>
      </c>
      <c r="F679" s="149">
        <v>2.88</v>
      </c>
      <c r="G679" s="149">
        <v>0</v>
      </c>
      <c r="H679" s="149">
        <v>2.73</v>
      </c>
      <c r="I679" s="150">
        <v>10.92</v>
      </c>
    </row>
    <row r="680" spans="1:9" ht="15.6" x14ac:dyDescent="0.25">
      <c r="A680" s="145"/>
      <c r="B680" s="146">
        <v>2425767</v>
      </c>
      <c r="C680" s="147"/>
      <c r="D680" s="148" t="s">
        <v>830</v>
      </c>
      <c r="E680" s="149">
        <v>5.31</v>
      </c>
      <c r="F680" s="149">
        <v>2.88</v>
      </c>
      <c r="G680" s="149">
        <v>0</v>
      </c>
      <c r="H680" s="149">
        <v>2.73</v>
      </c>
      <c r="I680" s="150">
        <v>10.92</v>
      </c>
    </row>
    <row r="681" spans="1:9" ht="15.6" x14ac:dyDescent="0.25">
      <c r="A681" s="145"/>
      <c r="B681" s="146">
        <v>2431502</v>
      </c>
      <c r="C681" s="147"/>
      <c r="D681" s="148" t="s">
        <v>857</v>
      </c>
      <c r="E681" s="149">
        <v>0</v>
      </c>
      <c r="F681" s="149">
        <v>0</v>
      </c>
      <c r="G681" s="149">
        <v>0</v>
      </c>
      <c r="H681" s="149">
        <v>2.73</v>
      </c>
      <c r="I681" s="150">
        <v>2.73</v>
      </c>
    </row>
    <row r="682" spans="1:9" ht="15.6" x14ac:dyDescent="0.25">
      <c r="A682" s="145"/>
      <c r="B682" s="146">
        <v>2440439</v>
      </c>
      <c r="C682" s="147"/>
      <c r="D682" s="148" t="s">
        <v>818</v>
      </c>
      <c r="E682" s="149">
        <v>5.31</v>
      </c>
      <c r="F682" s="149">
        <v>2.88</v>
      </c>
      <c r="G682" s="149">
        <v>0</v>
      </c>
      <c r="H682" s="149">
        <v>2.73</v>
      </c>
      <c r="I682" s="150">
        <v>10.92</v>
      </c>
    </row>
    <row r="683" spans="1:9" ht="15.6" x14ac:dyDescent="0.25">
      <c r="A683" s="145"/>
      <c r="B683" s="146">
        <v>2441503</v>
      </c>
      <c r="C683" s="147"/>
      <c r="D683" s="148" t="s">
        <v>860</v>
      </c>
      <c r="E683" s="149">
        <v>5.31</v>
      </c>
      <c r="F683" s="149">
        <v>2.88</v>
      </c>
      <c r="G683" s="149">
        <v>0</v>
      </c>
      <c r="H683" s="149">
        <v>2.73</v>
      </c>
      <c r="I683" s="150">
        <v>10.92</v>
      </c>
    </row>
    <row r="684" spans="1:9" ht="15.6" x14ac:dyDescent="0.25">
      <c r="A684" s="145"/>
      <c r="B684" s="146">
        <v>2442899</v>
      </c>
      <c r="C684" s="147"/>
      <c r="D684" s="148" t="s">
        <v>910</v>
      </c>
      <c r="E684" s="149">
        <v>5.31</v>
      </c>
      <c r="F684" s="149">
        <v>2.88</v>
      </c>
      <c r="G684" s="149">
        <v>0</v>
      </c>
      <c r="H684" s="149">
        <v>2.73</v>
      </c>
      <c r="I684" s="150">
        <v>10.92</v>
      </c>
    </row>
    <row r="685" spans="1:9" ht="15.6" x14ac:dyDescent="0.25">
      <c r="A685" s="145"/>
      <c r="B685" s="146">
        <v>2450429</v>
      </c>
      <c r="C685" s="147"/>
      <c r="D685" s="148" t="s">
        <v>936</v>
      </c>
      <c r="E685" s="149">
        <v>5.31</v>
      </c>
      <c r="F685" s="149">
        <v>2.88</v>
      </c>
      <c r="G685" s="149">
        <v>0</v>
      </c>
      <c r="H685" s="149">
        <v>2.73</v>
      </c>
      <c r="I685" s="150">
        <v>10.92</v>
      </c>
    </row>
    <row r="686" spans="1:9" ht="15.6" x14ac:dyDescent="0.25">
      <c r="A686" s="145"/>
      <c r="B686" s="146">
        <v>2450455</v>
      </c>
      <c r="C686" s="147"/>
      <c r="D686" s="148" t="s">
        <v>851</v>
      </c>
      <c r="E686" s="149">
        <v>5.31</v>
      </c>
      <c r="F686" s="149">
        <v>2.88</v>
      </c>
      <c r="G686" s="149">
        <v>22.66</v>
      </c>
      <c r="H686" s="149">
        <v>2.73</v>
      </c>
      <c r="I686" s="150">
        <v>33.58</v>
      </c>
    </row>
    <row r="687" spans="1:9" ht="15.6" x14ac:dyDescent="0.25">
      <c r="A687" s="145"/>
      <c r="B687" s="146">
        <v>2451465</v>
      </c>
      <c r="C687" s="147"/>
      <c r="D687" s="148" t="s">
        <v>771</v>
      </c>
      <c r="E687" s="149">
        <v>5.31</v>
      </c>
      <c r="F687" s="149">
        <v>2.88</v>
      </c>
      <c r="G687" s="149">
        <v>0</v>
      </c>
      <c r="H687" s="149">
        <v>2.73</v>
      </c>
      <c r="I687" s="150">
        <v>10.92</v>
      </c>
    </row>
    <row r="688" spans="1:9" ht="15.6" x14ac:dyDescent="0.25">
      <c r="A688" s="145"/>
      <c r="B688" s="146">
        <v>2452431</v>
      </c>
      <c r="C688" s="147"/>
      <c r="D688" s="148" t="s">
        <v>851</v>
      </c>
      <c r="E688" s="149">
        <v>5.31</v>
      </c>
      <c r="F688" s="149">
        <v>2.88</v>
      </c>
      <c r="G688" s="149">
        <v>22.66</v>
      </c>
      <c r="H688" s="149">
        <v>2.73</v>
      </c>
      <c r="I688" s="150">
        <v>33.58</v>
      </c>
    </row>
    <row r="689" spans="1:9" ht="15.6" x14ac:dyDescent="0.25">
      <c r="A689" s="145"/>
      <c r="B689" s="146">
        <v>2456128</v>
      </c>
      <c r="C689" s="147"/>
      <c r="D689" s="148" t="s">
        <v>849</v>
      </c>
      <c r="E689" s="149">
        <v>0</v>
      </c>
      <c r="F689" s="149">
        <v>0</v>
      </c>
      <c r="G689" s="149">
        <v>0</v>
      </c>
      <c r="H689" s="149">
        <v>2.73</v>
      </c>
      <c r="I689" s="150">
        <v>2.73</v>
      </c>
    </row>
    <row r="690" spans="1:9" ht="15.6" x14ac:dyDescent="0.25">
      <c r="A690" s="145"/>
      <c r="B690" s="146">
        <v>2457353</v>
      </c>
      <c r="C690" s="147"/>
      <c r="D690" s="148" t="s">
        <v>957</v>
      </c>
      <c r="E690" s="149">
        <v>0</v>
      </c>
      <c r="F690" s="149">
        <v>2.88</v>
      </c>
      <c r="G690" s="149">
        <v>0</v>
      </c>
      <c r="H690" s="149">
        <v>2.73</v>
      </c>
      <c r="I690" s="150">
        <v>5.6099999999999994</v>
      </c>
    </row>
    <row r="691" spans="1:9" ht="15.6" x14ac:dyDescent="0.25">
      <c r="A691" s="145"/>
      <c r="B691" s="146">
        <v>2457520</v>
      </c>
      <c r="C691" s="147"/>
      <c r="D691" s="148" t="s">
        <v>858</v>
      </c>
      <c r="E691" s="149">
        <v>5.31</v>
      </c>
      <c r="F691" s="149">
        <v>2.88</v>
      </c>
      <c r="G691" s="149">
        <v>0</v>
      </c>
      <c r="H691" s="149">
        <v>2.73</v>
      </c>
      <c r="I691" s="150">
        <v>10.92</v>
      </c>
    </row>
    <row r="692" spans="1:9" ht="15.6" x14ac:dyDescent="0.25">
      <c r="A692" s="145"/>
      <c r="B692" s="146">
        <v>2458473</v>
      </c>
      <c r="C692" s="147"/>
      <c r="D692" s="148" t="s">
        <v>889</v>
      </c>
      <c r="E692" s="149">
        <v>0</v>
      </c>
      <c r="F692" s="149">
        <v>0</v>
      </c>
      <c r="G692" s="149">
        <v>0</v>
      </c>
      <c r="H692" s="149">
        <v>0</v>
      </c>
      <c r="I692" s="150">
        <v>0</v>
      </c>
    </row>
    <row r="693" spans="1:9" ht="15.6" x14ac:dyDescent="0.25">
      <c r="A693" s="145"/>
      <c r="B693" s="146">
        <v>2459222</v>
      </c>
      <c r="C693" s="147"/>
      <c r="D693" s="148" t="s">
        <v>771</v>
      </c>
      <c r="E693" s="149">
        <v>5.31</v>
      </c>
      <c r="F693" s="149">
        <v>2.88</v>
      </c>
      <c r="G693" s="149">
        <v>52.19</v>
      </c>
      <c r="H693" s="149">
        <v>2.73</v>
      </c>
      <c r="I693" s="150">
        <v>63.109999999999992</v>
      </c>
    </row>
    <row r="694" spans="1:9" ht="15.6" x14ac:dyDescent="0.25">
      <c r="A694" s="145"/>
      <c r="B694" s="146">
        <v>2459924</v>
      </c>
      <c r="C694" s="147"/>
      <c r="D694" s="148" t="s">
        <v>818</v>
      </c>
      <c r="E694" s="149">
        <v>0</v>
      </c>
      <c r="F694" s="149">
        <v>0</v>
      </c>
      <c r="G694" s="149">
        <v>0</v>
      </c>
      <c r="H694" s="149">
        <v>0</v>
      </c>
      <c r="I694" s="150">
        <v>0</v>
      </c>
    </row>
    <row r="695" spans="1:9" ht="15.6" x14ac:dyDescent="0.25">
      <c r="A695" s="145"/>
      <c r="B695" s="146">
        <v>2463414</v>
      </c>
      <c r="C695" s="147"/>
      <c r="D695" s="148" t="s">
        <v>765</v>
      </c>
      <c r="E695" s="149">
        <v>0</v>
      </c>
      <c r="F695" s="149">
        <v>0</v>
      </c>
      <c r="G695" s="149">
        <v>0</v>
      </c>
      <c r="H695" s="149">
        <v>0</v>
      </c>
      <c r="I695" s="150">
        <v>0</v>
      </c>
    </row>
    <row r="696" spans="1:9" ht="15.6" x14ac:dyDescent="0.25">
      <c r="A696" s="145"/>
      <c r="B696" s="146">
        <v>2486261</v>
      </c>
      <c r="C696" s="147"/>
      <c r="D696" s="148" t="s">
        <v>823</v>
      </c>
      <c r="E696" s="149">
        <v>5.31</v>
      </c>
      <c r="F696" s="149">
        <v>2.88</v>
      </c>
      <c r="G696" s="149">
        <v>0</v>
      </c>
      <c r="H696" s="149">
        <v>2.73</v>
      </c>
      <c r="I696" s="150">
        <v>10.92</v>
      </c>
    </row>
    <row r="697" spans="1:9" ht="15.6" x14ac:dyDescent="0.25">
      <c r="A697" s="145"/>
      <c r="B697" s="146">
        <v>2491939</v>
      </c>
      <c r="C697" s="147"/>
      <c r="D697" s="148" t="s">
        <v>866</v>
      </c>
      <c r="E697" s="149">
        <v>0</v>
      </c>
      <c r="F697" s="149">
        <v>0</v>
      </c>
      <c r="G697" s="149">
        <v>0</v>
      </c>
      <c r="H697" s="149">
        <v>2.73</v>
      </c>
      <c r="I697" s="150">
        <v>2.73</v>
      </c>
    </row>
    <row r="698" spans="1:9" ht="15.6" x14ac:dyDescent="0.25">
      <c r="A698" s="145"/>
      <c r="B698" s="146">
        <v>2493402</v>
      </c>
      <c r="C698" s="147"/>
      <c r="D698" s="148" t="s">
        <v>765</v>
      </c>
      <c r="E698" s="149">
        <v>0</v>
      </c>
      <c r="F698" s="149">
        <v>0</v>
      </c>
      <c r="G698" s="149">
        <v>0</v>
      </c>
      <c r="H698" s="149">
        <v>0</v>
      </c>
      <c r="I698" s="150">
        <v>0</v>
      </c>
    </row>
    <row r="699" spans="1:9" ht="15.6" x14ac:dyDescent="0.25">
      <c r="A699" s="145"/>
      <c r="B699" s="146">
        <v>2498572</v>
      </c>
      <c r="C699" s="147"/>
      <c r="D699" s="148" t="s">
        <v>857</v>
      </c>
      <c r="E699" s="149">
        <v>0</v>
      </c>
      <c r="F699" s="149">
        <v>0</v>
      </c>
      <c r="G699" s="149">
        <v>0</v>
      </c>
      <c r="H699" s="149">
        <v>0</v>
      </c>
      <c r="I699" s="150">
        <v>0</v>
      </c>
    </row>
    <row r="700" spans="1:9" ht="15.6" x14ac:dyDescent="0.25">
      <c r="A700" s="145"/>
      <c r="B700" s="146">
        <v>2499511</v>
      </c>
      <c r="C700" s="147"/>
      <c r="D700" s="148" t="s">
        <v>825</v>
      </c>
      <c r="E700" s="149">
        <v>5.31</v>
      </c>
      <c r="F700" s="149">
        <v>2.88</v>
      </c>
      <c r="G700" s="149">
        <v>0</v>
      </c>
      <c r="H700" s="149">
        <v>2.73</v>
      </c>
      <c r="I700" s="150">
        <v>10.92</v>
      </c>
    </row>
    <row r="701" spans="1:9" ht="15.6" x14ac:dyDescent="0.25">
      <c r="A701" s="145"/>
      <c r="B701" s="146">
        <v>2502093</v>
      </c>
      <c r="C701" s="147"/>
      <c r="D701" s="148" t="s">
        <v>851</v>
      </c>
      <c r="E701" s="149">
        <v>5.31</v>
      </c>
      <c r="F701" s="149">
        <v>2.88</v>
      </c>
      <c r="G701" s="149">
        <v>22.66</v>
      </c>
      <c r="H701" s="149">
        <v>2.73</v>
      </c>
      <c r="I701" s="150">
        <v>33.58</v>
      </c>
    </row>
    <row r="702" spans="1:9" ht="15.6" x14ac:dyDescent="0.25">
      <c r="A702" s="145"/>
      <c r="B702" s="146">
        <v>2505684</v>
      </c>
      <c r="C702" s="147"/>
      <c r="D702" s="148" t="s">
        <v>745</v>
      </c>
      <c r="E702" s="149">
        <v>5.31</v>
      </c>
      <c r="F702" s="149">
        <v>2.88</v>
      </c>
      <c r="G702" s="149">
        <v>0</v>
      </c>
      <c r="H702" s="149">
        <v>2.73</v>
      </c>
      <c r="I702" s="150">
        <v>10.92</v>
      </c>
    </row>
    <row r="703" spans="1:9" ht="15.6" x14ac:dyDescent="0.25">
      <c r="A703" s="145"/>
      <c r="B703" s="146">
        <v>2507228</v>
      </c>
      <c r="C703" s="147"/>
      <c r="D703" s="148" t="s">
        <v>775</v>
      </c>
      <c r="E703" s="149">
        <v>5.31</v>
      </c>
      <c r="F703" s="149">
        <v>2.88</v>
      </c>
      <c r="G703" s="149">
        <v>0</v>
      </c>
      <c r="H703" s="149">
        <v>2.73</v>
      </c>
      <c r="I703" s="150">
        <v>10.92</v>
      </c>
    </row>
    <row r="704" spans="1:9" ht="15.6" x14ac:dyDescent="0.25">
      <c r="A704" s="145"/>
      <c r="B704" s="146">
        <v>2511773</v>
      </c>
      <c r="C704" s="147"/>
      <c r="D704" s="148" t="s">
        <v>854</v>
      </c>
      <c r="E704" s="149">
        <v>5.31</v>
      </c>
      <c r="F704" s="149">
        <v>2.88</v>
      </c>
      <c r="G704" s="149">
        <v>0</v>
      </c>
      <c r="H704" s="149">
        <v>2.73</v>
      </c>
      <c r="I704" s="150">
        <v>10.92</v>
      </c>
    </row>
    <row r="705" spans="1:9" ht="15.6" x14ac:dyDescent="0.25">
      <c r="A705" s="145"/>
      <c r="B705" s="146">
        <v>2512136</v>
      </c>
      <c r="C705" s="147"/>
      <c r="D705" s="148" t="s">
        <v>745</v>
      </c>
      <c r="E705" s="149">
        <v>5.31</v>
      </c>
      <c r="F705" s="149">
        <v>2.88</v>
      </c>
      <c r="G705" s="149">
        <v>0</v>
      </c>
      <c r="H705" s="149">
        <v>0</v>
      </c>
      <c r="I705" s="150">
        <v>8.19</v>
      </c>
    </row>
    <row r="706" spans="1:9" ht="15.6" x14ac:dyDescent="0.25">
      <c r="A706" s="145"/>
      <c r="B706" s="146">
        <v>2523171</v>
      </c>
      <c r="C706" s="147"/>
      <c r="D706" s="148" t="s">
        <v>761</v>
      </c>
      <c r="E706" s="149">
        <v>0</v>
      </c>
      <c r="F706" s="149">
        <v>0</v>
      </c>
      <c r="G706" s="149">
        <v>0</v>
      </c>
      <c r="H706" s="149">
        <v>2.73</v>
      </c>
      <c r="I706" s="150">
        <v>2.73</v>
      </c>
    </row>
    <row r="707" spans="1:9" ht="15.6" x14ac:dyDescent="0.25">
      <c r="A707" s="145"/>
      <c r="B707" s="146">
        <v>2533080</v>
      </c>
      <c r="C707" s="147"/>
      <c r="D707" s="148" t="s">
        <v>847</v>
      </c>
      <c r="E707" s="149">
        <v>5.31</v>
      </c>
      <c r="F707" s="149">
        <v>2.88</v>
      </c>
      <c r="G707" s="149">
        <v>0</v>
      </c>
      <c r="H707" s="149">
        <v>2.73</v>
      </c>
      <c r="I707" s="150">
        <v>10.92</v>
      </c>
    </row>
    <row r="708" spans="1:9" ht="15.6" x14ac:dyDescent="0.25">
      <c r="A708" s="145"/>
      <c r="B708" s="146">
        <v>2542963</v>
      </c>
      <c r="C708" s="147"/>
      <c r="D708" s="148" t="s">
        <v>771</v>
      </c>
      <c r="E708" s="149">
        <v>5.31</v>
      </c>
      <c r="F708" s="149">
        <v>2.88</v>
      </c>
      <c r="G708" s="149">
        <v>0</v>
      </c>
      <c r="H708" s="149">
        <v>2.73</v>
      </c>
      <c r="I708" s="150">
        <v>10.92</v>
      </c>
    </row>
    <row r="709" spans="1:9" ht="15.6" x14ac:dyDescent="0.25">
      <c r="A709" s="145"/>
      <c r="B709" s="146">
        <v>2545703</v>
      </c>
      <c r="C709" s="147"/>
      <c r="D709" s="148" t="s">
        <v>944</v>
      </c>
      <c r="E709" s="149">
        <v>5.31</v>
      </c>
      <c r="F709" s="149">
        <v>2.88</v>
      </c>
      <c r="G709" s="149">
        <v>0</v>
      </c>
      <c r="H709" s="149">
        <v>2.73</v>
      </c>
      <c r="I709" s="150">
        <v>10.92</v>
      </c>
    </row>
    <row r="710" spans="1:9" ht="15.6" x14ac:dyDescent="0.25">
      <c r="A710" s="145"/>
      <c r="B710" s="146">
        <v>2548412</v>
      </c>
      <c r="C710" s="147"/>
      <c r="D710" s="148" t="s">
        <v>870</v>
      </c>
      <c r="E710" s="149">
        <v>0</v>
      </c>
      <c r="F710" s="149">
        <v>0</v>
      </c>
      <c r="G710" s="149">
        <v>0</v>
      </c>
      <c r="H710" s="149">
        <v>0</v>
      </c>
      <c r="I710" s="150">
        <v>0</v>
      </c>
    </row>
    <row r="711" spans="1:9" ht="15.6" x14ac:dyDescent="0.25">
      <c r="A711" s="145"/>
      <c r="B711" s="146">
        <v>2548608</v>
      </c>
      <c r="C711" s="147"/>
      <c r="D711" s="148" t="s">
        <v>851</v>
      </c>
      <c r="E711" s="149">
        <v>5.31</v>
      </c>
      <c r="F711" s="149">
        <v>2.88</v>
      </c>
      <c r="G711" s="149">
        <v>22.66</v>
      </c>
      <c r="H711" s="149">
        <v>2.73</v>
      </c>
      <c r="I711" s="150">
        <v>33.58</v>
      </c>
    </row>
    <row r="712" spans="1:9" ht="15.6" x14ac:dyDescent="0.25">
      <c r="A712" s="145"/>
      <c r="B712" s="146">
        <v>2550410</v>
      </c>
      <c r="C712" s="147"/>
      <c r="D712" s="148" t="s">
        <v>883</v>
      </c>
      <c r="E712" s="149">
        <v>5.31</v>
      </c>
      <c r="F712" s="149">
        <v>2.88</v>
      </c>
      <c r="G712" s="149">
        <v>0</v>
      </c>
      <c r="H712" s="149">
        <v>2.73</v>
      </c>
      <c r="I712" s="150">
        <v>10.92</v>
      </c>
    </row>
    <row r="713" spans="1:9" ht="15.6" x14ac:dyDescent="0.25">
      <c r="A713" s="145"/>
      <c r="B713" s="146">
        <v>2551433</v>
      </c>
      <c r="C713" s="147"/>
      <c r="D713" s="148" t="s">
        <v>780</v>
      </c>
      <c r="E713" s="149">
        <v>5.31</v>
      </c>
      <c r="F713" s="149">
        <v>2.88</v>
      </c>
      <c r="G713" s="149">
        <v>0</v>
      </c>
      <c r="H713" s="149">
        <v>2.73</v>
      </c>
      <c r="I713" s="150">
        <v>10.92</v>
      </c>
    </row>
    <row r="714" spans="1:9" ht="15.6" x14ac:dyDescent="0.25">
      <c r="A714" s="145"/>
      <c r="B714" s="146">
        <v>2551468</v>
      </c>
      <c r="C714" s="147"/>
      <c r="D714" s="148" t="s">
        <v>868</v>
      </c>
      <c r="E714" s="149">
        <v>5.31</v>
      </c>
      <c r="F714" s="149">
        <v>2.88</v>
      </c>
      <c r="G714" s="149">
        <v>0</v>
      </c>
      <c r="H714" s="149">
        <v>2.73</v>
      </c>
      <c r="I714" s="150">
        <v>10.92</v>
      </c>
    </row>
    <row r="715" spans="1:9" ht="15.6" x14ac:dyDescent="0.25">
      <c r="A715" s="145"/>
      <c r="B715" s="146">
        <v>2552788</v>
      </c>
      <c r="C715" s="147"/>
      <c r="D715" s="148" t="s">
        <v>773</v>
      </c>
      <c r="E715" s="149">
        <v>5.31</v>
      </c>
      <c r="F715" s="149">
        <v>2.88</v>
      </c>
      <c r="G715" s="149">
        <v>0</v>
      </c>
      <c r="H715" s="149">
        <v>2.73</v>
      </c>
      <c r="I715" s="150">
        <v>10.92</v>
      </c>
    </row>
    <row r="716" spans="1:9" ht="15.6" x14ac:dyDescent="0.25">
      <c r="A716" s="145"/>
      <c r="B716" s="146">
        <v>2561462</v>
      </c>
      <c r="C716" s="147"/>
      <c r="D716" s="148" t="s">
        <v>883</v>
      </c>
      <c r="E716" s="149">
        <v>5.31</v>
      </c>
      <c r="F716" s="149">
        <v>2.88</v>
      </c>
      <c r="G716" s="149">
        <v>0</v>
      </c>
      <c r="H716" s="149">
        <v>2.73</v>
      </c>
      <c r="I716" s="150">
        <v>10.92</v>
      </c>
    </row>
    <row r="717" spans="1:9" ht="15.6" x14ac:dyDescent="0.25">
      <c r="A717" s="145"/>
      <c r="B717" s="146">
        <v>2562823</v>
      </c>
      <c r="C717" s="147"/>
      <c r="D717" s="148" t="s">
        <v>903</v>
      </c>
      <c r="E717" s="149">
        <v>0</v>
      </c>
      <c r="F717" s="149">
        <v>0</v>
      </c>
      <c r="G717" s="149">
        <v>0</v>
      </c>
      <c r="H717" s="149">
        <v>0</v>
      </c>
      <c r="I717" s="150">
        <v>0</v>
      </c>
    </row>
    <row r="718" spans="1:9" ht="15.6" x14ac:dyDescent="0.25">
      <c r="A718" s="145"/>
      <c r="B718" s="146">
        <v>2562959</v>
      </c>
      <c r="C718" s="147"/>
      <c r="D718" s="148" t="s">
        <v>933</v>
      </c>
      <c r="E718" s="149">
        <v>5.31</v>
      </c>
      <c r="F718" s="149">
        <v>2.88</v>
      </c>
      <c r="G718" s="149">
        <v>0</v>
      </c>
      <c r="H718" s="149">
        <v>2.73</v>
      </c>
      <c r="I718" s="150">
        <v>10.92</v>
      </c>
    </row>
    <row r="719" spans="1:9" ht="15.6" x14ac:dyDescent="0.25">
      <c r="A719" s="145"/>
      <c r="B719" s="146">
        <v>2569099</v>
      </c>
      <c r="C719" s="147"/>
      <c r="D719" s="148" t="s">
        <v>940</v>
      </c>
      <c r="E719" s="149">
        <v>5.31</v>
      </c>
      <c r="F719" s="149">
        <v>2.88</v>
      </c>
      <c r="G719" s="149">
        <v>0</v>
      </c>
      <c r="H719" s="149">
        <v>0</v>
      </c>
      <c r="I719" s="150">
        <v>8.19</v>
      </c>
    </row>
    <row r="720" spans="1:9" ht="15.6" x14ac:dyDescent="0.25">
      <c r="A720" s="145"/>
      <c r="B720" s="146">
        <v>2570618</v>
      </c>
      <c r="C720" s="147"/>
      <c r="D720" s="148" t="s">
        <v>789</v>
      </c>
      <c r="E720" s="149">
        <v>5.31</v>
      </c>
      <c r="F720" s="149">
        <v>2.88</v>
      </c>
      <c r="G720" s="149">
        <v>18.260000000000002</v>
      </c>
      <c r="H720" s="149">
        <v>2.73</v>
      </c>
      <c r="I720" s="150">
        <v>29.180000000000003</v>
      </c>
    </row>
    <row r="721" spans="1:9" ht="15.6" x14ac:dyDescent="0.25">
      <c r="A721" s="145"/>
      <c r="B721" s="146">
        <v>2571187</v>
      </c>
      <c r="C721" s="147"/>
      <c r="D721" s="148" t="s">
        <v>780</v>
      </c>
      <c r="E721" s="149">
        <v>5.31</v>
      </c>
      <c r="F721" s="149">
        <v>2.88</v>
      </c>
      <c r="G721" s="149">
        <v>0</v>
      </c>
      <c r="H721" s="149">
        <v>2.73</v>
      </c>
      <c r="I721" s="150">
        <v>10.92</v>
      </c>
    </row>
    <row r="722" spans="1:9" ht="15.6" x14ac:dyDescent="0.25">
      <c r="A722" s="145"/>
      <c r="B722" s="146">
        <v>2575025</v>
      </c>
      <c r="C722" s="147"/>
      <c r="D722" s="148" t="s">
        <v>883</v>
      </c>
      <c r="E722" s="149">
        <v>5.31</v>
      </c>
      <c r="F722" s="149">
        <v>2.88</v>
      </c>
      <c r="G722" s="149">
        <v>0</v>
      </c>
      <c r="H722" s="149">
        <v>2.73</v>
      </c>
      <c r="I722" s="150">
        <v>10.92</v>
      </c>
    </row>
    <row r="723" spans="1:9" ht="15.6" x14ac:dyDescent="0.25">
      <c r="A723" s="145"/>
      <c r="B723" s="146">
        <v>2578711</v>
      </c>
      <c r="C723" s="147"/>
      <c r="D723" s="148" t="s">
        <v>745</v>
      </c>
      <c r="E723" s="149">
        <v>5.31</v>
      </c>
      <c r="F723" s="149">
        <v>2.88</v>
      </c>
      <c r="G723" s="149">
        <v>0</v>
      </c>
      <c r="H723" s="149">
        <v>2.73</v>
      </c>
      <c r="I723" s="150">
        <v>10.92</v>
      </c>
    </row>
    <row r="724" spans="1:9" ht="15.6" x14ac:dyDescent="0.25">
      <c r="A724" s="145"/>
      <c r="B724" s="146">
        <v>2579178</v>
      </c>
      <c r="C724" s="147"/>
      <c r="D724" s="148" t="s">
        <v>857</v>
      </c>
      <c r="E724" s="149">
        <v>0</v>
      </c>
      <c r="F724" s="149">
        <v>0</v>
      </c>
      <c r="G724" s="149">
        <v>0</v>
      </c>
      <c r="H724" s="149">
        <v>0</v>
      </c>
      <c r="I724" s="150">
        <v>0</v>
      </c>
    </row>
    <row r="725" spans="1:9" ht="15.6" x14ac:dyDescent="0.25">
      <c r="A725" s="145"/>
      <c r="B725" s="146">
        <v>2579963</v>
      </c>
      <c r="C725" s="147"/>
      <c r="D725" s="148" t="s">
        <v>805</v>
      </c>
      <c r="E725" s="149">
        <v>0</v>
      </c>
      <c r="F725" s="149">
        <v>0</v>
      </c>
      <c r="G725" s="149">
        <v>0</v>
      </c>
      <c r="H725" s="149">
        <v>0</v>
      </c>
      <c r="I725" s="150">
        <v>0</v>
      </c>
    </row>
    <row r="726" spans="1:9" ht="15.6" x14ac:dyDescent="0.25">
      <c r="A726" s="145"/>
      <c r="B726" s="146">
        <v>2591852</v>
      </c>
      <c r="C726" s="147"/>
      <c r="D726" s="148" t="s">
        <v>920</v>
      </c>
      <c r="E726" s="149">
        <v>0</v>
      </c>
      <c r="F726" s="149">
        <v>0</v>
      </c>
      <c r="G726" s="149">
        <v>0</v>
      </c>
      <c r="H726" s="149">
        <v>0</v>
      </c>
      <c r="I726" s="150">
        <v>0</v>
      </c>
    </row>
    <row r="727" spans="1:9" ht="15.6" x14ac:dyDescent="0.25">
      <c r="A727" s="145"/>
      <c r="B727" s="146">
        <v>2595664</v>
      </c>
      <c r="C727" s="147"/>
      <c r="D727" s="148" t="s">
        <v>895</v>
      </c>
      <c r="E727" s="149">
        <v>5.31</v>
      </c>
      <c r="F727" s="149">
        <v>2.88</v>
      </c>
      <c r="G727" s="149">
        <v>0</v>
      </c>
      <c r="H727" s="149">
        <v>2.73</v>
      </c>
      <c r="I727" s="150">
        <v>10.92</v>
      </c>
    </row>
    <row r="728" spans="1:9" ht="15.6" x14ac:dyDescent="0.25">
      <c r="A728" s="145"/>
      <c r="B728" s="146">
        <v>2596686</v>
      </c>
      <c r="C728" s="147"/>
      <c r="D728" s="148" t="s">
        <v>868</v>
      </c>
      <c r="E728" s="149">
        <v>5.31</v>
      </c>
      <c r="F728" s="149">
        <v>2.88</v>
      </c>
      <c r="G728" s="149">
        <v>0</v>
      </c>
      <c r="H728" s="149">
        <v>2.73</v>
      </c>
      <c r="I728" s="150">
        <v>10.92</v>
      </c>
    </row>
    <row r="729" spans="1:9" ht="15.6" x14ac:dyDescent="0.25">
      <c r="A729" s="145"/>
      <c r="B729" s="146">
        <v>2600543</v>
      </c>
      <c r="C729" s="147"/>
      <c r="D729" s="148" t="s">
        <v>863</v>
      </c>
      <c r="E729" s="149">
        <v>5.31</v>
      </c>
      <c r="F729" s="149">
        <v>2.88</v>
      </c>
      <c r="G729" s="149">
        <v>0</v>
      </c>
      <c r="H729" s="149">
        <v>0</v>
      </c>
      <c r="I729" s="150">
        <v>8.19</v>
      </c>
    </row>
    <row r="730" spans="1:9" ht="15.6" x14ac:dyDescent="0.25">
      <c r="A730" s="145"/>
      <c r="B730" s="146">
        <v>2603868</v>
      </c>
      <c r="C730" s="147"/>
      <c r="D730" s="148" t="s">
        <v>834</v>
      </c>
      <c r="E730" s="149">
        <v>5.31</v>
      </c>
      <c r="F730" s="149">
        <v>2.88</v>
      </c>
      <c r="G730" s="149">
        <v>0</v>
      </c>
      <c r="H730" s="149">
        <v>2.73</v>
      </c>
      <c r="I730" s="150">
        <v>10.92</v>
      </c>
    </row>
    <row r="731" spans="1:9" ht="15.6" x14ac:dyDescent="0.25">
      <c r="A731" s="145"/>
      <c r="B731" s="146">
        <v>2607495</v>
      </c>
      <c r="C731" s="147"/>
      <c r="D731" s="148" t="s">
        <v>851</v>
      </c>
      <c r="E731" s="149">
        <v>5.31</v>
      </c>
      <c r="F731" s="149">
        <v>2.88</v>
      </c>
      <c r="G731" s="149">
        <v>22.66</v>
      </c>
      <c r="H731" s="149">
        <v>2.73</v>
      </c>
      <c r="I731" s="150">
        <v>33.58</v>
      </c>
    </row>
    <row r="732" spans="1:9" ht="15.6" x14ac:dyDescent="0.25">
      <c r="A732" s="145"/>
      <c r="B732" s="146">
        <v>2613969</v>
      </c>
      <c r="C732" s="147"/>
      <c r="D732" s="148" t="s">
        <v>836</v>
      </c>
      <c r="E732" s="149">
        <v>5.31</v>
      </c>
      <c r="F732" s="149">
        <v>2.88</v>
      </c>
      <c r="G732" s="149">
        <v>0</v>
      </c>
      <c r="H732" s="149">
        <v>2.73</v>
      </c>
      <c r="I732" s="150">
        <v>10.92</v>
      </c>
    </row>
    <row r="733" spans="1:9" ht="15.6" x14ac:dyDescent="0.25">
      <c r="A733" s="145"/>
      <c r="B733" s="146">
        <v>2616268</v>
      </c>
      <c r="C733" s="147"/>
      <c r="D733" s="148" t="s">
        <v>780</v>
      </c>
      <c r="E733" s="149">
        <v>5.31</v>
      </c>
      <c r="F733" s="149">
        <v>2.88</v>
      </c>
      <c r="G733" s="149">
        <v>49.91</v>
      </c>
      <c r="H733" s="149">
        <v>2.73</v>
      </c>
      <c r="I733" s="150">
        <v>60.829999999999991</v>
      </c>
    </row>
    <row r="734" spans="1:9" ht="15.6" x14ac:dyDescent="0.25">
      <c r="A734" s="145"/>
      <c r="B734" s="146">
        <v>2626404</v>
      </c>
      <c r="C734" s="147"/>
      <c r="D734" s="148" t="s">
        <v>922</v>
      </c>
      <c r="E734" s="149">
        <v>5.31</v>
      </c>
      <c r="F734" s="149">
        <v>2.88</v>
      </c>
      <c r="G734" s="149">
        <v>0</v>
      </c>
      <c r="H734" s="149">
        <v>2.73</v>
      </c>
      <c r="I734" s="150">
        <v>10.92</v>
      </c>
    </row>
    <row r="735" spans="1:9" ht="15.6" x14ac:dyDescent="0.25">
      <c r="A735" s="145"/>
      <c r="B735" s="146">
        <v>2627987</v>
      </c>
      <c r="C735" s="147"/>
      <c r="D735" s="148" t="s">
        <v>779</v>
      </c>
      <c r="E735" s="149">
        <v>5.31</v>
      </c>
      <c r="F735" s="149">
        <v>2.88</v>
      </c>
      <c r="G735" s="149">
        <v>0</v>
      </c>
      <c r="H735" s="149">
        <v>2.73</v>
      </c>
      <c r="I735" s="150">
        <v>10.92</v>
      </c>
    </row>
    <row r="736" spans="1:9" ht="15.6" x14ac:dyDescent="0.25">
      <c r="A736" s="145"/>
      <c r="B736" s="146">
        <v>2630688</v>
      </c>
      <c r="C736" s="147"/>
      <c r="D736" s="148" t="s">
        <v>908</v>
      </c>
      <c r="E736" s="149">
        <v>5.31</v>
      </c>
      <c r="F736" s="149">
        <v>2.88</v>
      </c>
      <c r="G736" s="149">
        <v>0</v>
      </c>
      <c r="H736" s="149">
        <v>2.73</v>
      </c>
      <c r="I736" s="150">
        <v>10.92</v>
      </c>
    </row>
    <row r="737" spans="1:9" ht="15.6" x14ac:dyDescent="0.25">
      <c r="A737" s="145"/>
      <c r="B737" s="146">
        <v>2639627</v>
      </c>
      <c r="C737" s="147"/>
      <c r="D737" s="148" t="s">
        <v>825</v>
      </c>
      <c r="E737" s="149">
        <v>5.31</v>
      </c>
      <c r="F737" s="149">
        <v>2.88</v>
      </c>
      <c r="G737" s="149">
        <v>0</v>
      </c>
      <c r="H737" s="149">
        <v>2.73</v>
      </c>
      <c r="I737" s="150">
        <v>10.92</v>
      </c>
    </row>
    <row r="738" spans="1:9" ht="15.6" x14ac:dyDescent="0.25">
      <c r="A738" s="145"/>
      <c r="B738" s="146">
        <v>2639873</v>
      </c>
      <c r="C738" s="147"/>
      <c r="D738" s="148" t="s">
        <v>868</v>
      </c>
      <c r="E738" s="149">
        <v>5.31</v>
      </c>
      <c r="F738" s="149">
        <v>2.88</v>
      </c>
      <c r="G738" s="149">
        <v>0</v>
      </c>
      <c r="H738" s="149">
        <v>2.73</v>
      </c>
      <c r="I738" s="150">
        <v>10.92</v>
      </c>
    </row>
    <row r="739" spans="1:9" ht="15.6" x14ac:dyDescent="0.25">
      <c r="A739" s="145"/>
      <c r="B739" s="146">
        <v>2650558</v>
      </c>
      <c r="C739" s="147"/>
      <c r="D739" s="148" t="s">
        <v>764</v>
      </c>
      <c r="E739" s="149">
        <v>5.31</v>
      </c>
      <c r="F739" s="149">
        <v>2.88</v>
      </c>
      <c r="G739" s="149">
        <v>0</v>
      </c>
      <c r="H739" s="149">
        <v>2.73</v>
      </c>
      <c r="I739" s="150">
        <v>10.92</v>
      </c>
    </row>
    <row r="740" spans="1:9" ht="15.6" x14ac:dyDescent="0.25">
      <c r="A740" s="145"/>
      <c r="B740" s="146">
        <v>2661225</v>
      </c>
      <c r="C740" s="147"/>
      <c r="D740" s="148" t="s">
        <v>825</v>
      </c>
      <c r="E740" s="149">
        <v>5.31</v>
      </c>
      <c r="F740" s="149">
        <v>2.88</v>
      </c>
      <c r="G740" s="149">
        <v>0</v>
      </c>
      <c r="H740" s="149">
        <v>2.73</v>
      </c>
      <c r="I740" s="150">
        <v>10.92</v>
      </c>
    </row>
    <row r="741" spans="1:9" ht="15.6" x14ac:dyDescent="0.25">
      <c r="A741" s="145"/>
      <c r="B741" s="146">
        <v>2663392</v>
      </c>
      <c r="C741" s="147"/>
      <c r="D741" s="148" t="s">
        <v>816</v>
      </c>
      <c r="E741" s="149">
        <v>5.31</v>
      </c>
      <c r="F741" s="149">
        <v>2.88</v>
      </c>
      <c r="G741" s="149">
        <v>0</v>
      </c>
      <c r="H741" s="149">
        <v>2.73</v>
      </c>
      <c r="I741" s="150">
        <v>10.92</v>
      </c>
    </row>
    <row r="742" spans="1:9" ht="15.6" x14ac:dyDescent="0.25">
      <c r="A742" s="145"/>
      <c r="B742" s="146">
        <v>2686299</v>
      </c>
      <c r="C742" s="147"/>
      <c r="D742" s="148" t="s">
        <v>860</v>
      </c>
      <c r="E742" s="149">
        <v>5.31</v>
      </c>
      <c r="F742" s="149">
        <v>2.88</v>
      </c>
      <c r="G742" s="149">
        <v>0</v>
      </c>
      <c r="H742" s="149">
        <v>2.73</v>
      </c>
      <c r="I742" s="150">
        <v>10.92</v>
      </c>
    </row>
    <row r="743" spans="1:9" ht="15.6" x14ac:dyDescent="0.25">
      <c r="A743" s="145"/>
      <c r="B743" s="146">
        <v>2686412</v>
      </c>
      <c r="C743" s="147"/>
      <c r="D743" s="148" t="s">
        <v>801</v>
      </c>
      <c r="E743" s="149">
        <v>0</v>
      </c>
      <c r="F743" s="149">
        <v>0</v>
      </c>
      <c r="G743" s="149">
        <v>0</v>
      </c>
      <c r="H743" s="149">
        <v>0</v>
      </c>
      <c r="I743" s="150">
        <v>0</v>
      </c>
    </row>
    <row r="744" spans="1:9" ht="15.6" x14ac:dyDescent="0.25">
      <c r="A744" s="145"/>
      <c r="B744" s="146">
        <v>2689298</v>
      </c>
      <c r="C744" s="147"/>
      <c r="D744" s="148" t="s">
        <v>857</v>
      </c>
      <c r="E744" s="149">
        <v>0</v>
      </c>
      <c r="F744" s="149">
        <v>0</v>
      </c>
      <c r="G744" s="149">
        <v>0</v>
      </c>
      <c r="H744" s="149">
        <v>0</v>
      </c>
      <c r="I744" s="150">
        <v>0</v>
      </c>
    </row>
    <row r="745" spans="1:9" ht="15.6" x14ac:dyDescent="0.25">
      <c r="A745" s="145"/>
      <c r="B745" s="146">
        <v>2692977</v>
      </c>
      <c r="C745" s="147"/>
      <c r="D745" s="148" t="s">
        <v>855</v>
      </c>
      <c r="E745" s="149">
        <v>5.31</v>
      </c>
      <c r="F745" s="149">
        <v>2.88</v>
      </c>
      <c r="G745" s="149">
        <v>0</v>
      </c>
      <c r="H745" s="149">
        <v>2.73</v>
      </c>
      <c r="I745" s="150">
        <v>10.92</v>
      </c>
    </row>
    <row r="746" spans="1:9" ht="15.6" x14ac:dyDescent="0.25">
      <c r="A746" s="145"/>
      <c r="B746" s="146">
        <v>2693684</v>
      </c>
      <c r="C746" s="147"/>
      <c r="D746" s="148" t="s">
        <v>818</v>
      </c>
      <c r="E746" s="149">
        <v>5.31</v>
      </c>
      <c r="F746" s="149">
        <v>2.88</v>
      </c>
      <c r="G746" s="149">
        <v>0</v>
      </c>
      <c r="H746" s="149">
        <v>2.73</v>
      </c>
      <c r="I746" s="150">
        <v>10.92</v>
      </c>
    </row>
    <row r="747" spans="1:9" ht="15.6" x14ac:dyDescent="0.25">
      <c r="A747" s="145"/>
      <c r="B747" s="146">
        <v>2696229</v>
      </c>
      <c r="C747" s="147"/>
      <c r="D747" s="148" t="s">
        <v>823</v>
      </c>
      <c r="E747" s="149">
        <v>5.31</v>
      </c>
      <c r="F747" s="149">
        <v>2.88</v>
      </c>
      <c r="G747" s="149">
        <v>0</v>
      </c>
      <c r="H747" s="149">
        <v>2.73</v>
      </c>
      <c r="I747" s="150">
        <v>10.92</v>
      </c>
    </row>
    <row r="748" spans="1:9" ht="15.6" x14ac:dyDescent="0.25">
      <c r="A748" s="145"/>
      <c r="B748" s="146">
        <v>2696797</v>
      </c>
      <c r="C748" s="147"/>
      <c r="D748" s="148" t="s">
        <v>746</v>
      </c>
      <c r="E748" s="149">
        <v>5.31</v>
      </c>
      <c r="F748" s="149">
        <v>2.88</v>
      </c>
      <c r="G748" s="149">
        <v>0</v>
      </c>
      <c r="H748" s="149">
        <v>2.73</v>
      </c>
      <c r="I748" s="150">
        <v>10.92</v>
      </c>
    </row>
    <row r="749" spans="1:9" ht="15.6" x14ac:dyDescent="0.25">
      <c r="A749" s="145"/>
      <c r="B749" s="146">
        <v>2698605</v>
      </c>
      <c r="C749" s="147"/>
      <c r="D749" s="148" t="s">
        <v>873</v>
      </c>
      <c r="E749" s="149">
        <v>5.31</v>
      </c>
      <c r="F749" s="149">
        <v>2.88</v>
      </c>
      <c r="G749" s="149">
        <v>0</v>
      </c>
      <c r="H749" s="149">
        <v>2.73</v>
      </c>
      <c r="I749" s="150">
        <v>10.92</v>
      </c>
    </row>
    <row r="750" spans="1:9" ht="15.6" x14ac:dyDescent="0.25">
      <c r="A750" s="145"/>
      <c r="B750" s="146">
        <v>2704408</v>
      </c>
      <c r="C750" s="147"/>
      <c r="D750" s="148" t="s">
        <v>921</v>
      </c>
      <c r="E750" s="149">
        <v>5.31</v>
      </c>
      <c r="F750" s="149">
        <v>2.88</v>
      </c>
      <c r="G750" s="149">
        <v>0</v>
      </c>
      <c r="H750" s="149">
        <v>2.73</v>
      </c>
      <c r="I750" s="150">
        <v>10.92</v>
      </c>
    </row>
    <row r="751" spans="1:9" ht="15.6" x14ac:dyDescent="0.25">
      <c r="A751" s="145"/>
      <c r="B751" s="146">
        <v>2719901</v>
      </c>
      <c r="C751" s="147"/>
      <c r="D751" s="148" t="s">
        <v>936</v>
      </c>
      <c r="E751" s="149">
        <v>5.31</v>
      </c>
      <c r="F751" s="149">
        <v>2.88</v>
      </c>
      <c r="G751" s="149">
        <v>0</v>
      </c>
      <c r="H751" s="149">
        <v>2.73</v>
      </c>
      <c r="I751" s="150">
        <v>10.92</v>
      </c>
    </row>
    <row r="752" spans="1:9" ht="15.6" x14ac:dyDescent="0.25">
      <c r="A752" s="145"/>
      <c r="B752" s="146">
        <v>2726814</v>
      </c>
      <c r="C752" s="147"/>
      <c r="D752" s="148" t="s">
        <v>784</v>
      </c>
      <c r="E752" s="149">
        <v>0</v>
      </c>
      <c r="F752" s="149">
        <v>0</v>
      </c>
      <c r="G752" s="149">
        <v>0</v>
      </c>
      <c r="H752" s="149">
        <v>0</v>
      </c>
      <c r="I752" s="150">
        <v>0</v>
      </c>
    </row>
    <row r="753" spans="1:9" ht="15.6" x14ac:dyDescent="0.25">
      <c r="A753" s="145"/>
      <c r="B753" s="146">
        <v>2730022</v>
      </c>
      <c r="C753" s="147"/>
      <c r="D753" s="148" t="s">
        <v>773</v>
      </c>
      <c r="E753" s="149">
        <v>5.31</v>
      </c>
      <c r="F753" s="149">
        <v>2.88</v>
      </c>
      <c r="G753" s="149">
        <v>0</v>
      </c>
      <c r="H753" s="149">
        <v>2.73</v>
      </c>
      <c r="I753" s="150">
        <v>10.92</v>
      </c>
    </row>
    <row r="754" spans="1:9" ht="15.6" x14ac:dyDescent="0.25">
      <c r="A754" s="145"/>
      <c r="B754" s="146">
        <v>2731718</v>
      </c>
      <c r="C754" s="147"/>
      <c r="D754" s="148" t="s">
        <v>919</v>
      </c>
      <c r="E754" s="149">
        <v>5.31</v>
      </c>
      <c r="F754" s="149">
        <v>2.88</v>
      </c>
      <c r="G754" s="149">
        <v>0</v>
      </c>
      <c r="H754" s="149">
        <v>2.73</v>
      </c>
      <c r="I754" s="150">
        <v>10.92</v>
      </c>
    </row>
    <row r="755" spans="1:9" ht="15.6" x14ac:dyDescent="0.25">
      <c r="A755" s="145"/>
      <c r="B755" s="146">
        <v>2738645</v>
      </c>
      <c r="C755" s="147"/>
      <c r="D755" s="148" t="s">
        <v>789</v>
      </c>
      <c r="E755" s="149">
        <v>5.31</v>
      </c>
      <c r="F755" s="149">
        <v>2.88</v>
      </c>
      <c r="G755" s="149">
        <v>18.260000000000002</v>
      </c>
      <c r="H755" s="149">
        <v>2.73</v>
      </c>
      <c r="I755" s="150">
        <v>29.180000000000003</v>
      </c>
    </row>
    <row r="756" spans="1:9" ht="15.6" x14ac:dyDescent="0.25">
      <c r="A756" s="145"/>
      <c r="B756" s="146">
        <v>2742292</v>
      </c>
      <c r="C756" s="147"/>
      <c r="D756" s="148" t="s">
        <v>865</v>
      </c>
      <c r="E756" s="149">
        <v>5.31</v>
      </c>
      <c r="F756" s="149">
        <v>2.88</v>
      </c>
      <c r="G756" s="149">
        <v>0</v>
      </c>
      <c r="H756" s="149">
        <v>2.73</v>
      </c>
      <c r="I756" s="150">
        <v>10.92</v>
      </c>
    </row>
    <row r="757" spans="1:9" ht="15.6" x14ac:dyDescent="0.25">
      <c r="A757" s="145"/>
      <c r="B757" s="146">
        <v>2746608</v>
      </c>
      <c r="C757" s="147"/>
      <c r="D757" s="148" t="s">
        <v>868</v>
      </c>
      <c r="E757" s="149">
        <v>5.31</v>
      </c>
      <c r="F757" s="149">
        <v>2.88</v>
      </c>
      <c r="G757" s="149">
        <v>0</v>
      </c>
      <c r="H757" s="149">
        <v>2.73</v>
      </c>
      <c r="I757" s="150">
        <v>10.92</v>
      </c>
    </row>
    <row r="758" spans="1:9" ht="15.6" x14ac:dyDescent="0.25">
      <c r="A758" s="145"/>
      <c r="B758" s="146">
        <v>2753933</v>
      </c>
      <c r="C758" s="147"/>
      <c r="D758" s="148" t="s">
        <v>778</v>
      </c>
      <c r="E758" s="149">
        <v>5.31</v>
      </c>
      <c r="F758" s="149">
        <v>2.88</v>
      </c>
      <c r="G758" s="149">
        <v>0</v>
      </c>
      <c r="H758" s="149">
        <v>2.73</v>
      </c>
      <c r="I758" s="150">
        <v>10.92</v>
      </c>
    </row>
    <row r="759" spans="1:9" ht="15.6" x14ac:dyDescent="0.25">
      <c r="A759" s="145"/>
      <c r="B759" s="146">
        <v>2754696</v>
      </c>
      <c r="C759" s="147"/>
      <c r="D759" s="148" t="s">
        <v>885</v>
      </c>
      <c r="E759" s="149">
        <v>5.31</v>
      </c>
      <c r="F759" s="149">
        <v>2.88</v>
      </c>
      <c r="G759" s="149">
        <v>0</v>
      </c>
      <c r="H759" s="149">
        <v>2.73</v>
      </c>
      <c r="I759" s="150">
        <v>10.92</v>
      </c>
    </row>
    <row r="760" spans="1:9" ht="15.6" x14ac:dyDescent="0.25">
      <c r="A760" s="145"/>
      <c r="B760" s="146">
        <v>2756056</v>
      </c>
      <c r="C760" s="147"/>
      <c r="D760" s="148" t="s">
        <v>771</v>
      </c>
      <c r="E760" s="149">
        <v>5.31</v>
      </c>
      <c r="F760" s="149">
        <v>2.88</v>
      </c>
      <c r="G760" s="149">
        <v>0</v>
      </c>
      <c r="H760" s="149">
        <v>2.73</v>
      </c>
      <c r="I760" s="150">
        <v>10.92</v>
      </c>
    </row>
    <row r="761" spans="1:9" ht="15.6" x14ac:dyDescent="0.25">
      <c r="A761" s="145"/>
      <c r="B761" s="146">
        <v>2760435</v>
      </c>
      <c r="C761" s="147"/>
      <c r="D761" s="148" t="s">
        <v>857</v>
      </c>
      <c r="E761" s="149">
        <v>0</v>
      </c>
      <c r="F761" s="149">
        <v>0</v>
      </c>
      <c r="G761" s="149">
        <v>0</v>
      </c>
      <c r="H761" s="149">
        <v>0</v>
      </c>
      <c r="I761" s="150">
        <v>0</v>
      </c>
    </row>
    <row r="762" spans="1:9" ht="15.6" x14ac:dyDescent="0.25">
      <c r="A762" s="145"/>
      <c r="B762" s="146">
        <v>2792851</v>
      </c>
      <c r="C762" s="147"/>
      <c r="D762" s="148" t="s">
        <v>925</v>
      </c>
      <c r="E762" s="149">
        <v>5.31</v>
      </c>
      <c r="F762" s="149">
        <v>2.88</v>
      </c>
      <c r="G762" s="149">
        <v>0</v>
      </c>
      <c r="H762" s="149">
        <v>0</v>
      </c>
      <c r="I762" s="150">
        <v>8.19</v>
      </c>
    </row>
    <row r="763" spans="1:9" ht="15.6" x14ac:dyDescent="0.25">
      <c r="A763" s="145"/>
      <c r="B763" s="146">
        <v>2794631</v>
      </c>
      <c r="C763" s="147"/>
      <c r="D763" s="148" t="s">
        <v>864</v>
      </c>
      <c r="E763" s="149">
        <v>5.31</v>
      </c>
      <c r="F763" s="149">
        <v>2.88</v>
      </c>
      <c r="G763" s="149">
        <v>0</v>
      </c>
      <c r="H763" s="149">
        <v>2.73</v>
      </c>
      <c r="I763" s="150">
        <v>10.92</v>
      </c>
    </row>
    <row r="764" spans="1:9" ht="15.6" x14ac:dyDescent="0.25">
      <c r="A764" s="145"/>
      <c r="B764" s="146">
        <v>2796270</v>
      </c>
      <c r="C764" s="147"/>
      <c r="D764" s="148" t="s">
        <v>807</v>
      </c>
      <c r="E764" s="149">
        <v>0</v>
      </c>
      <c r="F764" s="149">
        <v>0</v>
      </c>
      <c r="G764" s="149">
        <v>0</v>
      </c>
      <c r="H764" s="149">
        <v>0</v>
      </c>
      <c r="I764" s="150">
        <v>0</v>
      </c>
    </row>
    <row r="765" spans="1:9" ht="15.6" x14ac:dyDescent="0.25">
      <c r="A765" s="145"/>
      <c r="B765" s="146">
        <v>2798452</v>
      </c>
      <c r="C765" s="147"/>
      <c r="D765" s="148" t="s">
        <v>751</v>
      </c>
      <c r="E765" s="149">
        <v>0</v>
      </c>
      <c r="F765" s="149">
        <v>0</v>
      </c>
      <c r="G765" s="149">
        <v>0</v>
      </c>
      <c r="H765" s="149">
        <v>0</v>
      </c>
      <c r="I765" s="150">
        <v>0</v>
      </c>
    </row>
    <row r="766" spans="1:9" ht="15.6" x14ac:dyDescent="0.25">
      <c r="A766" s="145"/>
      <c r="B766" s="146">
        <v>2798765</v>
      </c>
      <c r="C766" s="147"/>
      <c r="D766" s="148" t="s">
        <v>868</v>
      </c>
      <c r="E766" s="149">
        <v>5.31</v>
      </c>
      <c r="F766" s="149">
        <v>2.88</v>
      </c>
      <c r="G766" s="149">
        <v>0</v>
      </c>
      <c r="H766" s="149">
        <v>2.73</v>
      </c>
      <c r="I766" s="150">
        <v>10.92</v>
      </c>
    </row>
    <row r="767" spans="1:9" ht="15.6" x14ac:dyDescent="0.25">
      <c r="A767" s="145"/>
      <c r="B767" s="146">
        <v>2800387</v>
      </c>
      <c r="C767" s="147"/>
      <c r="D767" s="148" t="s">
        <v>789</v>
      </c>
      <c r="E767" s="149">
        <v>5.31</v>
      </c>
      <c r="F767" s="149">
        <v>2.88</v>
      </c>
      <c r="G767" s="149">
        <v>18.260000000000002</v>
      </c>
      <c r="H767" s="149">
        <v>2.73</v>
      </c>
      <c r="I767" s="150">
        <v>29.180000000000003</v>
      </c>
    </row>
    <row r="768" spans="1:9" ht="15.6" x14ac:dyDescent="0.25">
      <c r="A768" s="145"/>
      <c r="B768" s="146">
        <v>2801413</v>
      </c>
      <c r="C768" s="147"/>
      <c r="D768" s="148" t="s">
        <v>868</v>
      </c>
      <c r="E768" s="149">
        <v>5.31</v>
      </c>
      <c r="F768" s="149">
        <v>2.88</v>
      </c>
      <c r="G768" s="149">
        <v>0</v>
      </c>
      <c r="H768" s="149">
        <v>2.73</v>
      </c>
      <c r="I768" s="150">
        <v>10.92</v>
      </c>
    </row>
    <row r="769" spans="1:9" ht="15.6" x14ac:dyDescent="0.25">
      <c r="A769" s="145"/>
      <c r="B769" s="146">
        <v>2804436</v>
      </c>
      <c r="C769" s="147"/>
      <c r="D769" s="148" t="s">
        <v>789</v>
      </c>
      <c r="E769" s="149">
        <v>5.31</v>
      </c>
      <c r="F769" s="149">
        <v>2.88</v>
      </c>
      <c r="G769" s="149">
        <v>32.92</v>
      </c>
      <c r="H769" s="149">
        <v>2.73</v>
      </c>
      <c r="I769" s="150">
        <v>43.839999999999996</v>
      </c>
    </row>
    <row r="770" spans="1:9" ht="15.6" x14ac:dyDescent="0.25">
      <c r="A770" s="145"/>
      <c r="B770" s="146">
        <v>2805504</v>
      </c>
      <c r="C770" s="147"/>
      <c r="D770" s="148" t="s">
        <v>845</v>
      </c>
      <c r="E770" s="149">
        <v>5.31</v>
      </c>
      <c r="F770" s="149">
        <v>2.88</v>
      </c>
      <c r="G770" s="149">
        <v>0</v>
      </c>
      <c r="H770" s="149">
        <v>2.73</v>
      </c>
      <c r="I770" s="150">
        <v>10.92</v>
      </c>
    </row>
    <row r="771" spans="1:9" ht="15.6" x14ac:dyDescent="0.25">
      <c r="A771" s="145"/>
      <c r="B771" s="146">
        <v>2806383</v>
      </c>
      <c r="C771" s="147"/>
      <c r="D771" s="148" t="s">
        <v>885</v>
      </c>
      <c r="E771" s="149">
        <v>5.31</v>
      </c>
      <c r="F771" s="149">
        <v>2.88</v>
      </c>
      <c r="G771" s="149">
        <v>0</v>
      </c>
      <c r="H771" s="149">
        <v>2.73</v>
      </c>
      <c r="I771" s="150">
        <v>10.92</v>
      </c>
    </row>
    <row r="772" spans="1:9" ht="15.6" x14ac:dyDescent="0.25">
      <c r="A772" s="145"/>
      <c r="B772" s="146">
        <v>2813815</v>
      </c>
      <c r="C772" s="147"/>
      <c r="D772" s="148" t="s">
        <v>873</v>
      </c>
      <c r="E772" s="149">
        <v>5.31</v>
      </c>
      <c r="F772" s="149">
        <v>2.88</v>
      </c>
      <c r="G772" s="149">
        <v>0</v>
      </c>
      <c r="H772" s="149">
        <v>2.73</v>
      </c>
      <c r="I772" s="150">
        <v>10.92</v>
      </c>
    </row>
    <row r="773" spans="1:9" ht="15.6" x14ac:dyDescent="0.25">
      <c r="A773" s="145"/>
      <c r="B773" s="146">
        <v>2815548</v>
      </c>
      <c r="C773" s="147"/>
      <c r="D773" s="148" t="s">
        <v>873</v>
      </c>
      <c r="E773" s="149">
        <v>5.31</v>
      </c>
      <c r="F773" s="149">
        <v>2.88</v>
      </c>
      <c r="G773" s="149">
        <v>0</v>
      </c>
      <c r="H773" s="149">
        <v>2.73</v>
      </c>
      <c r="I773" s="150">
        <v>10.92</v>
      </c>
    </row>
    <row r="774" spans="1:9" ht="15.6" x14ac:dyDescent="0.25">
      <c r="A774" s="145"/>
      <c r="B774" s="146">
        <v>2818616</v>
      </c>
      <c r="C774" s="147"/>
      <c r="D774" s="148" t="s">
        <v>862</v>
      </c>
      <c r="E774" s="149">
        <v>5.31</v>
      </c>
      <c r="F774" s="149">
        <v>2.88</v>
      </c>
      <c r="G774" s="149">
        <v>0</v>
      </c>
      <c r="H774" s="149">
        <v>2.73</v>
      </c>
      <c r="I774" s="150">
        <v>10.92</v>
      </c>
    </row>
    <row r="775" spans="1:9" ht="15.6" x14ac:dyDescent="0.25">
      <c r="A775" s="145"/>
      <c r="B775" s="146">
        <v>2822973</v>
      </c>
      <c r="C775" s="147"/>
      <c r="D775" s="148" t="s">
        <v>865</v>
      </c>
      <c r="E775" s="149">
        <v>5.31</v>
      </c>
      <c r="F775" s="149">
        <v>2.88</v>
      </c>
      <c r="G775" s="149">
        <v>0</v>
      </c>
      <c r="H775" s="149">
        <v>2.73</v>
      </c>
      <c r="I775" s="150">
        <v>10.92</v>
      </c>
    </row>
    <row r="776" spans="1:9" ht="15.6" x14ac:dyDescent="0.25">
      <c r="A776" s="145"/>
      <c r="B776" s="146">
        <v>2823301</v>
      </c>
      <c r="C776" s="147"/>
      <c r="D776" s="148" t="s">
        <v>868</v>
      </c>
      <c r="E776" s="149">
        <v>5.31</v>
      </c>
      <c r="F776" s="149">
        <v>2.88</v>
      </c>
      <c r="G776" s="149">
        <v>0</v>
      </c>
      <c r="H776" s="149">
        <v>2.73</v>
      </c>
      <c r="I776" s="150">
        <v>10.92</v>
      </c>
    </row>
    <row r="777" spans="1:9" ht="15.6" x14ac:dyDescent="0.25">
      <c r="A777" s="145"/>
      <c r="B777" s="146">
        <v>2834875</v>
      </c>
      <c r="C777" s="147"/>
      <c r="D777" s="148" t="s">
        <v>866</v>
      </c>
      <c r="E777" s="149">
        <v>5.31</v>
      </c>
      <c r="F777" s="149">
        <v>2.88</v>
      </c>
      <c r="G777" s="149">
        <v>0</v>
      </c>
      <c r="H777" s="149">
        <v>2.73</v>
      </c>
      <c r="I777" s="150">
        <v>10.92</v>
      </c>
    </row>
    <row r="778" spans="1:9" ht="15.6" x14ac:dyDescent="0.25">
      <c r="A778" s="145"/>
      <c r="B778" s="146">
        <v>2836935</v>
      </c>
      <c r="C778" s="147"/>
      <c r="D778" s="148" t="s">
        <v>821</v>
      </c>
      <c r="E778" s="149">
        <v>5.31</v>
      </c>
      <c r="F778" s="149">
        <v>2.88</v>
      </c>
      <c r="G778" s="149">
        <v>0</v>
      </c>
      <c r="H778" s="149">
        <v>2.73</v>
      </c>
      <c r="I778" s="150">
        <v>10.92</v>
      </c>
    </row>
    <row r="779" spans="1:9" ht="15.6" x14ac:dyDescent="0.25">
      <c r="A779" s="145"/>
      <c r="B779" s="146">
        <v>2844386</v>
      </c>
      <c r="C779" s="147"/>
      <c r="D779" s="148" t="s">
        <v>790</v>
      </c>
      <c r="E779" s="149">
        <v>5.31</v>
      </c>
      <c r="F779" s="149">
        <v>2.88</v>
      </c>
      <c r="G779" s="149">
        <v>18.260000000000002</v>
      </c>
      <c r="H779" s="149">
        <v>2.73</v>
      </c>
      <c r="I779" s="150">
        <v>29.180000000000003</v>
      </c>
    </row>
    <row r="780" spans="1:9" ht="15.6" x14ac:dyDescent="0.25">
      <c r="A780" s="145"/>
      <c r="B780" s="146">
        <v>2856358</v>
      </c>
      <c r="C780" s="147"/>
      <c r="D780" s="148" t="s">
        <v>789</v>
      </c>
      <c r="E780" s="149">
        <v>5.31</v>
      </c>
      <c r="F780" s="149">
        <v>2.88</v>
      </c>
      <c r="G780" s="149">
        <v>18.260000000000002</v>
      </c>
      <c r="H780" s="149">
        <v>2.73</v>
      </c>
      <c r="I780" s="150">
        <v>29.180000000000003</v>
      </c>
    </row>
    <row r="781" spans="1:9" ht="15.6" x14ac:dyDescent="0.25">
      <c r="A781" s="145"/>
      <c r="B781" s="146">
        <v>2860823</v>
      </c>
      <c r="C781" s="147"/>
      <c r="D781" s="148" t="s">
        <v>789</v>
      </c>
      <c r="E781" s="149">
        <v>5.31</v>
      </c>
      <c r="F781" s="149">
        <v>2.88</v>
      </c>
      <c r="G781" s="149">
        <v>24.03</v>
      </c>
      <c r="H781" s="149">
        <v>2.73</v>
      </c>
      <c r="I781" s="150">
        <v>34.949999999999996</v>
      </c>
    </row>
    <row r="782" spans="1:9" ht="15.6" x14ac:dyDescent="0.25">
      <c r="A782" s="145"/>
      <c r="B782" s="146">
        <v>2869279</v>
      </c>
      <c r="C782" s="147"/>
      <c r="D782" s="148" t="s">
        <v>851</v>
      </c>
      <c r="E782" s="149">
        <v>5.31</v>
      </c>
      <c r="F782" s="149">
        <v>2.88</v>
      </c>
      <c r="G782" s="149">
        <v>22.66</v>
      </c>
      <c r="H782" s="149">
        <v>2.73</v>
      </c>
      <c r="I782" s="150">
        <v>33.58</v>
      </c>
    </row>
    <row r="783" spans="1:9" ht="15.6" x14ac:dyDescent="0.25">
      <c r="A783" s="145"/>
      <c r="B783" s="146">
        <v>2871422</v>
      </c>
      <c r="C783" s="147"/>
      <c r="D783" s="148" t="s">
        <v>945</v>
      </c>
      <c r="E783" s="149">
        <v>0</v>
      </c>
      <c r="F783" s="149">
        <v>0</v>
      </c>
      <c r="G783" s="149">
        <v>0</v>
      </c>
      <c r="H783" s="149">
        <v>0</v>
      </c>
      <c r="I783" s="150">
        <v>0</v>
      </c>
    </row>
    <row r="784" spans="1:9" ht="15.6" x14ac:dyDescent="0.25">
      <c r="A784" s="145"/>
      <c r="B784" s="146">
        <v>2874682</v>
      </c>
      <c r="C784" s="147"/>
      <c r="D784" s="148" t="s">
        <v>868</v>
      </c>
      <c r="E784" s="149">
        <v>5.31</v>
      </c>
      <c r="F784" s="149">
        <v>2.88</v>
      </c>
      <c r="G784" s="149">
        <v>0</v>
      </c>
      <c r="H784" s="149">
        <v>2.73</v>
      </c>
      <c r="I784" s="150">
        <v>10.92</v>
      </c>
    </row>
    <row r="785" spans="1:9" ht="15.6" x14ac:dyDescent="0.25">
      <c r="A785" s="145"/>
      <c r="B785" s="146">
        <v>2888699</v>
      </c>
      <c r="C785" s="147"/>
      <c r="D785" s="148" t="s">
        <v>763</v>
      </c>
      <c r="E785" s="149">
        <v>5.31</v>
      </c>
      <c r="F785" s="149">
        <v>0</v>
      </c>
      <c r="G785" s="149">
        <v>0</v>
      </c>
      <c r="H785" s="149">
        <v>0</v>
      </c>
      <c r="I785" s="150">
        <v>5.31</v>
      </c>
    </row>
    <row r="786" spans="1:9" ht="15.6" x14ac:dyDescent="0.25">
      <c r="A786" s="145"/>
      <c r="B786" s="146">
        <v>2890293</v>
      </c>
      <c r="C786" s="147"/>
      <c r="D786" s="148" t="s">
        <v>851</v>
      </c>
      <c r="E786" s="149">
        <v>5.31</v>
      </c>
      <c r="F786" s="149">
        <v>2.88</v>
      </c>
      <c r="G786" s="149">
        <v>22.66</v>
      </c>
      <c r="H786" s="149">
        <v>2.73</v>
      </c>
      <c r="I786" s="150">
        <v>33.58</v>
      </c>
    </row>
    <row r="787" spans="1:9" ht="15.6" x14ac:dyDescent="0.25">
      <c r="A787" s="145"/>
      <c r="B787" s="146">
        <v>2890639</v>
      </c>
      <c r="C787" s="147"/>
      <c r="D787" s="148" t="s">
        <v>858</v>
      </c>
      <c r="E787" s="149">
        <v>5.31</v>
      </c>
      <c r="F787" s="149">
        <v>2.88</v>
      </c>
      <c r="G787" s="149">
        <v>0</v>
      </c>
      <c r="H787" s="149">
        <v>2.73</v>
      </c>
      <c r="I787" s="150">
        <v>10.92</v>
      </c>
    </row>
    <row r="788" spans="1:9" ht="15.6" x14ac:dyDescent="0.25">
      <c r="A788" s="145"/>
      <c r="B788" s="146">
        <v>2891745</v>
      </c>
      <c r="C788" s="147"/>
      <c r="D788" s="148" t="s">
        <v>892</v>
      </c>
      <c r="E788" s="149">
        <v>5.31</v>
      </c>
      <c r="F788" s="149">
        <v>2.88</v>
      </c>
      <c r="G788" s="149">
        <v>0</v>
      </c>
      <c r="H788" s="149">
        <v>2.73</v>
      </c>
      <c r="I788" s="150">
        <v>10.92</v>
      </c>
    </row>
    <row r="789" spans="1:9" ht="15.6" x14ac:dyDescent="0.25">
      <c r="A789" s="145"/>
      <c r="B789" s="146">
        <v>2894260</v>
      </c>
      <c r="C789" s="147"/>
      <c r="D789" s="148" t="s">
        <v>816</v>
      </c>
      <c r="E789" s="149">
        <v>5.31</v>
      </c>
      <c r="F789" s="149">
        <v>2.88</v>
      </c>
      <c r="G789" s="149">
        <v>0</v>
      </c>
      <c r="H789" s="149">
        <v>2.73</v>
      </c>
      <c r="I789" s="150">
        <v>10.92</v>
      </c>
    </row>
    <row r="790" spans="1:9" ht="15.6" x14ac:dyDescent="0.25">
      <c r="A790" s="145"/>
      <c r="B790" s="146">
        <v>2896717</v>
      </c>
      <c r="C790" s="147"/>
      <c r="D790" s="148" t="s">
        <v>841</v>
      </c>
      <c r="E790" s="149">
        <v>5.31</v>
      </c>
      <c r="F790" s="149">
        <v>2.88</v>
      </c>
      <c r="G790" s="149">
        <v>0</v>
      </c>
      <c r="H790" s="149">
        <v>2.73</v>
      </c>
      <c r="I790" s="150">
        <v>10.92</v>
      </c>
    </row>
    <row r="791" spans="1:9" ht="15.6" x14ac:dyDescent="0.25">
      <c r="A791" s="145"/>
      <c r="B791" s="146">
        <v>2903075</v>
      </c>
      <c r="C791" s="147"/>
      <c r="D791" s="148" t="s">
        <v>812</v>
      </c>
      <c r="E791" s="149">
        <v>0</v>
      </c>
      <c r="F791" s="149">
        <v>0</v>
      </c>
      <c r="G791" s="149">
        <v>0</v>
      </c>
      <c r="H791" s="149">
        <v>0</v>
      </c>
      <c r="I791" s="150">
        <v>0</v>
      </c>
    </row>
    <row r="792" spans="1:9" ht="15.6" x14ac:dyDescent="0.25">
      <c r="A792" s="145"/>
      <c r="B792" s="146">
        <v>2910681</v>
      </c>
      <c r="C792" s="147"/>
      <c r="D792" s="148" t="s">
        <v>851</v>
      </c>
      <c r="E792" s="149">
        <v>5.31</v>
      </c>
      <c r="F792" s="149">
        <v>2.88</v>
      </c>
      <c r="G792" s="149">
        <v>22.66</v>
      </c>
      <c r="H792" s="149">
        <v>2.73</v>
      </c>
      <c r="I792" s="150">
        <v>33.58</v>
      </c>
    </row>
    <row r="793" spans="1:9" ht="15.6" x14ac:dyDescent="0.25">
      <c r="A793" s="145"/>
      <c r="B793" s="146">
        <v>2912097</v>
      </c>
      <c r="C793" s="147"/>
      <c r="D793" s="148" t="s">
        <v>915</v>
      </c>
      <c r="E793" s="149">
        <v>5.31</v>
      </c>
      <c r="F793" s="149">
        <v>2.88</v>
      </c>
      <c r="G793" s="149">
        <v>0</v>
      </c>
      <c r="H793" s="149">
        <v>2.73</v>
      </c>
      <c r="I793" s="150">
        <v>10.92</v>
      </c>
    </row>
    <row r="794" spans="1:9" ht="15.6" x14ac:dyDescent="0.25">
      <c r="A794" s="145"/>
      <c r="B794" s="146">
        <v>2916506</v>
      </c>
      <c r="C794" s="147"/>
      <c r="D794" s="148" t="s">
        <v>769</v>
      </c>
      <c r="E794" s="149">
        <v>0</v>
      </c>
      <c r="F794" s="149">
        <v>0</v>
      </c>
      <c r="G794" s="149">
        <v>0</v>
      </c>
      <c r="H794" s="149">
        <v>0</v>
      </c>
      <c r="I794" s="150">
        <v>0</v>
      </c>
    </row>
    <row r="795" spans="1:9" ht="15.6" x14ac:dyDescent="0.25">
      <c r="A795" s="145"/>
      <c r="B795" s="146">
        <v>2916537</v>
      </c>
      <c r="C795" s="147"/>
      <c r="D795" s="148" t="s">
        <v>887</v>
      </c>
      <c r="E795" s="149">
        <v>0</v>
      </c>
      <c r="F795" s="149">
        <v>0</v>
      </c>
      <c r="G795" s="149">
        <v>0</v>
      </c>
      <c r="H795" s="149">
        <v>2.73</v>
      </c>
      <c r="I795" s="150">
        <v>2.73</v>
      </c>
    </row>
    <row r="796" spans="1:9" ht="15.6" x14ac:dyDescent="0.25">
      <c r="A796" s="145"/>
      <c r="B796" s="146">
        <v>2921877</v>
      </c>
      <c r="C796" s="147"/>
      <c r="D796" s="148" t="s">
        <v>727</v>
      </c>
      <c r="E796" s="149">
        <v>0</v>
      </c>
      <c r="F796" s="149">
        <v>0</v>
      </c>
      <c r="G796" s="149">
        <v>0</v>
      </c>
      <c r="H796" s="149">
        <v>0</v>
      </c>
      <c r="I796" s="150">
        <v>0</v>
      </c>
    </row>
    <row r="797" spans="1:9" ht="15.6" x14ac:dyDescent="0.25">
      <c r="A797" s="145"/>
      <c r="B797" s="146">
        <v>2933244</v>
      </c>
      <c r="C797" s="147"/>
      <c r="D797" s="148" t="s">
        <v>898</v>
      </c>
      <c r="E797" s="149">
        <v>5.31</v>
      </c>
      <c r="F797" s="149">
        <v>2.88</v>
      </c>
      <c r="G797" s="149">
        <v>0</v>
      </c>
      <c r="H797" s="149">
        <v>2.73</v>
      </c>
      <c r="I797" s="150">
        <v>10.92</v>
      </c>
    </row>
    <row r="798" spans="1:9" ht="15.6" x14ac:dyDescent="0.25">
      <c r="A798" s="145"/>
      <c r="B798" s="146">
        <v>2933374</v>
      </c>
      <c r="C798" s="147"/>
      <c r="D798" s="148" t="s">
        <v>762</v>
      </c>
      <c r="E798" s="149">
        <v>0</v>
      </c>
      <c r="F798" s="149">
        <v>0</v>
      </c>
      <c r="G798" s="149">
        <v>0</v>
      </c>
      <c r="H798" s="149">
        <v>0</v>
      </c>
      <c r="I798" s="150">
        <v>0</v>
      </c>
    </row>
    <row r="799" spans="1:9" ht="15.6" x14ac:dyDescent="0.25">
      <c r="A799" s="145"/>
      <c r="B799" s="146">
        <v>2955712</v>
      </c>
      <c r="C799" s="147"/>
      <c r="D799" s="148" t="s">
        <v>875</v>
      </c>
      <c r="E799" s="149">
        <v>5.31</v>
      </c>
      <c r="F799" s="149">
        <v>2.88</v>
      </c>
      <c r="G799" s="149">
        <v>0</v>
      </c>
      <c r="H799" s="149">
        <v>2.73</v>
      </c>
      <c r="I799" s="150">
        <v>10.92</v>
      </c>
    </row>
    <row r="800" spans="1:9" ht="15.6" x14ac:dyDescent="0.25">
      <c r="A800" s="145"/>
      <c r="B800" s="146">
        <v>2957988</v>
      </c>
      <c r="C800" s="147"/>
      <c r="D800" s="148" t="s">
        <v>760</v>
      </c>
      <c r="E800" s="149">
        <v>0</v>
      </c>
      <c r="F800" s="149">
        <v>0</v>
      </c>
      <c r="G800" s="149">
        <v>0</v>
      </c>
      <c r="H800" s="149">
        <v>2.73</v>
      </c>
      <c r="I800" s="150">
        <v>2.73</v>
      </c>
    </row>
    <row r="801" spans="1:9" ht="15.6" x14ac:dyDescent="0.25">
      <c r="A801" s="145"/>
      <c r="B801" s="146">
        <v>2963207</v>
      </c>
      <c r="C801" s="147"/>
      <c r="D801" s="148" t="s">
        <v>748</v>
      </c>
      <c r="E801" s="149">
        <v>5.31</v>
      </c>
      <c r="F801" s="149">
        <v>2.88</v>
      </c>
      <c r="G801" s="149">
        <v>0</v>
      </c>
      <c r="H801" s="149">
        <v>2.73</v>
      </c>
      <c r="I801" s="150">
        <v>10.92</v>
      </c>
    </row>
    <row r="802" spans="1:9" ht="15.6" x14ac:dyDescent="0.25">
      <c r="A802" s="145"/>
      <c r="B802" s="146">
        <v>2965771</v>
      </c>
      <c r="C802" s="147"/>
      <c r="D802" s="148" t="s">
        <v>861</v>
      </c>
      <c r="E802" s="149">
        <v>5.31</v>
      </c>
      <c r="F802" s="149">
        <v>2.88</v>
      </c>
      <c r="G802" s="149">
        <v>0</v>
      </c>
      <c r="H802" s="149">
        <v>2.73</v>
      </c>
      <c r="I802" s="150">
        <v>10.92</v>
      </c>
    </row>
    <row r="803" spans="1:9" ht="15.6" x14ac:dyDescent="0.25">
      <c r="A803" s="145"/>
      <c r="B803" s="146">
        <v>2969088</v>
      </c>
      <c r="C803" s="147"/>
      <c r="D803" s="148" t="s">
        <v>749</v>
      </c>
      <c r="E803" s="149">
        <v>5.31</v>
      </c>
      <c r="F803" s="149">
        <v>2.88</v>
      </c>
      <c r="G803" s="149">
        <v>0</v>
      </c>
      <c r="H803" s="149">
        <v>2.73</v>
      </c>
      <c r="I803" s="150">
        <v>10.92</v>
      </c>
    </row>
    <row r="804" spans="1:9" ht="15.6" x14ac:dyDescent="0.25">
      <c r="A804" s="145"/>
      <c r="B804" s="146">
        <v>2970965</v>
      </c>
      <c r="C804" s="147"/>
      <c r="D804" s="148" t="s">
        <v>821</v>
      </c>
      <c r="E804" s="149">
        <v>5.31</v>
      </c>
      <c r="F804" s="149">
        <v>2.88</v>
      </c>
      <c r="G804" s="149">
        <v>0</v>
      </c>
      <c r="H804" s="149">
        <v>2.73</v>
      </c>
      <c r="I804" s="150">
        <v>10.92</v>
      </c>
    </row>
    <row r="805" spans="1:9" ht="15.6" x14ac:dyDescent="0.25">
      <c r="A805" s="145"/>
      <c r="B805" s="146">
        <v>2974806</v>
      </c>
      <c r="C805" s="147"/>
      <c r="D805" s="148" t="s">
        <v>857</v>
      </c>
      <c r="E805" s="149">
        <v>0</v>
      </c>
      <c r="F805" s="149">
        <v>0</v>
      </c>
      <c r="G805" s="149">
        <v>0</v>
      </c>
      <c r="H805" s="149">
        <v>0</v>
      </c>
      <c r="I805" s="150">
        <v>0</v>
      </c>
    </row>
    <row r="806" spans="1:9" ht="15.6" x14ac:dyDescent="0.25">
      <c r="A806" s="145"/>
      <c r="B806" s="146">
        <v>2978107</v>
      </c>
      <c r="C806" s="147"/>
      <c r="D806" s="148" t="s">
        <v>868</v>
      </c>
      <c r="E806" s="149">
        <v>5.31</v>
      </c>
      <c r="F806" s="149">
        <v>2.88</v>
      </c>
      <c r="G806" s="149">
        <v>0</v>
      </c>
      <c r="H806" s="149">
        <v>2.73</v>
      </c>
      <c r="I806" s="150">
        <v>10.92</v>
      </c>
    </row>
    <row r="807" spans="1:9" ht="15.6" x14ac:dyDescent="0.25">
      <c r="A807" s="145"/>
      <c r="B807" s="146">
        <v>2984701</v>
      </c>
      <c r="C807" s="147"/>
      <c r="D807" s="148" t="s">
        <v>830</v>
      </c>
      <c r="E807" s="149">
        <v>5.31</v>
      </c>
      <c r="F807" s="149">
        <v>2.88</v>
      </c>
      <c r="G807" s="149">
        <v>0</v>
      </c>
      <c r="H807" s="149">
        <v>0</v>
      </c>
      <c r="I807" s="150">
        <v>8.19</v>
      </c>
    </row>
    <row r="808" spans="1:9" ht="15.6" x14ac:dyDescent="0.25">
      <c r="A808" s="145"/>
      <c r="B808" s="146">
        <v>2985051</v>
      </c>
      <c r="C808" s="147"/>
      <c r="D808" s="148" t="s">
        <v>878</v>
      </c>
      <c r="E808" s="149">
        <v>5.31</v>
      </c>
      <c r="F808" s="149">
        <v>2.88</v>
      </c>
      <c r="G808" s="149">
        <v>0</v>
      </c>
      <c r="H808" s="149">
        <v>0</v>
      </c>
      <c r="I808" s="150">
        <v>8.19</v>
      </c>
    </row>
    <row r="809" spans="1:9" ht="15.6" x14ac:dyDescent="0.25">
      <c r="A809" s="145"/>
      <c r="B809" s="146">
        <v>3000038</v>
      </c>
      <c r="C809" s="147"/>
      <c r="D809" s="148" t="s">
        <v>883</v>
      </c>
      <c r="E809" s="149">
        <v>5.31</v>
      </c>
      <c r="F809" s="149">
        <v>2.88</v>
      </c>
      <c r="G809" s="149">
        <v>0</v>
      </c>
      <c r="H809" s="149">
        <v>2.73</v>
      </c>
      <c r="I809" s="150">
        <v>10.92</v>
      </c>
    </row>
    <row r="810" spans="1:9" ht="15.6" x14ac:dyDescent="0.25">
      <c r="A810" s="145"/>
      <c r="B810" s="146">
        <v>3001269</v>
      </c>
      <c r="C810" s="147"/>
      <c r="D810" s="148" t="s">
        <v>721</v>
      </c>
      <c r="E810" s="149">
        <v>0</v>
      </c>
      <c r="F810" s="149">
        <v>0</v>
      </c>
      <c r="G810" s="149">
        <v>0</v>
      </c>
      <c r="H810" s="149">
        <v>0</v>
      </c>
      <c r="I810" s="150">
        <v>0</v>
      </c>
    </row>
    <row r="811" spans="1:9" ht="15.6" x14ac:dyDescent="0.25">
      <c r="A811" s="145"/>
      <c r="B811" s="146">
        <v>3002486</v>
      </c>
      <c r="C811" s="147"/>
      <c r="D811" s="148" t="s">
        <v>787</v>
      </c>
      <c r="E811" s="149">
        <v>5.31</v>
      </c>
      <c r="F811" s="149">
        <v>2.88</v>
      </c>
      <c r="G811" s="149">
        <v>24.03</v>
      </c>
      <c r="H811" s="149">
        <v>2.73</v>
      </c>
      <c r="I811" s="150">
        <v>34.949999999999996</v>
      </c>
    </row>
    <row r="812" spans="1:9" ht="15.6" x14ac:dyDescent="0.25">
      <c r="A812" s="145"/>
      <c r="B812" s="146">
        <v>3002671</v>
      </c>
      <c r="C812" s="147"/>
      <c r="D812" s="148" t="s">
        <v>758</v>
      </c>
      <c r="E812" s="149">
        <v>0</v>
      </c>
      <c r="F812" s="149">
        <v>0</v>
      </c>
      <c r="G812" s="149">
        <v>0</v>
      </c>
      <c r="H812" s="149">
        <v>2.73</v>
      </c>
      <c r="I812" s="150">
        <v>2.73</v>
      </c>
    </row>
    <row r="813" spans="1:9" ht="15.6" x14ac:dyDescent="0.25">
      <c r="A813" s="145"/>
      <c r="B813" s="146">
        <v>3002812</v>
      </c>
      <c r="C813" s="147"/>
      <c r="D813" s="148" t="s">
        <v>919</v>
      </c>
      <c r="E813" s="149">
        <v>5.31</v>
      </c>
      <c r="F813" s="149">
        <v>2.88</v>
      </c>
      <c r="G813" s="149">
        <v>0</v>
      </c>
      <c r="H813" s="149">
        <v>2.73</v>
      </c>
      <c r="I813" s="150">
        <v>10.92</v>
      </c>
    </row>
    <row r="814" spans="1:9" ht="15.6" x14ac:dyDescent="0.25">
      <c r="A814" s="145"/>
      <c r="B814" s="146">
        <v>3005189</v>
      </c>
      <c r="C814" s="147"/>
      <c r="D814" s="148" t="s">
        <v>851</v>
      </c>
      <c r="E814" s="149">
        <v>5.31</v>
      </c>
      <c r="F814" s="149">
        <v>2.88</v>
      </c>
      <c r="G814" s="149">
        <v>22.66</v>
      </c>
      <c r="H814" s="149">
        <v>2.73</v>
      </c>
      <c r="I814" s="150">
        <v>33.58</v>
      </c>
    </row>
    <row r="815" spans="1:9" ht="15.6" x14ac:dyDescent="0.25">
      <c r="A815" s="145"/>
      <c r="B815" s="146">
        <v>3006250</v>
      </c>
      <c r="C815" s="147"/>
      <c r="D815" s="148" t="s">
        <v>870</v>
      </c>
      <c r="E815" s="149">
        <v>0</v>
      </c>
      <c r="F815" s="149">
        <v>0</v>
      </c>
      <c r="G815" s="149">
        <v>0</v>
      </c>
      <c r="H815" s="149">
        <v>0</v>
      </c>
      <c r="I815" s="150">
        <v>0</v>
      </c>
    </row>
    <row r="816" spans="1:9" ht="15.6" x14ac:dyDescent="0.25">
      <c r="A816" s="145"/>
      <c r="B816" s="146">
        <v>3017461</v>
      </c>
      <c r="C816" s="147"/>
      <c r="D816" s="148" t="s">
        <v>849</v>
      </c>
      <c r="E816" s="149">
        <v>0</v>
      </c>
      <c r="F816" s="149">
        <v>0</v>
      </c>
      <c r="G816" s="149">
        <v>0</v>
      </c>
      <c r="H816" s="149">
        <v>2.73</v>
      </c>
      <c r="I816" s="150">
        <v>2.73</v>
      </c>
    </row>
    <row r="817" spans="1:9" ht="15.6" x14ac:dyDescent="0.25">
      <c r="A817" s="145"/>
      <c r="B817" s="146">
        <v>3021022</v>
      </c>
      <c r="C817" s="147"/>
      <c r="D817" s="148" t="s">
        <v>967</v>
      </c>
      <c r="E817" s="149">
        <v>5.31</v>
      </c>
      <c r="F817" s="149">
        <v>2.88</v>
      </c>
      <c r="G817" s="149">
        <v>0</v>
      </c>
      <c r="H817" s="149">
        <v>2.73</v>
      </c>
      <c r="I817" s="150">
        <v>10.92</v>
      </c>
    </row>
    <row r="818" spans="1:9" ht="15.6" x14ac:dyDescent="0.25">
      <c r="A818" s="145"/>
      <c r="B818" s="146">
        <v>3029323</v>
      </c>
      <c r="C818" s="147"/>
      <c r="D818" s="148" t="s">
        <v>873</v>
      </c>
      <c r="E818" s="149">
        <v>5.31</v>
      </c>
      <c r="F818" s="149">
        <v>2.88</v>
      </c>
      <c r="G818" s="149">
        <v>0</v>
      </c>
      <c r="H818" s="149">
        <v>2.73</v>
      </c>
      <c r="I818" s="150">
        <v>10.92</v>
      </c>
    </row>
    <row r="819" spans="1:9" ht="15.6" x14ac:dyDescent="0.25">
      <c r="A819" s="145"/>
      <c r="B819" s="146">
        <v>3032063</v>
      </c>
      <c r="C819" s="147"/>
      <c r="D819" s="148" t="s">
        <v>861</v>
      </c>
      <c r="E819" s="149">
        <v>5.31</v>
      </c>
      <c r="F819" s="149">
        <v>2.88</v>
      </c>
      <c r="G819" s="149">
        <v>0</v>
      </c>
      <c r="H819" s="149">
        <v>2.73</v>
      </c>
      <c r="I819" s="150">
        <v>10.92</v>
      </c>
    </row>
    <row r="820" spans="1:9" ht="15.6" x14ac:dyDescent="0.25">
      <c r="A820" s="145"/>
      <c r="B820" s="146">
        <v>3037128</v>
      </c>
      <c r="C820" s="147"/>
      <c r="D820" s="148" t="s">
        <v>789</v>
      </c>
      <c r="E820" s="149">
        <v>5.31</v>
      </c>
      <c r="F820" s="149">
        <v>2.88</v>
      </c>
      <c r="G820" s="149">
        <v>18.260000000000002</v>
      </c>
      <c r="H820" s="149">
        <v>2.73</v>
      </c>
      <c r="I820" s="150">
        <v>29.180000000000003</v>
      </c>
    </row>
    <row r="821" spans="1:9" ht="15.6" x14ac:dyDescent="0.25">
      <c r="A821" s="145"/>
      <c r="B821" s="146">
        <v>3042849</v>
      </c>
      <c r="C821" s="147"/>
      <c r="D821" s="148" t="s">
        <v>868</v>
      </c>
      <c r="E821" s="149">
        <v>5.31</v>
      </c>
      <c r="F821" s="149">
        <v>2.88</v>
      </c>
      <c r="G821" s="149">
        <v>0</v>
      </c>
      <c r="H821" s="149">
        <v>2.73</v>
      </c>
      <c r="I821" s="150">
        <v>10.92</v>
      </c>
    </row>
    <row r="822" spans="1:9" ht="15.6" x14ac:dyDescent="0.25">
      <c r="A822" s="145"/>
      <c r="B822" s="146">
        <v>3044978</v>
      </c>
      <c r="C822" s="147"/>
      <c r="D822" s="148" t="s">
        <v>967</v>
      </c>
      <c r="E822" s="149">
        <v>5.31</v>
      </c>
      <c r="F822" s="149">
        <v>2.88</v>
      </c>
      <c r="G822" s="149">
        <v>0</v>
      </c>
      <c r="H822" s="149">
        <v>2.73</v>
      </c>
      <c r="I822" s="150">
        <v>10.92</v>
      </c>
    </row>
    <row r="823" spans="1:9" ht="15.6" x14ac:dyDescent="0.25">
      <c r="A823" s="145"/>
      <c r="B823" s="146">
        <v>3050532</v>
      </c>
      <c r="C823" s="147"/>
      <c r="D823" s="148" t="s">
        <v>761</v>
      </c>
      <c r="E823" s="149">
        <v>0</v>
      </c>
      <c r="F823" s="149">
        <v>0</v>
      </c>
      <c r="G823" s="149">
        <v>0</v>
      </c>
      <c r="H823" s="149">
        <v>2.73</v>
      </c>
      <c r="I823" s="150">
        <v>2.73</v>
      </c>
    </row>
    <row r="824" spans="1:9" ht="15.6" x14ac:dyDescent="0.25">
      <c r="A824" s="145"/>
      <c r="B824" s="146">
        <v>3056181</v>
      </c>
      <c r="C824" s="147"/>
      <c r="D824" s="148" t="s">
        <v>788</v>
      </c>
      <c r="E824" s="149">
        <v>5.31</v>
      </c>
      <c r="F824" s="149">
        <v>2.88</v>
      </c>
      <c r="G824" s="149">
        <v>0</v>
      </c>
      <c r="H824" s="149">
        <v>2.73</v>
      </c>
      <c r="I824" s="150">
        <v>10.92</v>
      </c>
    </row>
    <row r="825" spans="1:9" ht="15.6" x14ac:dyDescent="0.25">
      <c r="A825" s="145"/>
      <c r="B825" s="146">
        <v>3060926</v>
      </c>
      <c r="C825" s="147"/>
      <c r="D825" s="148" t="s">
        <v>773</v>
      </c>
      <c r="E825" s="149">
        <v>5.31</v>
      </c>
      <c r="F825" s="149">
        <v>2.88</v>
      </c>
      <c r="G825" s="149">
        <v>0</v>
      </c>
      <c r="H825" s="149">
        <v>2.73</v>
      </c>
      <c r="I825" s="150">
        <v>10.92</v>
      </c>
    </row>
    <row r="826" spans="1:9" ht="15.6" x14ac:dyDescent="0.25">
      <c r="A826" s="145"/>
      <c r="B826" s="146">
        <v>3061896</v>
      </c>
      <c r="C826" s="147"/>
      <c r="D826" s="148" t="s">
        <v>745</v>
      </c>
      <c r="E826" s="149">
        <v>5.31</v>
      </c>
      <c r="F826" s="149">
        <v>2.88</v>
      </c>
      <c r="G826" s="149">
        <v>0</v>
      </c>
      <c r="H826" s="149">
        <v>0</v>
      </c>
      <c r="I826" s="150">
        <v>8.19</v>
      </c>
    </row>
    <row r="827" spans="1:9" ht="15.6" x14ac:dyDescent="0.25">
      <c r="A827" s="145"/>
      <c r="B827" s="146">
        <v>3064395</v>
      </c>
      <c r="C827" s="147"/>
      <c r="D827" s="148" t="s">
        <v>790</v>
      </c>
      <c r="E827" s="149">
        <v>5.31</v>
      </c>
      <c r="F827" s="149">
        <v>2.88</v>
      </c>
      <c r="G827" s="149">
        <v>18.260000000000002</v>
      </c>
      <c r="H827" s="149">
        <v>2.73</v>
      </c>
      <c r="I827" s="150">
        <v>29.180000000000003</v>
      </c>
    </row>
    <row r="828" spans="1:9" ht="15.6" x14ac:dyDescent="0.25">
      <c r="A828" s="145"/>
      <c r="B828" s="146">
        <v>3070097</v>
      </c>
      <c r="C828" s="147"/>
      <c r="D828" s="148" t="s">
        <v>826</v>
      </c>
      <c r="E828" s="149">
        <v>5.31</v>
      </c>
      <c r="F828" s="149">
        <v>2.88</v>
      </c>
      <c r="G828" s="149">
        <v>0</v>
      </c>
      <c r="H828" s="149">
        <v>2.73</v>
      </c>
      <c r="I828" s="150">
        <v>10.92</v>
      </c>
    </row>
    <row r="829" spans="1:9" ht="15.6" x14ac:dyDescent="0.25">
      <c r="A829" s="145"/>
      <c r="B829" s="146">
        <v>3073693</v>
      </c>
      <c r="C829" s="147"/>
      <c r="D829" s="148" t="s">
        <v>821</v>
      </c>
      <c r="E829" s="149">
        <v>5.31</v>
      </c>
      <c r="F829" s="149">
        <v>2.88</v>
      </c>
      <c r="G829" s="149">
        <v>0</v>
      </c>
      <c r="H829" s="149">
        <v>2.73</v>
      </c>
      <c r="I829" s="150">
        <v>10.92</v>
      </c>
    </row>
    <row r="830" spans="1:9" ht="15.6" x14ac:dyDescent="0.25">
      <c r="A830" s="145"/>
      <c r="B830" s="146">
        <v>3076192</v>
      </c>
      <c r="C830" s="147"/>
      <c r="D830" s="148" t="s">
        <v>918</v>
      </c>
      <c r="E830" s="149">
        <v>0</v>
      </c>
      <c r="F830" s="149">
        <v>0</v>
      </c>
      <c r="G830" s="149">
        <v>0</v>
      </c>
      <c r="H830" s="149">
        <v>0</v>
      </c>
      <c r="I830" s="150">
        <v>0</v>
      </c>
    </row>
    <row r="831" spans="1:9" ht="15.6" x14ac:dyDescent="0.25">
      <c r="A831" s="145"/>
      <c r="B831" s="146">
        <v>3078776</v>
      </c>
      <c r="C831" s="147"/>
      <c r="D831" s="148" t="s">
        <v>887</v>
      </c>
      <c r="E831" s="149">
        <v>5.31</v>
      </c>
      <c r="F831" s="149">
        <v>2.88</v>
      </c>
      <c r="G831" s="149">
        <v>0</v>
      </c>
      <c r="H831" s="149">
        <v>2.73</v>
      </c>
      <c r="I831" s="150">
        <v>10.92</v>
      </c>
    </row>
    <row r="832" spans="1:9" ht="15.6" x14ac:dyDescent="0.25">
      <c r="A832" s="145"/>
      <c r="B832" s="146">
        <v>3081190</v>
      </c>
      <c r="C832" s="147"/>
      <c r="D832" s="148" t="s">
        <v>790</v>
      </c>
      <c r="E832" s="149">
        <v>5.31</v>
      </c>
      <c r="F832" s="149">
        <v>2.88</v>
      </c>
      <c r="G832" s="149">
        <v>24.03</v>
      </c>
      <c r="H832" s="149">
        <v>2.73</v>
      </c>
      <c r="I832" s="150">
        <v>34.949999999999996</v>
      </c>
    </row>
    <row r="833" spans="1:9" ht="15.6" x14ac:dyDescent="0.25">
      <c r="A833" s="145"/>
      <c r="B833" s="146">
        <v>3094140</v>
      </c>
      <c r="C833" s="147"/>
      <c r="D833" s="148" t="s">
        <v>773</v>
      </c>
      <c r="E833" s="149">
        <v>5.31</v>
      </c>
      <c r="F833" s="149">
        <v>2.88</v>
      </c>
      <c r="G833" s="149">
        <v>0</v>
      </c>
      <c r="H833" s="149">
        <v>2.73</v>
      </c>
      <c r="I833" s="150">
        <v>10.92</v>
      </c>
    </row>
    <row r="834" spans="1:9" ht="15.6" x14ac:dyDescent="0.25">
      <c r="A834" s="145"/>
      <c r="B834" s="146">
        <v>3097462</v>
      </c>
      <c r="C834" s="147"/>
      <c r="D834" s="148" t="s">
        <v>945</v>
      </c>
      <c r="E834" s="149">
        <v>0</v>
      </c>
      <c r="F834" s="149">
        <v>0</v>
      </c>
      <c r="G834" s="149">
        <v>0</v>
      </c>
      <c r="H834" s="149">
        <v>0</v>
      </c>
      <c r="I834" s="150">
        <v>0</v>
      </c>
    </row>
    <row r="835" spans="1:9" ht="15.6" x14ac:dyDescent="0.25">
      <c r="A835" s="145"/>
      <c r="B835" s="146">
        <v>3100545</v>
      </c>
      <c r="C835" s="147"/>
      <c r="D835" s="148" t="s">
        <v>728</v>
      </c>
      <c r="E835" s="149">
        <v>0</v>
      </c>
      <c r="F835" s="149">
        <v>0</v>
      </c>
      <c r="G835" s="149">
        <v>0</v>
      </c>
      <c r="H835" s="149">
        <v>0</v>
      </c>
      <c r="I835" s="150">
        <v>0</v>
      </c>
    </row>
    <row r="836" spans="1:9" ht="15.6" x14ac:dyDescent="0.25">
      <c r="A836" s="145"/>
      <c r="B836" s="146">
        <v>3108936</v>
      </c>
      <c r="C836" s="147"/>
      <c r="D836" s="148" t="s">
        <v>769</v>
      </c>
      <c r="E836" s="149">
        <v>0</v>
      </c>
      <c r="F836" s="149">
        <v>0</v>
      </c>
      <c r="G836" s="149">
        <v>0</v>
      </c>
      <c r="H836" s="149">
        <v>0</v>
      </c>
      <c r="I836" s="150">
        <v>0</v>
      </c>
    </row>
    <row r="837" spans="1:9" ht="15.6" x14ac:dyDescent="0.25">
      <c r="A837" s="145"/>
      <c r="B837" s="146">
        <v>3119308</v>
      </c>
      <c r="C837" s="147"/>
      <c r="D837" s="148" t="s">
        <v>868</v>
      </c>
      <c r="E837" s="149">
        <v>5.31</v>
      </c>
      <c r="F837" s="149">
        <v>2.88</v>
      </c>
      <c r="G837" s="149">
        <v>0</v>
      </c>
      <c r="H837" s="149">
        <v>2.73</v>
      </c>
      <c r="I837" s="150">
        <v>10.92</v>
      </c>
    </row>
    <row r="838" spans="1:9" ht="15.6" x14ac:dyDescent="0.25">
      <c r="A838" s="145"/>
      <c r="B838" s="146">
        <v>3120695</v>
      </c>
      <c r="C838" s="147"/>
      <c r="D838" s="148" t="s">
        <v>859</v>
      </c>
      <c r="E838" s="149">
        <v>5.31</v>
      </c>
      <c r="F838" s="149">
        <v>2.88</v>
      </c>
      <c r="G838" s="149">
        <v>0</v>
      </c>
      <c r="H838" s="149">
        <v>2.73</v>
      </c>
      <c r="I838" s="150">
        <v>10.92</v>
      </c>
    </row>
    <row r="839" spans="1:9" ht="15.6" x14ac:dyDescent="0.25">
      <c r="A839" s="145"/>
      <c r="B839" s="146">
        <v>3121349</v>
      </c>
      <c r="C839" s="147"/>
      <c r="D839" s="148" t="s">
        <v>750</v>
      </c>
      <c r="E839" s="149">
        <v>5.31</v>
      </c>
      <c r="F839" s="149">
        <v>2.88</v>
      </c>
      <c r="G839" s="149">
        <v>0</v>
      </c>
      <c r="H839" s="149">
        <v>2.73</v>
      </c>
      <c r="I839" s="150">
        <v>10.92</v>
      </c>
    </row>
    <row r="840" spans="1:9" ht="15.6" x14ac:dyDescent="0.25">
      <c r="A840" s="145"/>
      <c r="B840" s="146">
        <v>3124001</v>
      </c>
      <c r="C840" s="147"/>
      <c r="D840" s="148" t="s">
        <v>861</v>
      </c>
      <c r="E840" s="149">
        <v>5.31</v>
      </c>
      <c r="F840" s="149">
        <v>2.88</v>
      </c>
      <c r="G840" s="149">
        <v>0</v>
      </c>
      <c r="H840" s="149">
        <v>2.73</v>
      </c>
      <c r="I840" s="150">
        <v>10.92</v>
      </c>
    </row>
    <row r="841" spans="1:9" ht="15.6" x14ac:dyDescent="0.25">
      <c r="A841" s="145"/>
      <c r="B841" s="146">
        <v>3127527</v>
      </c>
      <c r="C841" s="147"/>
      <c r="D841" s="148" t="s">
        <v>868</v>
      </c>
      <c r="E841" s="149">
        <v>5.31</v>
      </c>
      <c r="F841" s="149">
        <v>2.88</v>
      </c>
      <c r="G841" s="149">
        <v>0</v>
      </c>
      <c r="H841" s="149">
        <v>2.73</v>
      </c>
      <c r="I841" s="150">
        <v>10.92</v>
      </c>
    </row>
    <row r="842" spans="1:9" ht="15.6" x14ac:dyDescent="0.25">
      <c r="A842" s="145"/>
      <c r="B842" s="146">
        <v>3135623</v>
      </c>
      <c r="C842" s="147"/>
      <c r="D842" s="148" t="s">
        <v>784</v>
      </c>
      <c r="E842" s="149">
        <v>0</v>
      </c>
      <c r="F842" s="149">
        <v>0</v>
      </c>
      <c r="G842" s="149">
        <v>0</v>
      </c>
      <c r="H842" s="149">
        <v>0</v>
      </c>
      <c r="I842" s="150">
        <v>0</v>
      </c>
    </row>
    <row r="843" spans="1:9" ht="15.6" x14ac:dyDescent="0.25">
      <c r="A843" s="145"/>
      <c r="B843" s="146">
        <v>3138412</v>
      </c>
      <c r="C843" s="147"/>
      <c r="D843" s="148" t="s">
        <v>724</v>
      </c>
      <c r="E843" s="149">
        <v>0</v>
      </c>
      <c r="F843" s="149">
        <v>0</v>
      </c>
      <c r="G843" s="149">
        <v>0</v>
      </c>
      <c r="H843" s="149">
        <v>0</v>
      </c>
      <c r="I843" s="150">
        <v>0</v>
      </c>
    </row>
    <row r="844" spans="1:9" ht="15.6" x14ac:dyDescent="0.25">
      <c r="A844" s="145"/>
      <c r="B844" s="146">
        <v>3142418</v>
      </c>
      <c r="C844" s="147"/>
      <c r="D844" s="148" t="s">
        <v>863</v>
      </c>
      <c r="E844" s="149">
        <v>5.31</v>
      </c>
      <c r="F844" s="149">
        <v>2.88</v>
      </c>
      <c r="G844" s="149">
        <v>0</v>
      </c>
      <c r="H844" s="149">
        <v>2.73</v>
      </c>
      <c r="I844" s="150">
        <v>10.92</v>
      </c>
    </row>
    <row r="845" spans="1:9" ht="15.6" x14ac:dyDescent="0.25">
      <c r="A845" s="145"/>
      <c r="B845" s="146">
        <v>3143607</v>
      </c>
      <c r="C845" s="147"/>
      <c r="D845" s="148" t="s">
        <v>868</v>
      </c>
      <c r="E845" s="149">
        <v>5.31</v>
      </c>
      <c r="F845" s="149">
        <v>2.88</v>
      </c>
      <c r="G845" s="149">
        <v>0</v>
      </c>
      <c r="H845" s="149">
        <v>2.73</v>
      </c>
      <c r="I845" s="150">
        <v>10.92</v>
      </c>
    </row>
    <row r="846" spans="1:9" ht="15.6" x14ac:dyDescent="0.25">
      <c r="A846" s="145"/>
      <c r="B846" s="146">
        <v>3146357</v>
      </c>
      <c r="C846" s="147"/>
      <c r="D846" s="148" t="s">
        <v>863</v>
      </c>
      <c r="E846" s="149">
        <v>5.31</v>
      </c>
      <c r="F846" s="149">
        <v>2.88</v>
      </c>
      <c r="G846" s="149">
        <v>0</v>
      </c>
      <c r="H846" s="149">
        <v>2.73</v>
      </c>
      <c r="I846" s="150">
        <v>10.92</v>
      </c>
    </row>
    <row r="847" spans="1:9" ht="15.6" x14ac:dyDescent="0.25">
      <c r="A847" s="145"/>
      <c r="B847" s="146">
        <v>3153537</v>
      </c>
      <c r="C847" s="147"/>
      <c r="D847" s="148" t="s">
        <v>893</v>
      </c>
      <c r="E847" s="149">
        <v>5.31</v>
      </c>
      <c r="F847" s="149">
        <v>2.88</v>
      </c>
      <c r="G847" s="149">
        <v>0</v>
      </c>
      <c r="H847" s="149">
        <v>2.73</v>
      </c>
      <c r="I847" s="150">
        <v>10.92</v>
      </c>
    </row>
    <row r="848" spans="1:9" ht="15.6" x14ac:dyDescent="0.25">
      <c r="A848" s="145"/>
      <c r="B848" s="146">
        <v>3155372</v>
      </c>
      <c r="C848" s="147"/>
      <c r="D848" s="148" t="s">
        <v>851</v>
      </c>
      <c r="E848" s="149">
        <v>5.31</v>
      </c>
      <c r="F848" s="149">
        <v>2.88</v>
      </c>
      <c r="G848" s="149">
        <v>22.66</v>
      </c>
      <c r="H848" s="149">
        <v>2.73</v>
      </c>
      <c r="I848" s="150">
        <v>33.58</v>
      </c>
    </row>
    <row r="849" spans="1:9" ht="15.6" x14ac:dyDescent="0.25">
      <c r="A849" s="145"/>
      <c r="B849" s="146">
        <v>3161707</v>
      </c>
      <c r="C849" s="147"/>
      <c r="D849" s="148" t="s">
        <v>727</v>
      </c>
      <c r="E849" s="149">
        <v>0</v>
      </c>
      <c r="F849" s="149">
        <v>0</v>
      </c>
      <c r="G849" s="149">
        <v>0</v>
      </c>
      <c r="H849" s="149">
        <v>0</v>
      </c>
      <c r="I849" s="150">
        <v>0</v>
      </c>
    </row>
    <row r="850" spans="1:9" ht="15.6" x14ac:dyDescent="0.25">
      <c r="A850" s="145"/>
      <c r="B850" s="146">
        <v>3167337</v>
      </c>
      <c r="C850" s="147"/>
      <c r="D850" s="148" t="s">
        <v>782</v>
      </c>
      <c r="E850" s="149">
        <v>5.31</v>
      </c>
      <c r="F850" s="149">
        <v>2.88</v>
      </c>
      <c r="G850" s="149">
        <v>0</v>
      </c>
      <c r="H850" s="149">
        <v>2.73</v>
      </c>
      <c r="I850" s="150">
        <v>10.92</v>
      </c>
    </row>
    <row r="851" spans="1:9" ht="15.6" x14ac:dyDescent="0.25">
      <c r="A851" s="145"/>
      <c r="B851" s="146">
        <v>3168591</v>
      </c>
      <c r="C851" s="147"/>
      <c r="D851" s="148" t="s">
        <v>921</v>
      </c>
      <c r="E851" s="149">
        <v>5.31</v>
      </c>
      <c r="F851" s="149">
        <v>2.88</v>
      </c>
      <c r="G851" s="149">
        <v>0</v>
      </c>
      <c r="H851" s="149">
        <v>2.73</v>
      </c>
      <c r="I851" s="150">
        <v>10.92</v>
      </c>
    </row>
    <row r="852" spans="1:9" ht="15.6" x14ac:dyDescent="0.25">
      <c r="A852" s="145"/>
      <c r="B852" s="146">
        <v>3172561</v>
      </c>
      <c r="C852" s="147"/>
      <c r="D852" s="148" t="s">
        <v>851</v>
      </c>
      <c r="E852" s="149">
        <v>5.31</v>
      </c>
      <c r="F852" s="149">
        <v>2.88</v>
      </c>
      <c r="G852" s="149">
        <v>22.66</v>
      </c>
      <c r="H852" s="149">
        <v>2.73</v>
      </c>
      <c r="I852" s="150">
        <v>33.58</v>
      </c>
    </row>
    <row r="853" spans="1:9" ht="15.6" x14ac:dyDescent="0.25">
      <c r="A853" s="145"/>
      <c r="B853" s="146">
        <v>3175854</v>
      </c>
      <c r="C853" s="147"/>
      <c r="D853" s="148" t="s">
        <v>834</v>
      </c>
      <c r="E853" s="149">
        <v>5.31</v>
      </c>
      <c r="F853" s="149">
        <v>2.88</v>
      </c>
      <c r="G853" s="149">
        <v>0</v>
      </c>
      <c r="H853" s="149">
        <v>2.73</v>
      </c>
      <c r="I853" s="150">
        <v>10.92</v>
      </c>
    </row>
    <row r="854" spans="1:9" ht="15.6" x14ac:dyDescent="0.25">
      <c r="A854" s="145"/>
      <c r="B854" s="146">
        <v>3179015</v>
      </c>
      <c r="C854" s="147"/>
      <c r="D854" s="148" t="s">
        <v>760</v>
      </c>
      <c r="E854" s="149">
        <v>0</v>
      </c>
      <c r="F854" s="149">
        <v>0</v>
      </c>
      <c r="G854" s="149">
        <v>0</v>
      </c>
      <c r="H854" s="149">
        <v>2.73</v>
      </c>
      <c r="I854" s="150">
        <v>2.73</v>
      </c>
    </row>
    <row r="855" spans="1:9" ht="15.6" x14ac:dyDescent="0.25">
      <c r="A855" s="145"/>
      <c r="B855" s="146">
        <v>3181728</v>
      </c>
      <c r="C855" s="147"/>
      <c r="D855" s="148" t="s">
        <v>848</v>
      </c>
      <c r="E855" s="149">
        <v>5.31</v>
      </c>
      <c r="F855" s="149">
        <v>2.88</v>
      </c>
      <c r="G855" s="149">
        <v>0</v>
      </c>
      <c r="H855" s="149">
        <v>2.73</v>
      </c>
      <c r="I855" s="150">
        <v>10.92</v>
      </c>
    </row>
    <row r="856" spans="1:9" ht="15.6" x14ac:dyDescent="0.25">
      <c r="A856" s="145"/>
      <c r="B856" s="146">
        <v>3203489</v>
      </c>
      <c r="C856" s="147"/>
      <c r="D856" s="148" t="s">
        <v>905</v>
      </c>
      <c r="E856" s="149">
        <v>5.31</v>
      </c>
      <c r="F856" s="149">
        <v>2.88</v>
      </c>
      <c r="G856" s="149">
        <v>0</v>
      </c>
      <c r="H856" s="149">
        <v>2.73</v>
      </c>
      <c r="I856" s="150">
        <v>10.92</v>
      </c>
    </row>
    <row r="857" spans="1:9" ht="15.6" x14ac:dyDescent="0.25">
      <c r="A857" s="145"/>
      <c r="B857" s="146">
        <v>3206609</v>
      </c>
      <c r="C857" s="147"/>
      <c r="D857" s="148" t="s">
        <v>822</v>
      </c>
      <c r="E857" s="149">
        <v>5.31</v>
      </c>
      <c r="F857" s="149">
        <v>2.88</v>
      </c>
      <c r="G857" s="149">
        <v>0</v>
      </c>
      <c r="H857" s="149">
        <v>2.73</v>
      </c>
      <c r="I857" s="150">
        <v>10.92</v>
      </c>
    </row>
    <row r="858" spans="1:9" ht="15.6" x14ac:dyDescent="0.25">
      <c r="A858" s="145"/>
      <c r="B858" s="146">
        <v>3208204</v>
      </c>
      <c r="C858" s="147"/>
      <c r="D858" s="148" t="s">
        <v>868</v>
      </c>
      <c r="E858" s="149">
        <v>5.31</v>
      </c>
      <c r="F858" s="149">
        <v>2.88</v>
      </c>
      <c r="G858" s="149">
        <v>0</v>
      </c>
      <c r="H858" s="149">
        <v>2.73</v>
      </c>
      <c r="I858" s="150">
        <v>10.92</v>
      </c>
    </row>
    <row r="859" spans="1:9" ht="15.6" x14ac:dyDescent="0.25">
      <c r="A859" s="145"/>
      <c r="B859" s="146">
        <v>3209970</v>
      </c>
      <c r="C859" s="147"/>
      <c r="D859" s="148" t="s">
        <v>761</v>
      </c>
      <c r="E859" s="149">
        <v>0</v>
      </c>
      <c r="F859" s="149">
        <v>0</v>
      </c>
      <c r="G859" s="149">
        <v>0</v>
      </c>
      <c r="H859" s="149">
        <v>2.73</v>
      </c>
      <c r="I859" s="150">
        <v>2.73</v>
      </c>
    </row>
    <row r="860" spans="1:9" ht="15.6" x14ac:dyDescent="0.25">
      <c r="A860" s="145"/>
      <c r="B860" s="146">
        <v>3212454</v>
      </c>
      <c r="C860" s="147"/>
      <c r="D860" s="148" t="s">
        <v>891</v>
      </c>
      <c r="E860" s="149">
        <v>5.31</v>
      </c>
      <c r="F860" s="149">
        <v>2.88</v>
      </c>
      <c r="G860" s="149">
        <v>0</v>
      </c>
      <c r="H860" s="149">
        <v>2.73</v>
      </c>
      <c r="I860" s="150">
        <v>10.92</v>
      </c>
    </row>
    <row r="861" spans="1:9" ht="15.6" x14ac:dyDescent="0.25">
      <c r="A861" s="145"/>
      <c r="B861" s="146">
        <v>3214044</v>
      </c>
      <c r="C861" s="147"/>
      <c r="D861" s="148" t="s">
        <v>824</v>
      </c>
      <c r="E861" s="149">
        <v>5.31</v>
      </c>
      <c r="F861" s="149">
        <v>2.88</v>
      </c>
      <c r="G861" s="149">
        <v>0</v>
      </c>
      <c r="H861" s="149">
        <v>2.73</v>
      </c>
      <c r="I861" s="150">
        <v>10.92</v>
      </c>
    </row>
    <row r="862" spans="1:9" ht="15.6" x14ac:dyDescent="0.25">
      <c r="A862" s="145"/>
      <c r="B862" s="146">
        <v>3217379</v>
      </c>
      <c r="C862" s="147"/>
      <c r="D862" s="148" t="s">
        <v>874</v>
      </c>
      <c r="E862" s="149">
        <v>5.31</v>
      </c>
      <c r="F862" s="149">
        <v>2.88</v>
      </c>
      <c r="G862" s="149">
        <v>0</v>
      </c>
      <c r="H862" s="149">
        <v>2.73</v>
      </c>
      <c r="I862" s="150">
        <v>10.92</v>
      </c>
    </row>
    <row r="863" spans="1:9" ht="15.6" x14ac:dyDescent="0.25">
      <c r="A863" s="145"/>
      <c r="B863" s="146">
        <v>3221146</v>
      </c>
      <c r="C863" s="147"/>
      <c r="D863" s="148" t="s">
        <v>869</v>
      </c>
      <c r="E863" s="149">
        <v>5.31</v>
      </c>
      <c r="F863" s="149">
        <v>2.88</v>
      </c>
      <c r="G863" s="149">
        <v>0</v>
      </c>
      <c r="H863" s="149">
        <v>2.73</v>
      </c>
      <c r="I863" s="150">
        <v>10.92</v>
      </c>
    </row>
    <row r="864" spans="1:9" ht="15.6" x14ac:dyDescent="0.25">
      <c r="A864" s="145"/>
      <c r="B864" s="146">
        <v>3221379</v>
      </c>
      <c r="C864" s="147"/>
      <c r="D864" s="148" t="s">
        <v>817</v>
      </c>
      <c r="E864" s="149">
        <v>5.31</v>
      </c>
      <c r="F864" s="149">
        <v>2.88</v>
      </c>
      <c r="G864" s="149">
        <v>0</v>
      </c>
      <c r="H864" s="149">
        <v>2.73</v>
      </c>
      <c r="I864" s="150">
        <v>10.92</v>
      </c>
    </row>
    <row r="865" spans="1:9" ht="15.6" x14ac:dyDescent="0.25">
      <c r="A865" s="145"/>
      <c r="B865" s="146">
        <v>3223929</v>
      </c>
      <c r="C865" s="147"/>
      <c r="D865" s="148" t="s">
        <v>854</v>
      </c>
      <c r="E865" s="149">
        <v>5.31</v>
      </c>
      <c r="F865" s="149">
        <v>2.88</v>
      </c>
      <c r="G865" s="149">
        <v>0</v>
      </c>
      <c r="H865" s="149">
        <v>2.73</v>
      </c>
      <c r="I865" s="150">
        <v>10.92</v>
      </c>
    </row>
    <row r="866" spans="1:9" ht="15.6" x14ac:dyDescent="0.25">
      <c r="A866" s="145"/>
      <c r="B866" s="146">
        <v>3226145</v>
      </c>
      <c r="C866" s="147"/>
      <c r="D866" s="148" t="s">
        <v>849</v>
      </c>
      <c r="E866" s="149">
        <v>0</v>
      </c>
      <c r="F866" s="149">
        <v>0</v>
      </c>
      <c r="G866" s="149">
        <v>0</v>
      </c>
      <c r="H866" s="149">
        <v>2.73</v>
      </c>
      <c r="I866" s="150">
        <v>2.73</v>
      </c>
    </row>
    <row r="867" spans="1:9" ht="15.6" x14ac:dyDescent="0.25">
      <c r="A867" s="145"/>
      <c r="B867" s="146">
        <v>3231791</v>
      </c>
      <c r="C867" s="147"/>
      <c r="D867" s="148" t="s">
        <v>743</v>
      </c>
      <c r="E867" s="149">
        <v>0</v>
      </c>
      <c r="F867" s="149">
        <v>0</v>
      </c>
      <c r="G867" s="149">
        <v>0</v>
      </c>
      <c r="H867" s="149">
        <v>0</v>
      </c>
      <c r="I867" s="150">
        <v>0</v>
      </c>
    </row>
    <row r="868" spans="1:9" ht="15.6" x14ac:dyDescent="0.25">
      <c r="A868" s="145"/>
      <c r="B868" s="146">
        <v>3232700</v>
      </c>
      <c r="C868" s="147"/>
      <c r="D868" s="148" t="s">
        <v>894</v>
      </c>
      <c r="E868" s="149">
        <v>0</v>
      </c>
      <c r="F868" s="149">
        <v>0</v>
      </c>
      <c r="G868" s="149">
        <v>0</v>
      </c>
      <c r="H868" s="149">
        <v>0</v>
      </c>
      <c r="I868" s="150">
        <v>0</v>
      </c>
    </row>
    <row r="869" spans="1:9" ht="15.6" x14ac:dyDescent="0.25">
      <c r="A869" s="145"/>
      <c r="B869" s="146">
        <v>3233761</v>
      </c>
      <c r="C869" s="147"/>
      <c r="D869" s="148" t="s">
        <v>868</v>
      </c>
      <c r="E869" s="149">
        <v>5.31</v>
      </c>
      <c r="F869" s="149">
        <v>2.88</v>
      </c>
      <c r="G869" s="149">
        <v>0</v>
      </c>
      <c r="H869" s="149">
        <v>2.73</v>
      </c>
      <c r="I869" s="150">
        <v>10.92</v>
      </c>
    </row>
    <row r="870" spans="1:9" ht="15.6" x14ac:dyDescent="0.25">
      <c r="A870" s="145"/>
      <c r="B870" s="146">
        <v>3234483</v>
      </c>
      <c r="C870" s="147"/>
      <c r="D870" s="148" t="s">
        <v>823</v>
      </c>
      <c r="E870" s="149">
        <v>5.31</v>
      </c>
      <c r="F870" s="149">
        <v>2.88</v>
      </c>
      <c r="G870" s="149">
        <v>0</v>
      </c>
      <c r="H870" s="149">
        <v>2.73</v>
      </c>
      <c r="I870" s="150">
        <v>10.92</v>
      </c>
    </row>
    <row r="871" spans="1:9" ht="15.6" x14ac:dyDescent="0.25">
      <c r="A871" s="145"/>
      <c r="B871" s="146">
        <v>3240029</v>
      </c>
      <c r="C871" s="147"/>
      <c r="D871" s="148" t="s">
        <v>858</v>
      </c>
      <c r="E871" s="149">
        <v>5.31</v>
      </c>
      <c r="F871" s="149">
        <v>2.88</v>
      </c>
      <c r="G871" s="149">
        <v>0</v>
      </c>
      <c r="H871" s="149">
        <v>2.73</v>
      </c>
      <c r="I871" s="150">
        <v>10.92</v>
      </c>
    </row>
    <row r="872" spans="1:9" ht="15.6" x14ac:dyDescent="0.25">
      <c r="A872" s="145"/>
      <c r="B872" s="146">
        <v>3240032</v>
      </c>
      <c r="C872" s="147"/>
      <c r="D872" s="148" t="s">
        <v>756</v>
      </c>
      <c r="E872" s="149">
        <v>0</v>
      </c>
      <c r="F872" s="149">
        <v>0</v>
      </c>
      <c r="G872" s="149">
        <v>0</v>
      </c>
      <c r="H872" s="149">
        <v>2.73</v>
      </c>
      <c r="I872" s="150">
        <v>2.73</v>
      </c>
    </row>
    <row r="873" spans="1:9" ht="15.6" x14ac:dyDescent="0.25">
      <c r="A873" s="145"/>
      <c r="B873" s="146">
        <v>3241994</v>
      </c>
      <c r="C873" s="147"/>
      <c r="D873" s="148" t="s">
        <v>868</v>
      </c>
      <c r="E873" s="149">
        <v>5.31</v>
      </c>
      <c r="F873" s="149">
        <v>2.88</v>
      </c>
      <c r="G873" s="149">
        <v>0</v>
      </c>
      <c r="H873" s="149">
        <v>2.73</v>
      </c>
      <c r="I873" s="150">
        <v>10.92</v>
      </c>
    </row>
    <row r="874" spans="1:9" ht="15.6" x14ac:dyDescent="0.25">
      <c r="A874" s="145"/>
      <c r="B874" s="146">
        <v>3242364</v>
      </c>
      <c r="C874" s="147"/>
      <c r="D874" s="148" t="s">
        <v>773</v>
      </c>
      <c r="E874" s="149">
        <v>5.31</v>
      </c>
      <c r="F874" s="149">
        <v>2.88</v>
      </c>
      <c r="G874" s="149">
        <v>0</v>
      </c>
      <c r="H874" s="149">
        <v>2.73</v>
      </c>
      <c r="I874" s="150">
        <v>10.92</v>
      </c>
    </row>
    <row r="875" spans="1:9" ht="15.6" x14ac:dyDescent="0.25">
      <c r="A875" s="145"/>
      <c r="B875" s="146">
        <v>3242644</v>
      </c>
      <c r="C875" s="147"/>
      <c r="D875" s="148" t="s">
        <v>858</v>
      </c>
      <c r="E875" s="149">
        <v>5.31</v>
      </c>
      <c r="F875" s="149">
        <v>2.88</v>
      </c>
      <c r="G875" s="149">
        <v>0</v>
      </c>
      <c r="H875" s="149">
        <v>2.73</v>
      </c>
      <c r="I875" s="150">
        <v>10.92</v>
      </c>
    </row>
    <row r="876" spans="1:9" ht="15.6" x14ac:dyDescent="0.25">
      <c r="A876" s="145"/>
      <c r="B876" s="146">
        <v>3243428</v>
      </c>
      <c r="C876" s="147"/>
      <c r="D876" s="148" t="s">
        <v>803</v>
      </c>
      <c r="E876" s="149">
        <v>0</v>
      </c>
      <c r="F876" s="149">
        <v>0</v>
      </c>
      <c r="G876" s="149">
        <v>0</v>
      </c>
      <c r="H876" s="149">
        <v>0</v>
      </c>
      <c r="I876" s="150">
        <v>0</v>
      </c>
    </row>
    <row r="877" spans="1:9" ht="15.6" x14ac:dyDescent="0.25">
      <c r="A877" s="145"/>
      <c r="B877" s="146">
        <v>3244628</v>
      </c>
      <c r="C877" s="147"/>
      <c r="D877" s="148" t="s">
        <v>771</v>
      </c>
      <c r="E877" s="149">
        <v>5.31</v>
      </c>
      <c r="F877" s="149">
        <v>2.88</v>
      </c>
      <c r="G877" s="149">
        <v>58.08</v>
      </c>
      <c r="H877" s="149">
        <v>2.73</v>
      </c>
      <c r="I877" s="150">
        <v>69</v>
      </c>
    </row>
    <row r="878" spans="1:9" ht="15.6" x14ac:dyDescent="0.25">
      <c r="A878" s="145"/>
      <c r="B878" s="146">
        <v>3246495</v>
      </c>
      <c r="C878" s="147"/>
      <c r="D878" s="148" t="s">
        <v>887</v>
      </c>
      <c r="E878" s="149">
        <v>5.31</v>
      </c>
      <c r="F878" s="149">
        <v>2.88</v>
      </c>
      <c r="G878" s="149">
        <v>0</v>
      </c>
      <c r="H878" s="149">
        <v>2.73</v>
      </c>
      <c r="I878" s="150">
        <v>10.92</v>
      </c>
    </row>
    <row r="879" spans="1:9" ht="15.6" x14ac:dyDescent="0.25">
      <c r="A879" s="145"/>
      <c r="B879" s="146">
        <v>3254178</v>
      </c>
      <c r="C879" s="147"/>
      <c r="D879" s="148" t="s">
        <v>851</v>
      </c>
      <c r="E879" s="149">
        <v>5.31</v>
      </c>
      <c r="F879" s="149">
        <v>2.88</v>
      </c>
      <c r="G879" s="149">
        <v>28.61</v>
      </c>
      <c r="H879" s="149">
        <v>2.73</v>
      </c>
      <c r="I879" s="150">
        <v>39.529999999999994</v>
      </c>
    </row>
    <row r="880" spans="1:9" ht="15.6" x14ac:dyDescent="0.25">
      <c r="A880" s="145"/>
      <c r="B880" s="146">
        <v>3256616</v>
      </c>
      <c r="C880" s="147"/>
      <c r="D880" s="148" t="s">
        <v>817</v>
      </c>
      <c r="E880" s="149">
        <v>5.31</v>
      </c>
      <c r="F880" s="149">
        <v>2.88</v>
      </c>
      <c r="G880" s="149">
        <v>0</v>
      </c>
      <c r="H880" s="149">
        <v>2.73</v>
      </c>
      <c r="I880" s="150">
        <v>10.92</v>
      </c>
    </row>
    <row r="881" spans="1:9" ht="15.6" x14ac:dyDescent="0.25">
      <c r="A881" s="145"/>
      <c r="B881" s="146">
        <v>3257526</v>
      </c>
      <c r="C881" s="147"/>
      <c r="D881" s="148" t="s">
        <v>720</v>
      </c>
      <c r="E881" s="149">
        <v>0</v>
      </c>
      <c r="F881" s="149">
        <v>0</v>
      </c>
      <c r="G881" s="149">
        <v>0</v>
      </c>
      <c r="H881" s="149">
        <v>0</v>
      </c>
      <c r="I881" s="150">
        <v>0</v>
      </c>
    </row>
    <row r="882" spans="1:9" ht="15.6" x14ac:dyDescent="0.25">
      <c r="A882" s="145"/>
      <c r="B882" s="146">
        <v>3258267</v>
      </c>
      <c r="C882" s="147"/>
      <c r="D882" s="148" t="s">
        <v>787</v>
      </c>
      <c r="E882" s="149">
        <v>5.31</v>
      </c>
      <c r="F882" s="149">
        <v>2.88</v>
      </c>
      <c r="G882" s="149">
        <v>24.03</v>
      </c>
      <c r="H882" s="149">
        <v>2.73</v>
      </c>
      <c r="I882" s="150">
        <v>34.949999999999996</v>
      </c>
    </row>
    <row r="883" spans="1:9" ht="15.6" x14ac:dyDescent="0.25">
      <c r="A883" s="145"/>
      <c r="B883" s="146">
        <v>3260364</v>
      </c>
      <c r="C883" s="147"/>
      <c r="D883" s="148" t="s">
        <v>857</v>
      </c>
      <c r="E883" s="149">
        <v>0</v>
      </c>
      <c r="F883" s="149">
        <v>0</v>
      </c>
      <c r="G883" s="149">
        <v>0</v>
      </c>
      <c r="H883" s="149">
        <v>0</v>
      </c>
      <c r="I883" s="150">
        <v>0</v>
      </c>
    </row>
    <row r="884" spans="1:9" ht="15.6" x14ac:dyDescent="0.25">
      <c r="A884" s="145"/>
      <c r="B884" s="146">
        <v>3261240</v>
      </c>
      <c r="C884" s="147"/>
      <c r="D884" s="148" t="s">
        <v>819</v>
      </c>
      <c r="E884" s="149">
        <v>5.31</v>
      </c>
      <c r="F884" s="149">
        <v>2.88</v>
      </c>
      <c r="G884" s="149">
        <v>0</v>
      </c>
      <c r="H884" s="149">
        <v>2.73</v>
      </c>
      <c r="I884" s="150">
        <v>10.92</v>
      </c>
    </row>
    <row r="885" spans="1:9" ht="15.6" x14ac:dyDescent="0.25">
      <c r="A885" s="145"/>
      <c r="B885" s="146">
        <v>3262459</v>
      </c>
      <c r="C885" s="147"/>
      <c r="D885" s="148" t="s">
        <v>848</v>
      </c>
      <c r="E885" s="149">
        <v>5.31</v>
      </c>
      <c r="F885" s="149">
        <v>2.88</v>
      </c>
      <c r="G885" s="149">
        <v>0</v>
      </c>
      <c r="H885" s="149">
        <v>0</v>
      </c>
      <c r="I885" s="150">
        <v>8.19</v>
      </c>
    </row>
    <row r="886" spans="1:9" ht="15.6" x14ac:dyDescent="0.25">
      <c r="A886" s="145"/>
      <c r="B886" s="146">
        <v>3268192</v>
      </c>
      <c r="C886" s="147"/>
      <c r="D886" s="148" t="s">
        <v>851</v>
      </c>
      <c r="E886" s="149">
        <v>5.31</v>
      </c>
      <c r="F886" s="149">
        <v>2.88</v>
      </c>
      <c r="G886" s="149">
        <v>22.66</v>
      </c>
      <c r="H886" s="149">
        <v>2.73</v>
      </c>
      <c r="I886" s="150">
        <v>33.58</v>
      </c>
    </row>
    <row r="887" spans="1:9" ht="15.6" x14ac:dyDescent="0.25">
      <c r="A887" s="145"/>
      <c r="B887" s="146">
        <v>3272554</v>
      </c>
      <c r="C887" s="147"/>
      <c r="D887" s="148" t="s">
        <v>868</v>
      </c>
      <c r="E887" s="149">
        <v>5.31</v>
      </c>
      <c r="F887" s="149">
        <v>2.88</v>
      </c>
      <c r="G887" s="149">
        <v>0</v>
      </c>
      <c r="H887" s="149">
        <v>2.73</v>
      </c>
      <c r="I887" s="150">
        <v>10.92</v>
      </c>
    </row>
    <row r="888" spans="1:9" ht="15.6" x14ac:dyDescent="0.25">
      <c r="A888" s="145"/>
      <c r="B888" s="146">
        <v>3274416</v>
      </c>
      <c r="C888" s="147"/>
      <c r="D888" s="148" t="s">
        <v>945</v>
      </c>
      <c r="E888" s="149">
        <v>0</v>
      </c>
      <c r="F888" s="149">
        <v>0</v>
      </c>
      <c r="G888" s="149">
        <v>0</v>
      </c>
      <c r="H888" s="149">
        <v>0</v>
      </c>
      <c r="I888" s="150">
        <v>0</v>
      </c>
    </row>
    <row r="889" spans="1:9" ht="15.6" x14ac:dyDescent="0.25">
      <c r="A889" s="145"/>
      <c r="B889" s="146">
        <v>3277592</v>
      </c>
      <c r="C889" s="147"/>
      <c r="D889" s="148" t="s">
        <v>773</v>
      </c>
      <c r="E889" s="149">
        <v>5.31</v>
      </c>
      <c r="F889" s="149">
        <v>2.88</v>
      </c>
      <c r="G889" s="149">
        <v>0</v>
      </c>
      <c r="H889" s="149">
        <v>2.73</v>
      </c>
      <c r="I889" s="150">
        <v>10.92</v>
      </c>
    </row>
    <row r="890" spans="1:9" ht="15.6" x14ac:dyDescent="0.25">
      <c r="A890" s="145"/>
      <c r="B890" s="146">
        <v>3281828</v>
      </c>
      <c r="C890" s="147"/>
      <c r="D890" s="148" t="s">
        <v>857</v>
      </c>
      <c r="E890" s="149">
        <v>0</v>
      </c>
      <c r="F890" s="149">
        <v>0</v>
      </c>
      <c r="G890" s="149">
        <v>0</v>
      </c>
      <c r="H890" s="149">
        <v>0</v>
      </c>
      <c r="I890" s="150">
        <v>0</v>
      </c>
    </row>
    <row r="891" spans="1:9" ht="15.6" x14ac:dyDescent="0.25">
      <c r="A891" s="145"/>
      <c r="B891" s="146">
        <v>3286652</v>
      </c>
      <c r="C891" s="147"/>
      <c r="D891" s="148" t="s">
        <v>935</v>
      </c>
      <c r="E891" s="149">
        <v>5.31</v>
      </c>
      <c r="F891" s="149">
        <v>2.88</v>
      </c>
      <c r="G891" s="149">
        <v>0</v>
      </c>
      <c r="H891" s="149">
        <v>2.73</v>
      </c>
      <c r="I891" s="150">
        <v>10.92</v>
      </c>
    </row>
    <row r="892" spans="1:9" ht="15.6" x14ac:dyDescent="0.25">
      <c r="A892" s="145"/>
      <c r="B892" s="146">
        <v>3295606</v>
      </c>
      <c r="C892" s="147"/>
      <c r="D892" s="148" t="s">
        <v>847</v>
      </c>
      <c r="E892" s="149">
        <v>5.31</v>
      </c>
      <c r="F892" s="149">
        <v>2.88</v>
      </c>
      <c r="G892" s="149">
        <v>0</v>
      </c>
      <c r="H892" s="149">
        <v>2.73</v>
      </c>
      <c r="I892" s="150">
        <v>10.92</v>
      </c>
    </row>
    <row r="893" spans="1:9" ht="15.6" x14ac:dyDescent="0.25">
      <c r="A893" s="145"/>
      <c r="B893" s="146">
        <v>3301583</v>
      </c>
      <c r="C893" s="147"/>
      <c r="D893" s="148" t="s">
        <v>944</v>
      </c>
      <c r="E893" s="149">
        <v>5.31</v>
      </c>
      <c r="F893" s="149">
        <v>2.88</v>
      </c>
      <c r="G893" s="149">
        <v>0</v>
      </c>
      <c r="H893" s="149">
        <v>2.73</v>
      </c>
      <c r="I893" s="150">
        <v>10.92</v>
      </c>
    </row>
    <row r="894" spans="1:9" ht="15.6" x14ac:dyDescent="0.25">
      <c r="A894" s="145"/>
      <c r="B894" s="146">
        <v>3303635</v>
      </c>
      <c r="C894" s="147"/>
      <c r="D894" s="148" t="s">
        <v>910</v>
      </c>
      <c r="E894" s="149">
        <v>5.31</v>
      </c>
      <c r="F894" s="149">
        <v>2.88</v>
      </c>
      <c r="G894" s="149">
        <v>0</v>
      </c>
      <c r="H894" s="149">
        <v>2.73</v>
      </c>
      <c r="I894" s="150">
        <v>10.92</v>
      </c>
    </row>
    <row r="895" spans="1:9" ht="15.6" x14ac:dyDescent="0.25">
      <c r="A895" s="145"/>
      <c r="B895" s="146">
        <v>3305181</v>
      </c>
      <c r="C895" s="147"/>
      <c r="D895" s="148" t="s">
        <v>795</v>
      </c>
      <c r="E895" s="149">
        <v>0</v>
      </c>
      <c r="F895" s="149">
        <v>0</v>
      </c>
      <c r="G895" s="149">
        <v>0</v>
      </c>
      <c r="H895" s="149">
        <v>0</v>
      </c>
      <c r="I895" s="150">
        <v>0</v>
      </c>
    </row>
    <row r="896" spans="1:9" ht="15.6" x14ac:dyDescent="0.25">
      <c r="A896" s="145"/>
      <c r="B896" s="146">
        <v>3313988</v>
      </c>
      <c r="C896" s="147"/>
      <c r="D896" s="148" t="s">
        <v>736</v>
      </c>
      <c r="E896" s="149">
        <v>5.31</v>
      </c>
      <c r="F896" s="149">
        <v>2.88</v>
      </c>
      <c r="G896" s="149">
        <v>0</v>
      </c>
      <c r="H896" s="149">
        <v>2.73</v>
      </c>
      <c r="I896" s="150">
        <v>10.92</v>
      </c>
    </row>
    <row r="897" spans="1:9" ht="15.6" x14ac:dyDescent="0.25">
      <c r="A897" s="145"/>
      <c r="B897" s="146">
        <v>3316554</v>
      </c>
      <c r="C897" s="147"/>
      <c r="D897" s="148" t="s">
        <v>911</v>
      </c>
      <c r="E897" s="149">
        <v>5.31</v>
      </c>
      <c r="F897" s="149">
        <v>0</v>
      </c>
      <c r="G897" s="149">
        <v>0</v>
      </c>
      <c r="H897" s="149">
        <v>2.73</v>
      </c>
      <c r="I897" s="150">
        <v>8.0399999999999991</v>
      </c>
    </row>
    <row r="898" spans="1:9" ht="15.6" x14ac:dyDescent="0.25">
      <c r="A898" s="145"/>
      <c r="B898" s="146">
        <v>3317565</v>
      </c>
      <c r="C898" s="147"/>
      <c r="D898" s="148" t="s">
        <v>919</v>
      </c>
      <c r="E898" s="149">
        <v>5.31</v>
      </c>
      <c r="F898" s="149">
        <v>2.88</v>
      </c>
      <c r="G898" s="149">
        <v>0</v>
      </c>
      <c r="H898" s="149">
        <v>2.73</v>
      </c>
      <c r="I898" s="150">
        <v>10.92</v>
      </c>
    </row>
    <row r="899" spans="1:9" ht="15.6" x14ac:dyDescent="0.25">
      <c r="A899" s="145"/>
      <c r="B899" s="146">
        <v>3319028</v>
      </c>
      <c r="C899" s="147"/>
      <c r="D899" s="148" t="s">
        <v>907</v>
      </c>
      <c r="E899" s="149">
        <v>0</v>
      </c>
      <c r="F899" s="149">
        <v>0</v>
      </c>
      <c r="G899" s="149">
        <v>0</v>
      </c>
      <c r="H899" s="149">
        <v>0</v>
      </c>
      <c r="I899" s="150">
        <v>0</v>
      </c>
    </row>
    <row r="900" spans="1:9" ht="15.6" x14ac:dyDescent="0.25">
      <c r="A900" s="145"/>
      <c r="B900" s="146">
        <v>3326797</v>
      </c>
      <c r="C900" s="147"/>
      <c r="D900" s="148" t="s">
        <v>748</v>
      </c>
      <c r="E900" s="149">
        <v>5.31</v>
      </c>
      <c r="F900" s="149">
        <v>2.88</v>
      </c>
      <c r="G900" s="149">
        <v>0</v>
      </c>
      <c r="H900" s="149">
        <v>2.73</v>
      </c>
      <c r="I900" s="150">
        <v>10.92</v>
      </c>
    </row>
    <row r="901" spans="1:9" ht="15.6" x14ac:dyDescent="0.25">
      <c r="A901" s="145"/>
      <c r="B901" s="146">
        <v>3328665</v>
      </c>
      <c r="C901" s="147"/>
      <c r="D901" s="148" t="s">
        <v>967</v>
      </c>
      <c r="E901" s="149">
        <v>5.31</v>
      </c>
      <c r="F901" s="149">
        <v>2.88</v>
      </c>
      <c r="G901" s="149">
        <v>0</v>
      </c>
      <c r="H901" s="149">
        <v>2.73</v>
      </c>
      <c r="I901" s="150">
        <v>10.92</v>
      </c>
    </row>
    <row r="902" spans="1:9" ht="15.6" x14ac:dyDescent="0.25">
      <c r="A902" s="145"/>
      <c r="B902" s="146">
        <v>3335121</v>
      </c>
      <c r="C902" s="147"/>
      <c r="D902" s="148" t="s">
        <v>771</v>
      </c>
      <c r="E902" s="149">
        <v>5.31</v>
      </c>
      <c r="F902" s="149">
        <v>2.88</v>
      </c>
      <c r="G902" s="149">
        <v>0</v>
      </c>
      <c r="H902" s="149">
        <v>2.73</v>
      </c>
      <c r="I902" s="150">
        <v>10.92</v>
      </c>
    </row>
    <row r="903" spans="1:9" ht="15.6" x14ac:dyDescent="0.25">
      <c r="A903" s="145"/>
      <c r="B903" s="146">
        <v>3341927</v>
      </c>
      <c r="C903" s="147"/>
      <c r="D903" s="148" t="s">
        <v>935</v>
      </c>
      <c r="E903" s="149">
        <v>5.31</v>
      </c>
      <c r="F903" s="149">
        <v>2.88</v>
      </c>
      <c r="G903" s="149">
        <v>0</v>
      </c>
      <c r="H903" s="149">
        <v>2.73</v>
      </c>
      <c r="I903" s="150">
        <v>10.92</v>
      </c>
    </row>
    <row r="904" spans="1:9" ht="15.6" x14ac:dyDescent="0.25">
      <c r="A904" s="145"/>
      <c r="B904" s="146">
        <v>3349495</v>
      </c>
      <c r="C904" s="147"/>
      <c r="D904" s="148" t="s">
        <v>864</v>
      </c>
      <c r="E904" s="149">
        <v>5.31</v>
      </c>
      <c r="F904" s="149">
        <v>2.88</v>
      </c>
      <c r="G904" s="149">
        <v>0</v>
      </c>
      <c r="H904" s="149">
        <v>2.73</v>
      </c>
      <c r="I904" s="150">
        <v>10.92</v>
      </c>
    </row>
    <row r="905" spans="1:9" ht="15.6" x14ac:dyDescent="0.25">
      <c r="A905" s="145"/>
      <c r="B905" s="146">
        <v>3351094</v>
      </c>
      <c r="C905" s="147"/>
      <c r="D905" s="148" t="s">
        <v>764</v>
      </c>
      <c r="E905" s="149">
        <v>5.31</v>
      </c>
      <c r="F905" s="149">
        <v>2.88</v>
      </c>
      <c r="G905" s="149">
        <v>0</v>
      </c>
      <c r="H905" s="149">
        <v>2.73</v>
      </c>
      <c r="I905" s="150">
        <v>10.92</v>
      </c>
    </row>
    <row r="906" spans="1:9" ht="15.6" x14ac:dyDescent="0.25">
      <c r="A906" s="145"/>
      <c r="B906" s="146">
        <v>3365147</v>
      </c>
      <c r="C906" s="147"/>
      <c r="D906" s="148" t="s">
        <v>723</v>
      </c>
      <c r="E906" s="149">
        <v>0</v>
      </c>
      <c r="F906" s="149">
        <v>0</v>
      </c>
      <c r="G906" s="149">
        <v>0</v>
      </c>
      <c r="H906" s="149">
        <v>0</v>
      </c>
      <c r="I906" s="150">
        <v>0</v>
      </c>
    </row>
    <row r="907" spans="1:9" ht="15.6" x14ac:dyDescent="0.25">
      <c r="A907" s="145"/>
      <c r="B907" s="146">
        <v>3371265</v>
      </c>
      <c r="C907" s="147"/>
      <c r="D907" s="148" t="s">
        <v>747</v>
      </c>
      <c r="E907" s="149">
        <v>5.31</v>
      </c>
      <c r="F907" s="149">
        <v>2.88</v>
      </c>
      <c r="G907" s="149">
        <v>0</v>
      </c>
      <c r="H907" s="149">
        <v>2.73</v>
      </c>
      <c r="I907" s="150">
        <v>10.92</v>
      </c>
    </row>
    <row r="908" spans="1:9" ht="15.6" x14ac:dyDescent="0.25">
      <c r="A908" s="145"/>
      <c r="B908" s="146">
        <v>3372342</v>
      </c>
      <c r="C908" s="147"/>
      <c r="D908" s="148" t="s">
        <v>790</v>
      </c>
      <c r="E908" s="149">
        <v>5.31</v>
      </c>
      <c r="F908" s="149">
        <v>2.88</v>
      </c>
      <c r="G908" s="149">
        <v>18.260000000000002</v>
      </c>
      <c r="H908" s="149">
        <v>2.73</v>
      </c>
      <c r="I908" s="150">
        <v>29.180000000000003</v>
      </c>
    </row>
    <row r="909" spans="1:9" ht="15.6" x14ac:dyDescent="0.25">
      <c r="A909" s="145"/>
      <c r="B909" s="146">
        <v>3372393</v>
      </c>
      <c r="C909" s="147"/>
      <c r="D909" s="148" t="s">
        <v>857</v>
      </c>
      <c r="E909" s="149">
        <v>0</v>
      </c>
      <c r="F909" s="149">
        <v>0</v>
      </c>
      <c r="G909" s="149">
        <v>0</v>
      </c>
      <c r="H909" s="149">
        <v>0</v>
      </c>
      <c r="I909" s="150">
        <v>0</v>
      </c>
    </row>
    <row r="910" spans="1:9" ht="15.6" x14ac:dyDescent="0.25">
      <c r="A910" s="145"/>
      <c r="B910" s="146">
        <v>3373347</v>
      </c>
      <c r="C910" s="147"/>
      <c r="D910" s="148" t="s">
        <v>921</v>
      </c>
      <c r="E910" s="149">
        <v>0</v>
      </c>
      <c r="F910" s="149">
        <v>0</v>
      </c>
      <c r="G910" s="149">
        <v>0</v>
      </c>
      <c r="H910" s="149">
        <v>0</v>
      </c>
      <c r="I910" s="150">
        <v>0</v>
      </c>
    </row>
    <row r="911" spans="1:9" ht="15.6" x14ac:dyDescent="0.25">
      <c r="A911" s="145"/>
      <c r="B911" s="146">
        <v>3383586</v>
      </c>
      <c r="C911" s="147"/>
      <c r="D911" s="148" t="s">
        <v>919</v>
      </c>
      <c r="E911" s="149">
        <v>0</v>
      </c>
      <c r="F911" s="149">
        <v>0</v>
      </c>
      <c r="G911" s="149">
        <v>0</v>
      </c>
      <c r="H911" s="149">
        <v>0</v>
      </c>
      <c r="I911" s="150">
        <v>0</v>
      </c>
    </row>
    <row r="912" spans="1:9" ht="15.6" x14ac:dyDescent="0.25">
      <c r="A912" s="145"/>
      <c r="B912" s="146">
        <v>3390951</v>
      </c>
      <c r="C912" s="147"/>
      <c r="D912" s="148" t="s">
        <v>802</v>
      </c>
      <c r="E912" s="149">
        <v>0</v>
      </c>
      <c r="F912" s="149">
        <v>0</v>
      </c>
      <c r="G912" s="149">
        <v>0</v>
      </c>
      <c r="H912" s="149">
        <v>0</v>
      </c>
      <c r="I912" s="150">
        <v>0</v>
      </c>
    </row>
    <row r="913" spans="1:9" ht="15.6" x14ac:dyDescent="0.25">
      <c r="A913" s="145"/>
      <c r="B913" s="146">
        <v>3391660</v>
      </c>
      <c r="C913" s="147"/>
      <c r="D913" s="148" t="s">
        <v>789</v>
      </c>
      <c r="E913" s="149">
        <v>5.31</v>
      </c>
      <c r="F913" s="149">
        <v>2.88</v>
      </c>
      <c r="G913" s="149">
        <v>32.92</v>
      </c>
      <c r="H913" s="149">
        <v>2.73</v>
      </c>
      <c r="I913" s="150">
        <v>43.839999999999996</v>
      </c>
    </row>
    <row r="914" spans="1:9" ht="15.6" x14ac:dyDescent="0.25">
      <c r="A914" s="145"/>
      <c r="B914" s="146">
        <v>3394821</v>
      </c>
      <c r="C914" s="147"/>
      <c r="D914" s="148" t="s">
        <v>774</v>
      </c>
      <c r="E914" s="149">
        <v>5.31</v>
      </c>
      <c r="F914" s="149">
        <v>2.88</v>
      </c>
      <c r="G914" s="149">
        <v>36.590000000000003</v>
      </c>
      <c r="H914" s="149">
        <v>2.73</v>
      </c>
      <c r="I914" s="150">
        <v>47.51</v>
      </c>
    </row>
    <row r="915" spans="1:9" ht="15.6" x14ac:dyDescent="0.25">
      <c r="A915" s="145"/>
      <c r="B915" s="146">
        <v>3397014</v>
      </c>
      <c r="C915" s="147"/>
      <c r="D915" s="148" t="s">
        <v>857</v>
      </c>
      <c r="E915" s="149">
        <v>0</v>
      </c>
      <c r="F915" s="149">
        <v>0</v>
      </c>
      <c r="G915" s="149">
        <v>0</v>
      </c>
      <c r="H915" s="149">
        <v>0</v>
      </c>
      <c r="I915" s="150">
        <v>0</v>
      </c>
    </row>
    <row r="916" spans="1:9" ht="15.6" x14ac:dyDescent="0.25">
      <c r="A916" s="145"/>
      <c r="B916" s="146">
        <v>3399662</v>
      </c>
      <c r="C916" s="147"/>
      <c r="D916" s="148" t="s">
        <v>857</v>
      </c>
      <c r="E916" s="149">
        <v>0</v>
      </c>
      <c r="F916" s="149">
        <v>0</v>
      </c>
      <c r="G916" s="149">
        <v>0</v>
      </c>
      <c r="H916" s="149">
        <v>0</v>
      </c>
      <c r="I916" s="150">
        <v>0</v>
      </c>
    </row>
    <row r="917" spans="1:9" ht="15.6" x14ac:dyDescent="0.25">
      <c r="A917" s="145"/>
      <c r="B917" s="146">
        <v>3400867</v>
      </c>
      <c r="C917" s="147"/>
      <c r="D917" s="148" t="s">
        <v>967</v>
      </c>
      <c r="E917" s="149">
        <v>5.31</v>
      </c>
      <c r="F917" s="149">
        <v>2.88</v>
      </c>
      <c r="G917" s="149">
        <v>0</v>
      </c>
      <c r="H917" s="149">
        <v>2.73</v>
      </c>
      <c r="I917" s="150">
        <v>10.92</v>
      </c>
    </row>
    <row r="918" spans="1:9" ht="15.6" x14ac:dyDescent="0.25">
      <c r="A918" s="145"/>
      <c r="B918" s="146">
        <v>3405404</v>
      </c>
      <c r="C918" s="147"/>
      <c r="D918" s="148" t="s">
        <v>773</v>
      </c>
      <c r="E918" s="149">
        <v>5.31</v>
      </c>
      <c r="F918" s="149">
        <v>2.88</v>
      </c>
      <c r="G918" s="149">
        <v>72.52</v>
      </c>
      <c r="H918" s="149">
        <v>2.73</v>
      </c>
      <c r="I918" s="150">
        <v>83.44</v>
      </c>
    </row>
    <row r="919" spans="1:9" ht="15.6" x14ac:dyDescent="0.25">
      <c r="A919" s="145"/>
      <c r="B919" s="146">
        <v>3407158</v>
      </c>
      <c r="C919" s="147"/>
      <c r="D919" s="148" t="s">
        <v>851</v>
      </c>
      <c r="E919" s="149">
        <v>5.31</v>
      </c>
      <c r="F919" s="149">
        <v>2.88</v>
      </c>
      <c r="G919" s="149">
        <v>22.66</v>
      </c>
      <c r="H919" s="149">
        <v>2.73</v>
      </c>
      <c r="I919" s="150">
        <v>33.58</v>
      </c>
    </row>
    <row r="920" spans="1:9" ht="15.6" x14ac:dyDescent="0.25">
      <c r="A920" s="145"/>
      <c r="B920" s="146">
        <v>3410009</v>
      </c>
      <c r="C920" s="147"/>
      <c r="D920" s="148" t="s">
        <v>773</v>
      </c>
      <c r="E920" s="149">
        <v>5.31</v>
      </c>
      <c r="F920" s="149">
        <v>2.88</v>
      </c>
      <c r="G920" s="149">
        <v>36.56</v>
      </c>
      <c r="H920" s="149">
        <v>2.73</v>
      </c>
      <c r="I920" s="150">
        <v>47.48</v>
      </c>
    </row>
    <row r="921" spans="1:9" ht="15.6" x14ac:dyDescent="0.25">
      <c r="A921" s="145"/>
      <c r="B921" s="146">
        <v>3415708</v>
      </c>
      <c r="C921" s="147"/>
      <c r="D921" s="148" t="s">
        <v>913</v>
      </c>
      <c r="E921" s="149">
        <v>0</v>
      </c>
      <c r="F921" s="149">
        <v>0</v>
      </c>
      <c r="G921" s="149">
        <v>0</v>
      </c>
      <c r="H921" s="149">
        <v>0</v>
      </c>
      <c r="I921" s="150">
        <v>0</v>
      </c>
    </row>
    <row r="922" spans="1:9" ht="15.6" x14ac:dyDescent="0.25">
      <c r="A922" s="145"/>
      <c r="B922" s="146">
        <v>3416335</v>
      </c>
      <c r="C922" s="147"/>
      <c r="D922" s="148" t="s">
        <v>871</v>
      </c>
      <c r="E922" s="149">
        <v>5.31</v>
      </c>
      <c r="F922" s="149">
        <v>2.88</v>
      </c>
      <c r="G922" s="149">
        <v>0</v>
      </c>
      <c r="H922" s="149">
        <v>2.73</v>
      </c>
      <c r="I922" s="150">
        <v>10.92</v>
      </c>
    </row>
    <row r="923" spans="1:9" ht="15.6" x14ac:dyDescent="0.25">
      <c r="A923" s="145"/>
      <c r="B923" s="146">
        <v>3420869</v>
      </c>
      <c r="C923" s="147"/>
      <c r="D923" s="148" t="s">
        <v>780</v>
      </c>
      <c r="E923" s="149">
        <v>5.31</v>
      </c>
      <c r="F923" s="149">
        <v>2.88</v>
      </c>
      <c r="G923" s="149">
        <v>49.91</v>
      </c>
      <c r="H923" s="149">
        <v>2.73</v>
      </c>
      <c r="I923" s="150">
        <v>60.829999999999991</v>
      </c>
    </row>
    <row r="924" spans="1:9" ht="15.6" x14ac:dyDescent="0.25">
      <c r="A924" s="145"/>
      <c r="B924" s="146">
        <v>3429084</v>
      </c>
      <c r="C924" s="147"/>
      <c r="D924" s="148" t="s">
        <v>919</v>
      </c>
      <c r="E924" s="149">
        <v>0</v>
      </c>
      <c r="F924" s="149">
        <v>0</v>
      </c>
      <c r="G924" s="149">
        <v>0</v>
      </c>
      <c r="H924" s="149">
        <v>0</v>
      </c>
      <c r="I924" s="150">
        <v>0</v>
      </c>
    </row>
    <row r="925" spans="1:9" ht="15.6" x14ac:dyDescent="0.25">
      <c r="A925" s="145"/>
      <c r="B925" s="146">
        <v>3429151</v>
      </c>
      <c r="C925" s="147"/>
      <c r="D925" s="148" t="s">
        <v>862</v>
      </c>
      <c r="E925" s="149">
        <v>5.31</v>
      </c>
      <c r="F925" s="149">
        <v>2.88</v>
      </c>
      <c r="G925" s="149">
        <v>0</v>
      </c>
      <c r="H925" s="149">
        <v>2.73</v>
      </c>
      <c r="I925" s="150">
        <v>10.92</v>
      </c>
    </row>
    <row r="926" spans="1:9" ht="15.6" x14ac:dyDescent="0.25">
      <c r="A926" s="145"/>
      <c r="B926" s="146">
        <v>3433228</v>
      </c>
      <c r="C926" s="147"/>
      <c r="D926" s="148" t="s">
        <v>871</v>
      </c>
      <c r="E926" s="149">
        <v>5.31</v>
      </c>
      <c r="F926" s="149">
        <v>2.88</v>
      </c>
      <c r="G926" s="149">
        <v>0</v>
      </c>
      <c r="H926" s="149">
        <v>2.73</v>
      </c>
      <c r="I926" s="150">
        <v>10.92</v>
      </c>
    </row>
    <row r="927" spans="1:9" ht="15.6" x14ac:dyDescent="0.25">
      <c r="A927" s="145"/>
      <c r="B927" s="146">
        <v>3440787</v>
      </c>
      <c r="C927" s="147"/>
      <c r="D927" s="148" t="s">
        <v>851</v>
      </c>
      <c r="E927" s="149">
        <v>5.31</v>
      </c>
      <c r="F927" s="149">
        <v>2.88</v>
      </c>
      <c r="G927" s="149">
        <v>22.66</v>
      </c>
      <c r="H927" s="149">
        <v>2.73</v>
      </c>
      <c r="I927" s="150">
        <v>33.58</v>
      </c>
    </row>
    <row r="928" spans="1:9" ht="15.6" x14ac:dyDescent="0.25">
      <c r="A928" s="145"/>
      <c r="B928" s="146">
        <v>3444496</v>
      </c>
      <c r="C928" s="147"/>
      <c r="D928" s="148" t="s">
        <v>740</v>
      </c>
      <c r="E928" s="149">
        <v>5.31</v>
      </c>
      <c r="F928" s="149">
        <v>2.88</v>
      </c>
      <c r="G928" s="149">
        <v>0</v>
      </c>
      <c r="H928" s="149">
        <v>2.73</v>
      </c>
      <c r="I928" s="150">
        <v>10.92</v>
      </c>
    </row>
    <row r="929" spans="1:9" ht="15.6" x14ac:dyDescent="0.25">
      <c r="A929" s="145"/>
      <c r="B929" s="146">
        <v>3446671</v>
      </c>
      <c r="C929" s="147"/>
      <c r="D929" s="148" t="s">
        <v>891</v>
      </c>
      <c r="E929" s="149">
        <v>5.31</v>
      </c>
      <c r="F929" s="149">
        <v>2.88</v>
      </c>
      <c r="G929" s="149">
        <v>0</v>
      </c>
      <c r="H929" s="149">
        <v>2.73</v>
      </c>
      <c r="I929" s="150">
        <v>10.92</v>
      </c>
    </row>
    <row r="930" spans="1:9" ht="15.6" x14ac:dyDescent="0.25">
      <c r="A930" s="145"/>
      <c r="B930" s="146">
        <v>3452778</v>
      </c>
      <c r="C930" s="147"/>
      <c r="D930" s="148" t="s">
        <v>789</v>
      </c>
      <c r="E930" s="149">
        <v>5.31</v>
      </c>
      <c r="F930" s="149">
        <v>2.88</v>
      </c>
      <c r="G930" s="149">
        <v>24.03</v>
      </c>
      <c r="H930" s="149">
        <v>2.73</v>
      </c>
      <c r="I930" s="150">
        <v>34.949999999999996</v>
      </c>
    </row>
    <row r="931" spans="1:9" ht="15.6" x14ac:dyDescent="0.25">
      <c r="A931" s="145"/>
      <c r="B931" s="146">
        <v>3453018</v>
      </c>
      <c r="C931" s="147"/>
      <c r="D931" s="148" t="s">
        <v>956</v>
      </c>
      <c r="E931" s="149">
        <v>0</v>
      </c>
      <c r="F931" s="149">
        <v>2.88</v>
      </c>
      <c r="G931" s="149">
        <v>0</v>
      </c>
      <c r="H931" s="149">
        <v>2.73</v>
      </c>
      <c r="I931" s="150">
        <v>5.6099999999999994</v>
      </c>
    </row>
    <row r="932" spans="1:9" ht="15.6" x14ac:dyDescent="0.25">
      <c r="A932" s="145"/>
      <c r="B932" s="146">
        <v>3456140</v>
      </c>
      <c r="C932" s="147"/>
      <c r="D932" s="148" t="s">
        <v>908</v>
      </c>
      <c r="E932" s="149">
        <v>5.31</v>
      </c>
      <c r="F932" s="149">
        <v>2.88</v>
      </c>
      <c r="G932" s="149">
        <v>0</v>
      </c>
      <c r="H932" s="149">
        <v>2.73</v>
      </c>
      <c r="I932" s="150">
        <v>10.92</v>
      </c>
    </row>
    <row r="933" spans="1:9" ht="15.6" x14ac:dyDescent="0.25">
      <c r="A933" s="145"/>
      <c r="B933" s="146">
        <v>3457374</v>
      </c>
      <c r="C933" s="147"/>
      <c r="D933" s="148" t="s">
        <v>851</v>
      </c>
      <c r="E933" s="149">
        <v>5.31</v>
      </c>
      <c r="F933" s="149">
        <v>2.88</v>
      </c>
      <c r="G933" s="149">
        <v>22.66</v>
      </c>
      <c r="H933" s="149">
        <v>2.73</v>
      </c>
      <c r="I933" s="150">
        <v>33.58</v>
      </c>
    </row>
    <row r="934" spans="1:9" ht="15.6" x14ac:dyDescent="0.25">
      <c r="A934" s="145"/>
      <c r="B934" s="146">
        <v>3463987</v>
      </c>
      <c r="C934" s="147"/>
      <c r="D934" s="148" t="s">
        <v>893</v>
      </c>
      <c r="E934" s="149">
        <v>5.31</v>
      </c>
      <c r="F934" s="149">
        <v>2.88</v>
      </c>
      <c r="G934" s="149">
        <v>0</v>
      </c>
      <c r="H934" s="149">
        <v>2.73</v>
      </c>
      <c r="I934" s="150">
        <v>10.92</v>
      </c>
    </row>
    <row r="935" spans="1:9" ht="15.6" x14ac:dyDescent="0.25">
      <c r="A935" s="145"/>
      <c r="B935" s="146">
        <v>3467042</v>
      </c>
      <c r="C935" s="147"/>
      <c r="D935" s="148" t="s">
        <v>868</v>
      </c>
      <c r="E935" s="149">
        <v>5.31</v>
      </c>
      <c r="F935" s="149">
        <v>2.88</v>
      </c>
      <c r="G935" s="149">
        <v>0</v>
      </c>
      <c r="H935" s="149">
        <v>2.73</v>
      </c>
      <c r="I935" s="150">
        <v>10.92</v>
      </c>
    </row>
    <row r="936" spans="1:9" ht="15.6" x14ac:dyDescent="0.25">
      <c r="A936" s="145"/>
      <c r="B936" s="146">
        <v>3467276</v>
      </c>
      <c r="C936" s="147"/>
      <c r="D936" s="148" t="s">
        <v>836</v>
      </c>
      <c r="E936" s="149">
        <v>5.31</v>
      </c>
      <c r="F936" s="149">
        <v>2.88</v>
      </c>
      <c r="G936" s="149">
        <v>0</v>
      </c>
      <c r="H936" s="149">
        <v>2.73</v>
      </c>
      <c r="I936" s="150">
        <v>10.92</v>
      </c>
    </row>
    <row r="937" spans="1:9" ht="15.6" x14ac:dyDescent="0.25">
      <c r="A937" s="145"/>
      <c r="B937" s="146">
        <v>3467594</v>
      </c>
      <c r="C937" s="147"/>
      <c r="D937" s="148" t="s">
        <v>825</v>
      </c>
      <c r="E937" s="149">
        <v>5.31</v>
      </c>
      <c r="F937" s="149">
        <v>2.88</v>
      </c>
      <c r="G937" s="149">
        <v>0</v>
      </c>
      <c r="H937" s="149">
        <v>2.73</v>
      </c>
      <c r="I937" s="150">
        <v>10.92</v>
      </c>
    </row>
    <row r="938" spans="1:9" ht="15.6" x14ac:dyDescent="0.25">
      <c r="A938" s="145"/>
      <c r="B938" s="146">
        <v>3476077</v>
      </c>
      <c r="C938" s="147"/>
      <c r="D938" s="148" t="s">
        <v>851</v>
      </c>
      <c r="E938" s="149">
        <v>5.31</v>
      </c>
      <c r="F938" s="149">
        <v>2.88</v>
      </c>
      <c r="G938" s="149">
        <v>22.66</v>
      </c>
      <c r="H938" s="149">
        <v>2.73</v>
      </c>
      <c r="I938" s="150">
        <v>33.58</v>
      </c>
    </row>
    <row r="939" spans="1:9" ht="15.6" x14ac:dyDescent="0.25">
      <c r="A939" s="145"/>
      <c r="B939" s="146">
        <v>3477900</v>
      </c>
      <c r="C939" s="147"/>
      <c r="D939" s="148" t="s">
        <v>857</v>
      </c>
      <c r="E939" s="149">
        <v>0</v>
      </c>
      <c r="F939" s="149">
        <v>0</v>
      </c>
      <c r="G939" s="149">
        <v>0</v>
      </c>
      <c r="H939" s="149">
        <v>0</v>
      </c>
      <c r="I939" s="150">
        <v>0</v>
      </c>
    </row>
    <row r="940" spans="1:9" ht="15.6" x14ac:dyDescent="0.25">
      <c r="A940" s="145"/>
      <c r="B940" s="146">
        <v>3487395</v>
      </c>
      <c r="C940" s="147"/>
      <c r="D940" s="148" t="s">
        <v>898</v>
      </c>
      <c r="E940" s="149">
        <v>5.31</v>
      </c>
      <c r="F940" s="149">
        <v>2.88</v>
      </c>
      <c r="G940" s="149">
        <v>0</v>
      </c>
      <c r="H940" s="149">
        <v>2.73</v>
      </c>
      <c r="I940" s="150">
        <v>10.92</v>
      </c>
    </row>
    <row r="941" spans="1:9" ht="15.6" x14ac:dyDescent="0.25">
      <c r="A941" s="145"/>
      <c r="B941" s="146">
        <v>3489859</v>
      </c>
      <c r="C941" s="147"/>
      <c r="D941" s="148" t="s">
        <v>865</v>
      </c>
      <c r="E941" s="149">
        <v>5.31</v>
      </c>
      <c r="F941" s="149">
        <v>2.88</v>
      </c>
      <c r="G941" s="149">
        <v>0</v>
      </c>
      <c r="H941" s="149">
        <v>2.73</v>
      </c>
      <c r="I941" s="150">
        <v>10.92</v>
      </c>
    </row>
    <row r="942" spans="1:9" ht="15.6" x14ac:dyDescent="0.25">
      <c r="A942" s="145"/>
      <c r="B942" s="146">
        <v>3491938</v>
      </c>
      <c r="C942" s="147"/>
      <c r="D942" s="148" t="s">
        <v>818</v>
      </c>
      <c r="E942" s="149">
        <v>5.31</v>
      </c>
      <c r="F942" s="149">
        <v>2.88</v>
      </c>
      <c r="G942" s="149">
        <v>0</v>
      </c>
      <c r="H942" s="149">
        <v>2.73</v>
      </c>
      <c r="I942" s="150">
        <v>10.92</v>
      </c>
    </row>
    <row r="943" spans="1:9" ht="15.6" x14ac:dyDescent="0.25">
      <c r="A943" s="145"/>
      <c r="B943" s="146">
        <v>3503636</v>
      </c>
      <c r="C943" s="147"/>
      <c r="D943" s="148" t="s">
        <v>745</v>
      </c>
      <c r="E943" s="149">
        <v>5.31</v>
      </c>
      <c r="F943" s="149">
        <v>2.88</v>
      </c>
      <c r="G943" s="149">
        <v>0</v>
      </c>
      <c r="H943" s="149">
        <v>2.73</v>
      </c>
      <c r="I943" s="150">
        <v>10.92</v>
      </c>
    </row>
    <row r="944" spans="1:9" ht="15.6" x14ac:dyDescent="0.25">
      <c r="A944" s="145"/>
      <c r="B944" s="146">
        <v>3506514</v>
      </c>
      <c r="C944" s="147"/>
      <c r="D944" s="148" t="s">
        <v>755</v>
      </c>
      <c r="E944" s="149">
        <v>0</v>
      </c>
      <c r="F944" s="149">
        <v>0</v>
      </c>
      <c r="G944" s="149">
        <v>0</v>
      </c>
      <c r="H944" s="149">
        <v>2.73</v>
      </c>
      <c r="I944" s="150">
        <v>2.73</v>
      </c>
    </row>
    <row r="945" spans="1:9" ht="15.6" x14ac:dyDescent="0.25">
      <c r="A945" s="145"/>
      <c r="B945" s="146">
        <v>3506571</v>
      </c>
      <c r="C945" s="147"/>
      <c r="D945" s="148" t="s">
        <v>849</v>
      </c>
      <c r="E945" s="149">
        <v>0</v>
      </c>
      <c r="F945" s="149">
        <v>0</v>
      </c>
      <c r="G945" s="149">
        <v>0</v>
      </c>
      <c r="H945" s="149">
        <v>2.73</v>
      </c>
      <c r="I945" s="150">
        <v>2.73</v>
      </c>
    </row>
    <row r="946" spans="1:9" ht="15.6" x14ac:dyDescent="0.25">
      <c r="A946" s="145"/>
      <c r="B946" s="146">
        <v>3513027</v>
      </c>
      <c r="C946" s="147"/>
      <c r="D946" s="148" t="s">
        <v>864</v>
      </c>
      <c r="E946" s="149">
        <v>5.31</v>
      </c>
      <c r="F946" s="149">
        <v>2.88</v>
      </c>
      <c r="G946" s="149">
        <v>0</v>
      </c>
      <c r="H946" s="149">
        <v>2.73</v>
      </c>
      <c r="I946" s="150">
        <v>10.92</v>
      </c>
    </row>
    <row r="947" spans="1:9" ht="15.6" x14ac:dyDescent="0.25">
      <c r="A947" s="145"/>
      <c r="B947" s="146">
        <v>3514831</v>
      </c>
      <c r="C947" s="147"/>
      <c r="D947" s="148" t="s">
        <v>874</v>
      </c>
      <c r="E947" s="149">
        <v>5.31</v>
      </c>
      <c r="F947" s="149">
        <v>2.88</v>
      </c>
      <c r="G947" s="149">
        <v>0</v>
      </c>
      <c r="H947" s="149">
        <v>2.73</v>
      </c>
      <c r="I947" s="150">
        <v>10.92</v>
      </c>
    </row>
    <row r="948" spans="1:9" ht="15.6" x14ac:dyDescent="0.25">
      <c r="A948" s="145"/>
      <c r="B948" s="146">
        <v>3516688</v>
      </c>
      <c r="C948" s="147"/>
      <c r="D948" s="148" t="s">
        <v>851</v>
      </c>
      <c r="E948" s="149">
        <v>5.31</v>
      </c>
      <c r="F948" s="149">
        <v>2.88</v>
      </c>
      <c r="G948" s="149">
        <v>28.61</v>
      </c>
      <c r="H948" s="149">
        <v>2.73</v>
      </c>
      <c r="I948" s="150">
        <v>39.529999999999994</v>
      </c>
    </row>
    <row r="949" spans="1:9" ht="15.6" x14ac:dyDescent="0.25">
      <c r="A949" s="145"/>
      <c r="B949" s="146">
        <v>3517423</v>
      </c>
      <c r="C949" s="147"/>
      <c r="D949" s="148" t="s">
        <v>962</v>
      </c>
      <c r="E949" s="149">
        <v>0</v>
      </c>
      <c r="F949" s="149">
        <v>0</v>
      </c>
      <c r="G949" s="149">
        <v>0</v>
      </c>
      <c r="H949" s="149">
        <v>2.73</v>
      </c>
      <c r="I949" s="150">
        <v>2.73</v>
      </c>
    </row>
    <row r="950" spans="1:9" ht="15.6" x14ac:dyDescent="0.25">
      <c r="A950" s="145"/>
      <c r="B950" s="146">
        <v>3519729</v>
      </c>
      <c r="C950" s="147"/>
      <c r="D950" s="148" t="s">
        <v>778</v>
      </c>
      <c r="E950" s="149">
        <v>5.31</v>
      </c>
      <c r="F950" s="149">
        <v>0</v>
      </c>
      <c r="G950" s="149">
        <v>0</v>
      </c>
      <c r="H950" s="149">
        <v>0</v>
      </c>
      <c r="I950" s="150">
        <v>5.31</v>
      </c>
    </row>
    <row r="951" spans="1:9" ht="15.6" x14ac:dyDescent="0.25">
      <c r="A951" s="145"/>
      <c r="B951" s="146">
        <v>3525546</v>
      </c>
      <c r="C951" s="147"/>
      <c r="D951" s="148" t="s">
        <v>781</v>
      </c>
      <c r="E951" s="149">
        <v>5.31</v>
      </c>
      <c r="F951" s="149">
        <v>2.88</v>
      </c>
      <c r="G951" s="149">
        <v>0</v>
      </c>
      <c r="H951" s="149">
        <v>2.73</v>
      </c>
      <c r="I951" s="150">
        <v>10.92</v>
      </c>
    </row>
    <row r="952" spans="1:9" ht="15.6" x14ac:dyDescent="0.25">
      <c r="A952" s="145"/>
      <c r="B952" s="146">
        <v>3529116</v>
      </c>
      <c r="C952" s="147"/>
      <c r="D952" s="148" t="s">
        <v>773</v>
      </c>
      <c r="E952" s="149">
        <v>5.31</v>
      </c>
      <c r="F952" s="149">
        <v>2.88</v>
      </c>
      <c r="G952" s="149">
        <v>0</v>
      </c>
      <c r="H952" s="149">
        <v>2.73</v>
      </c>
      <c r="I952" s="150">
        <v>10.92</v>
      </c>
    </row>
    <row r="953" spans="1:9" ht="15.6" x14ac:dyDescent="0.25">
      <c r="A953" s="145"/>
      <c r="B953" s="146">
        <v>3532865</v>
      </c>
      <c r="C953" s="147"/>
      <c r="D953" s="148" t="s">
        <v>833</v>
      </c>
      <c r="E953" s="149">
        <v>5.31</v>
      </c>
      <c r="F953" s="149">
        <v>2.88</v>
      </c>
      <c r="G953" s="149">
        <v>0</v>
      </c>
      <c r="H953" s="149">
        <v>2.73</v>
      </c>
      <c r="I953" s="150">
        <v>10.92</v>
      </c>
    </row>
    <row r="954" spans="1:9" ht="15.6" x14ac:dyDescent="0.25">
      <c r="A954" s="145"/>
      <c r="B954" s="146">
        <v>3536370</v>
      </c>
      <c r="C954" s="147"/>
      <c r="D954" s="148" t="s">
        <v>726</v>
      </c>
      <c r="E954" s="149">
        <v>0</v>
      </c>
      <c r="F954" s="149">
        <v>0</v>
      </c>
      <c r="G954" s="149">
        <v>0</v>
      </c>
      <c r="H954" s="149">
        <v>0</v>
      </c>
      <c r="I954" s="150">
        <v>0</v>
      </c>
    </row>
    <row r="955" spans="1:9" ht="15.6" x14ac:dyDescent="0.25">
      <c r="A955" s="145"/>
      <c r="B955" s="146">
        <v>3538200</v>
      </c>
      <c r="C955" s="147"/>
      <c r="D955" s="148" t="s">
        <v>919</v>
      </c>
      <c r="E955" s="149">
        <v>0</v>
      </c>
      <c r="F955" s="149">
        <v>0</v>
      </c>
      <c r="G955" s="149">
        <v>0</v>
      </c>
      <c r="H955" s="149">
        <v>0</v>
      </c>
      <c r="I955" s="150">
        <v>0</v>
      </c>
    </row>
    <row r="956" spans="1:9" ht="15.6" x14ac:dyDescent="0.25">
      <c r="A956" s="145"/>
      <c r="B956" s="146">
        <v>3540224</v>
      </c>
      <c r="C956" s="147"/>
      <c r="D956" s="148" t="s">
        <v>717</v>
      </c>
      <c r="E956" s="149">
        <v>0</v>
      </c>
      <c r="F956" s="149">
        <v>0</v>
      </c>
      <c r="G956" s="149">
        <v>0</v>
      </c>
      <c r="H956" s="149">
        <v>0</v>
      </c>
      <c r="I956" s="150">
        <v>0</v>
      </c>
    </row>
    <row r="957" spans="1:9" ht="15.6" x14ac:dyDescent="0.25">
      <c r="A957" s="145"/>
      <c r="B957" s="146">
        <v>3540765</v>
      </c>
      <c r="C957" s="147"/>
      <c r="D957" s="148" t="s">
        <v>878</v>
      </c>
      <c r="E957" s="149">
        <v>5.31</v>
      </c>
      <c r="F957" s="149">
        <v>2.88</v>
      </c>
      <c r="G957" s="149">
        <v>0</v>
      </c>
      <c r="H957" s="149">
        <v>2.73</v>
      </c>
      <c r="I957" s="150">
        <v>10.92</v>
      </c>
    </row>
    <row r="958" spans="1:9" ht="15.6" x14ac:dyDescent="0.25">
      <c r="A958" s="145"/>
      <c r="B958" s="146">
        <v>3566628</v>
      </c>
      <c r="C958" s="147"/>
      <c r="D958" s="148" t="s">
        <v>912</v>
      </c>
      <c r="E958" s="149">
        <v>5.31</v>
      </c>
      <c r="F958" s="149">
        <v>2.88</v>
      </c>
      <c r="G958" s="149">
        <v>0</v>
      </c>
      <c r="H958" s="149">
        <v>2.73</v>
      </c>
      <c r="I958" s="150">
        <v>10.92</v>
      </c>
    </row>
    <row r="959" spans="1:9" ht="15.6" x14ac:dyDescent="0.25">
      <c r="A959" s="145"/>
      <c r="B959" s="146">
        <v>3569401</v>
      </c>
      <c r="C959" s="147"/>
      <c r="D959" s="148" t="s">
        <v>896</v>
      </c>
      <c r="E959" s="149">
        <v>5.31</v>
      </c>
      <c r="F959" s="149">
        <v>2.88</v>
      </c>
      <c r="G959" s="149">
        <v>0</v>
      </c>
      <c r="H959" s="149">
        <v>2.73</v>
      </c>
      <c r="I959" s="150">
        <v>10.92</v>
      </c>
    </row>
    <row r="960" spans="1:9" ht="15.6" x14ac:dyDescent="0.25">
      <c r="A960" s="145"/>
      <c r="B960" s="146">
        <v>3572339</v>
      </c>
      <c r="C960" s="147"/>
      <c r="D960" s="148" t="s">
        <v>864</v>
      </c>
      <c r="E960" s="149">
        <v>5.31</v>
      </c>
      <c r="F960" s="149">
        <v>2.88</v>
      </c>
      <c r="G960" s="149">
        <v>0</v>
      </c>
      <c r="H960" s="149">
        <v>2.73</v>
      </c>
      <c r="I960" s="150">
        <v>10.92</v>
      </c>
    </row>
    <row r="961" spans="1:9" ht="15.6" x14ac:dyDescent="0.25">
      <c r="A961" s="145"/>
      <c r="B961" s="146">
        <v>3575168</v>
      </c>
      <c r="C961" s="147"/>
      <c r="D961" s="148" t="s">
        <v>766</v>
      </c>
      <c r="E961" s="149">
        <v>0</v>
      </c>
      <c r="F961" s="149">
        <v>0</v>
      </c>
      <c r="G961" s="149">
        <v>0</v>
      </c>
      <c r="H961" s="149">
        <v>0</v>
      </c>
      <c r="I961" s="150">
        <v>0</v>
      </c>
    </row>
    <row r="962" spans="1:9" ht="15.6" x14ac:dyDescent="0.25">
      <c r="A962" s="145"/>
      <c r="B962" s="146">
        <v>3575568</v>
      </c>
      <c r="C962" s="147"/>
      <c r="D962" s="148" t="s">
        <v>816</v>
      </c>
      <c r="E962" s="149">
        <v>5.31</v>
      </c>
      <c r="F962" s="149">
        <v>2.88</v>
      </c>
      <c r="G962" s="149">
        <v>0</v>
      </c>
      <c r="H962" s="149">
        <v>2.73</v>
      </c>
      <c r="I962" s="150">
        <v>10.92</v>
      </c>
    </row>
    <row r="963" spans="1:9" ht="15.6" x14ac:dyDescent="0.25">
      <c r="A963" s="145"/>
      <c r="B963" s="146">
        <v>3576549</v>
      </c>
      <c r="C963" s="147"/>
      <c r="D963" s="148" t="s">
        <v>887</v>
      </c>
      <c r="E963" s="149">
        <v>5.31</v>
      </c>
      <c r="F963" s="149">
        <v>2.88</v>
      </c>
      <c r="G963" s="149">
        <v>0</v>
      </c>
      <c r="H963" s="149">
        <v>2.73</v>
      </c>
      <c r="I963" s="150">
        <v>10.92</v>
      </c>
    </row>
    <row r="964" spans="1:9" ht="15.6" x14ac:dyDescent="0.25">
      <c r="A964" s="145"/>
      <c r="B964" s="146">
        <v>3579484</v>
      </c>
      <c r="C964" s="147"/>
      <c r="D964" s="148" t="s">
        <v>831</v>
      </c>
      <c r="E964" s="149">
        <v>5.31</v>
      </c>
      <c r="F964" s="149">
        <v>2.88</v>
      </c>
      <c r="G964" s="149">
        <v>0</v>
      </c>
      <c r="H964" s="149">
        <v>2.73</v>
      </c>
      <c r="I964" s="150">
        <v>10.92</v>
      </c>
    </row>
    <row r="965" spans="1:9" ht="15.6" x14ac:dyDescent="0.25">
      <c r="A965" s="145"/>
      <c r="B965" s="146">
        <v>3579874</v>
      </c>
      <c r="C965" s="147"/>
      <c r="D965" s="148" t="s">
        <v>841</v>
      </c>
      <c r="E965" s="149">
        <v>5.31</v>
      </c>
      <c r="F965" s="149">
        <v>2.88</v>
      </c>
      <c r="G965" s="149">
        <v>0</v>
      </c>
      <c r="H965" s="149">
        <v>2.73</v>
      </c>
      <c r="I965" s="150">
        <v>10.92</v>
      </c>
    </row>
    <row r="966" spans="1:9" ht="15.6" x14ac:dyDescent="0.25">
      <c r="A966" s="145"/>
      <c r="B966" s="146">
        <v>3592273</v>
      </c>
      <c r="C966" s="147"/>
      <c r="D966" s="148" t="s">
        <v>921</v>
      </c>
      <c r="E966" s="149">
        <v>5.31</v>
      </c>
      <c r="F966" s="149">
        <v>2.88</v>
      </c>
      <c r="G966" s="149">
        <v>0</v>
      </c>
      <c r="H966" s="149">
        <v>2.73</v>
      </c>
      <c r="I966" s="150">
        <v>10.92</v>
      </c>
    </row>
    <row r="967" spans="1:9" ht="15.6" x14ac:dyDescent="0.25">
      <c r="A967" s="145"/>
      <c r="B967" s="146">
        <v>3599695</v>
      </c>
      <c r="C967" s="147"/>
      <c r="D967" s="148" t="s">
        <v>911</v>
      </c>
      <c r="E967" s="149">
        <v>5.31</v>
      </c>
      <c r="F967" s="149">
        <v>0</v>
      </c>
      <c r="G967" s="149">
        <v>0</v>
      </c>
      <c r="H967" s="149">
        <v>2.73</v>
      </c>
      <c r="I967" s="150">
        <v>8.0399999999999991</v>
      </c>
    </row>
    <row r="968" spans="1:9" ht="15.6" x14ac:dyDescent="0.25">
      <c r="A968" s="145"/>
      <c r="B968" s="146">
        <v>3605915</v>
      </c>
      <c r="C968" s="147"/>
      <c r="D968" s="148" t="s">
        <v>849</v>
      </c>
      <c r="E968" s="149">
        <v>0</v>
      </c>
      <c r="F968" s="149">
        <v>0</v>
      </c>
      <c r="G968" s="149">
        <v>0</v>
      </c>
      <c r="H968" s="149">
        <v>2.73</v>
      </c>
      <c r="I968" s="150">
        <v>2.73</v>
      </c>
    </row>
    <row r="969" spans="1:9" ht="15.6" x14ac:dyDescent="0.25">
      <c r="A969" s="145"/>
      <c r="B969" s="146">
        <v>3608261</v>
      </c>
      <c r="C969" s="147"/>
      <c r="D969" s="148" t="s">
        <v>894</v>
      </c>
      <c r="E969" s="149">
        <v>5.31</v>
      </c>
      <c r="F969" s="149">
        <v>2.88</v>
      </c>
      <c r="G969" s="149">
        <v>0</v>
      </c>
      <c r="H969" s="149">
        <v>0</v>
      </c>
      <c r="I969" s="150">
        <v>8.19</v>
      </c>
    </row>
    <row r="970" spans="1:9" ht="15.6" x14ac:dyDescent="0.25">
      <c r="A970" s="145"/>
      <c r="B970" s="146">
        <v>3608941</v>
      </c>
      <c r="C970" s="147"/>
      <c r="D970" s="148" t="s">
        <v>890</v>
      </c>
      <c r="E970" s="149">
        <v>0</v>
      </c>
      <c r="F970" s="149">
        <v>0</v>
      </c>
      <c r="G970" s="149">
        <v>0</v>
      </c>
      <c r="H970" s="149">
        <v>2.73</v>
      </c>
      <c r="I970" s="150">
        <v>2.73</v>
      </c>
    </row>
    <row r="971" spans="1:9" ht="15.6" x14ac:dyDescent="0.25">
      <c r="A971" s="145"/>
      <c r="B971" s="146">
        <v>3611806</v>
      </c>
      <c r="C971" s="147"/>
      <c r="D971" s="148" t="s">
        <v>771</v>
      </c>
      <c r="E971" s="149">
        <v>5.31</v>
      </c>
      <c r="F971" s="149">
        <v>2.88</v>
      </c>
      <c r="G971" s="149">
        <v>0</v>
      </c>
      <c r="H971" s="149">
        <v>2.73</v>
      </c>
      <c r="I971" s="150">
        <v>10.92</v>
      </c>
    </row>
    <row r="972" spans="1:9" ht="15.6" x14ac:dyDescent="0.25">
      <c r="A972" s="145"/>
      <c r="B972" s="146">
        <v>3620369</v>
      </c>
      <c r="C972" s="147"/>
      <c r="D972" s="148" t="s">
        <v>895</v>
      </c>
      <c r="E972" s="149">
        <v>5.31</v>
      </c>
      <c r="F972" s="149">
        <v>2.88</v>
      </c>
      <c r="G972" s="149">
        <v>0</v>
      </c>
      <c r="H972" s="149">
        <v>2.73</v>
      </c>
      <c r="I972" s="150">
        <v>10.92</v>
      </c>
    </row>
    <row r="973" spans="1:9" ht="15.6" x14ac:dyDescent="0.25">
      <c r="A973" s="145"/>
      <c r="B973" s="146">
        <v>3636281</v>
      </c>
      <c r="C973" s="147"/>
      <c r="D973" s="148" t="s">
        <v>851</v>
      </c>
      <c r="E973" s="149">
        <v>5.31</v>
      </c>
      <c r="F973" s="149">
        <v>2.88</v>
      </c>
      <c r="G973" s="149">
        <v>22.66</v>
      </c>
      <c r="H973" s="149">
        <v>2.73</v>
      </c>
      <c r="I973" s="150">
        <v>33.58</v>
      </c>
    </row>
    <row r="974" spans="1:9" ht="15.6" x14ac:dyDescent="0.25">
      <c r="A974" s="145"/>
      <c r="B974" s="146">
        <v>3638405</v>
      </c>
      <c r="C974" s="147"/>
      <c r="D974" s="148" t="s">
        <v>966</v>
      </c>
      <c r="E974" s="149">
        <v>5.31</v>
      </c>
      <c r="F974" s="149">
        <v>2.88</v>
      </c>
      <c r="G974" s="149">
        <v>0</v>
      </c>
      <c r="H974" s="149">
        <v>2.73</v>
      </c>
      <c r="I974" s="150">
        <v>10.92</v>
      </c>
    </row>
    <row r="975" spans="1:9" ht="15.6" x14ac:dyDescent="0.25">
      <c r="A975" s="145"/>
      <c r="B975" s="146">
        <v>3639232</v>
      </c>
      <c r="C975" s="147"/>
      <c r="D975" s="148" t="s">
        <v>769</v>
      </c>
      <c r="E975" s="149">
        <v>0</v>
      </c>
      <c r="F975" s="149">
        <v>0</v>
      </c>
      <c r="G975" s="149">
        <v>0</v>
      </c>
      <c r="H975" s="149">
        <v>0</v>
      </c>
      <c r="I975" s="150">
        <v>0</v>
      </c>
    </row>
    <row r="976" spans="1:9" ht="15.6" x14ac:dyDescent="0.25">
      <c r="A976" s="145"/>
      <c r="B976" s="146">
        <v>3640047</v>
      </c>
      <c r="C976" s="147"/>
      <c r="D976" s="148" t="s">
        <v>862</v>
      </c>
      <c r="E976" s="149">
        <v>5.31</v>
      </c>
      <c r="F976" s="149">
        <v>2.88</v>
      </c>
      <c r="G976" s="149">
        <v>0</v>
      </c>
      <c r="H976" s="149">
        <v>2.73</v>
      </c>
      <c r="I976" s="150">
        <v>10.92</v>
      </c>
    </row>
    <row r="977" spans="1:9" ht="15.6" x14ac:dyDescent="0.25">
      <c r="A977" s="145"/>
      <c r="B977" s="146">
        <v>3640166</v>
      </c>
      <c r="C977" s="147"/>
      <c r="D977" s="148" t="s">
        <v>850</v>
      </c>
      <c r="E977" s="149">
        <v>0</v>
      </c>
      <c r="F977" s="149">
        <v>0</v>
      </c>
      <c r="G977" s="149">
        <v>0</v>
      </c>
      <c r="H977" s="149">
        <v>0</v>
      </c>
      <c r="I977" s="150">
        <v>0</v>
      </c>
    </row>
    <row r="978" spans="1:9" ht="15.6" x14ac:dyDescent="0.25">
      <c r="A978" s="145"/>
      <c r="B978" s="146">
        <v>3640475</v>
      </c>
      <c r="C978" s="147"/>
      <c r="D978" s="148" t="s">
        <v>779</v>
      </c>
      <c r="E978" s="149">
        <v>5.31</v>
      </c>
      <c r="F978" s="149">
        <v>2.88</v>
      </c>
      <c r="G978" s="149">
        <v>0</v>
      </c>
      <c r="H978" s="149">
        <v>2.73</v>
      </c>
      <c r="I978" s="150">
        <v>10.92</v>
      </c>
    </row>
    <row r="979" spans="1:9" ht="15.6" x14ac:dyDescent="0.25">
      <c r="A979" s="145"/>
      <c r="B979" s="146">
        <v>3643393</v>
      </c>
      <c r="C979" s="147"/>
      <c r="D979" s="148" t="s">
        <v>826</v>
      </c>
      <c r="E979" s="149">
        <v>5.31</v>
      </c>
      <c r="F979" s="149">
        <v>2.88</v>
      </c>
      <c r="G979" s="149">
        <v>0</v>
      </c>
      <c r="H979" s="149">
        <v>2.73</v>
      </c>
      <c r="I979" s="150">
        <v>10.92</v>
      </c>
    </row>
    <row r="980" spans="1:9" ht="15.6" x14ac:dyDescent="0.25">
      <c r="A980" s="145"/>
      <c r="B980" s="146">
        <v>3650090</v>
      </c>
      <c r="C980" s="147"/>
      <c r="D980" s="148" t="s">
        <v>810</v>
      </c>
      <c r="E980" s="149">
        <v>0</v>
      </c>
      <c r="F980" s="149">
        <v>0</v>
      </c>
      <c r="G980" s="149">
        <v>0</v>
      </c>
      <c r="H980" s="149">
        <v>0</v>
      </c>
      <c r="I980" s="150">
        <v>0</v>
      </c>
    </row>
    <row r="981" spans="1:9" ht="15.6" x14ac:dyDescent="0.25">
      <c r="A981" s="145"/>
      <c r="B981" s="146">
        <v>3652948</v>
      </c>
      <c r="C981" s="147"/>
      <c r="D981" s="148" t="s">
        <v>751</v>
      </c>
      <c r="E981" s="149">
        <v>0</v>
      </c>
      <c r="F981" s="149">
        <v>0</v>
      </c>
      <c r="G981" s="149">
        <v>0</v>
      </c>
      <c r="H981" s="149">
        <v>0</v>
      </c>
      <c r="I981" s="150">
        <v>0</v>
      </c>
    </row>
    <row r="982" spans="1:9" ht="15.6" x14ac:dyDescent="0.25">
      <c r="A982" s="145"/>
      <c r="B982" s="146">
        <v>3661277</v>
      </c>
      <c r="C982" s="147"/>
      <c r="D982" s="148" t="s">
        <v>894</v>
      </c>
      <c r="E982" s="149">
        <v>5.31</v>
      </c>
      <c r="F982" s="149">
        <v>2.88</v>
      </c>
      <c r="G982" s="149">
        <v>0</v>
      </c>
      <c r="H982" s="149">
        <v>0</v>
      </c>
      <c r="I982" s="150">
        <v>8.19</v>
      </c>
    </row>
    <row r="983" spans="1:9" ht="15.6" x14ac:dyDescent="0.25">
      <c r="A983" s="145"/>
      <c r="B983" s="146">
        <v>3663997</v>
      </c>
      <c r="C983" s="147"/>
      <c r="D983" s="148" t="s">
        <v>868</v>
      </c>
      <c r="E983" s="149">
        <v>5.31</v>
      </c>
      <c r="F983" s="149">
        <v>2.88</v>
      </c>
      <c r="G983" s="149">
        <v>0</v>
      </c>
      <c r="H983" s="149">
        <v>2.73</v>
      </c>
      <c r="I983" s="150">
        <v>10.92</v>
      </c>
    </row>
    <row r="984" spans="1:9" ht="15.6" x14ac:dyDescent="0.25">
      <c r="A984" s="145"/>
      <c r="B984" s="146">
        <v>3664018</v>
      </c>
      <c r="C984" s="147"/>
      <c r="D984" s="148" t="s">
        <v>820</v>
      </c>
      <c r="E984" s="149">
        <v>5.31</v>
      </c>
      <c r="F984" s="149">
        <v>2.88</v>
      </c>
      <c r="G984" s="149">
        <v>0</v>
      </c>
      <c r="H984" s="149">
        <v>2.73</v>
      </c>
      <c r="I984" s="150">
        <v>10.92</v>
      </c>
    </row>
    <row r="985" spans="1:9" ht="15.6" x14ac:dyDescent="0.25">
      <c r="A985" s="145"/>
      <c r="B985" s="146">
        <v>3665890</v>
      </c>
      <c r="C985" s="147"/>
      <c r="D985" s="148" t="s">
        <v>851</v>
      </c>
      <c r="E985" s="149">
        <v>5.31</v>
      </c>
      <c r="F985" s="149">
        <v>2.88</v>
      </c>
      <c r="G985" s="149">
        <v>22.66</v>
      </c>
      <c r="H985" s="149">
        <v>2.73</v>
      </c>
      <c r="I985" s="150">
        <v>33.58</v>
      </c>
    </row>
    <row r="986" spans="1:9" ht="15.6" x14ac:dyDescent="0.25">
      <c r="A986" s="145"/>
      <c r="B986" s="146">
        <v>3666046</v>
      </c>
      <c r="C986" s="147"/>
      <c r="D986" s="148" t="s">
        <v>868</v>
      </c>
      <c r="E986" s="149">
        <v>5.31</v>
      </c>
      <c r="F986" s="149">
        <v>2.88</v>
      </c>
      <c r="G986" s="149">
        <v>0</v>
      </c>
      <c r="H986" s="149">
        <v>2.73</v>
      </c>
      <c r="I986" s="150">
        <v>10.92</v>
      </c>
    </row>
    <row r="987" spans="1:9" ht="15.6" x14ac:dyDescent="0.25">
      <c r="A987" s="145"/>
      <c r="B987" s="146">
        <v>3668239</v>
      </c>
      <c r="C987" s="147"/>
      <c r="D987" s="148" t="s">
        <v>773</v>
      </c>
      <c r="E987" s="149">
        <v>5.31</v>
      </c>
      <c r="F987" s="149">
        <v>2.88</v>
      </c>
      <c r="G987" s="149">
        <v>35.880000000000003</v>
      </c>
      <c r="H987" s="149">
        <v>2.73</v>
      </c>
      <c r="I987" s="150">
        <v>46.8</v>
      </c>
    </row>
    <row r="988" spans="1:9" ht="15.6" x14ac:dyDescent="0.25">
      <c r="A988" s="145"/>
      <c r="B988" s="146">
        <v>3670561</v>
      </c>
      <c r="C988" s="147"/>
      <c r="D988" s="148" t="s">
        <v>861</v>
      </c>
      <c r="E988" s="149">
        <v>5.31</v>
      </c>
      <c r="F988" s="149">
        <v>2.88</v>
      </c>
      <c r="G988" s="149">
        <v>0</v>
      </c>
      <c r="H988" s="149">
        <v>2.73</v>
      </c>
      <c r="I988" s="150">
        <v>10.92</v>
      </c>
    </row>
    <row r="989" spans="1:9" ht="15.6" x14ac:dyDescent="0.25">
      <c r="A989" s="145"/>
      <c r="B989" s="146">
        <v>3671121</v>
      </c>
      <c r="C989" s="147"/>
      <c r="D989" s="148" t="s">
        <v>921</v>
      </c>
      <c r="E989" s="149">
        <v>0</v>
      </c>
      <c r="F989" s="149">
        <v>0</v>
      </c>
      <c r="G989" s="149">
        <v>0</v>
      </c>
      <c r="H989" s="149">
        <v>0</v>
      </c>
      <c r="I989" s="150">
        <v>0</v>
      </c>
    </row>
    <row r="990" spans="1:9" ht="15.6" x14ac:dyDescent="0.25">
      <c r="A990" s="145"/>
      <c r="B990" s="146">
        <v>3672175</v>
      </c>
      <c r="C990" s="147"/>
      <c r="D990" s="148" t="s">
        <v>772</v>
      </c>
      <c r="E990" s="149">
        <v>5.31</v>
      </c>
      <c r="F990" s="149">
        <v>0</v>
      </c>
      <c r="G990" s="149">
        <v>0</v>
      </c>
      <c r="H990" s="149">
        <v>0</v>
      </c>
      <c r="I990" s="150">
        <v>5.31</v>
      </c>
    </row>
    <row r="991" spans="1:9" ht="15.6" x14ac:dyDescent="0.25">
      <c r="A991" s="145"/>
      <c r="B991" s="146">
        <v>3677182</v>
      </c>
      <c r="C991" s="147"/>
      <c r="D991" s="148" t="s">
        <v>780</v>
      </c>
      <c r="E991" s="149">
        <v>5.31</v>
      </c>
      <c r="F991" s="149">
        <v>2.88</v>
      </c>
      <c r="G991" s="149">
        <v>36.39</v>
      </c>
      <c r="H991" s="149">
        <v>2.73</v>
      </c>
      <c r="I991" s="150">
        <v>47.309999999999995</v>
      </c>
    </row>
    <row r="992" spans="1:9" ht="15.6" x14ac:dyDescent="0.25">
      <c r="A992" s="145"/>
      <c r="B992" s="146">
        <v>3677299</v>
      </c>
      <c r="C992" s="147"/>
      <c r="D992" s="148" t="s">
        <v>871</v>
      </c>
      <c r="E992" s="149">
        <v>0</v>
      </c>
      <c r="F992" s="149">
        <v>0</v>
      </c>
      <c r="G992" s="149">
        <v>0</v>
      </c>
      <c r="H992" s="149">
        <v>2.73</v>
      </c>
      <c r="I992" s="150">
        <v>2.73</v>
      </c>
    </row>
    <row r="993" spans="1:9" ht="15.6" x14ac:dyDescent="0.25">
      <c r="A993" s="145"/>
      <c r="B993" s="146">
        <v>3677433</v>
      </c>
      <c r="C993" s="147"/>
      <c r="D993" s="148" t="s">
        <v>898</v>
      </c>
      <c r="E993" s="149">
        <v>5.31</v>
      </c>
      <c r="F993" s="149">
        <v>2.88</v>
      </c>
      <c r="G993" s="149">
        <v>0</v>
      </c>
      <c r="H993" s="149">
        <v>2.73</v>
      </c>
      <c r="I993" s="150">
        <v>10.92</v>
      </c>
    </row>
    <row r="994" spans="1:9" ht="15.6" x14ac:dyDescent="0.25">
      <c r="A994" s="145"/>
      <c r="B994" s="146">
        <v>3683207</v>
      </c>
      <c r="C994" s="147"/>
      <c r="D994" s="148" t="s">
        <v>828</v>
      </c>
      <c r="E994" s="149">
        <v>5.31</v>
      </c>
      <c r="F994" s="149">
        <v>2.88</v>
      </c>
      <c r="G994" s="149">
        <v>0</v>
      </c>
      <c r="H994" s="149">
        <v>2.73</v>
      </c>
      <c r="I994" s="150">
        <v>10.92</v>
      </c>
    </row>
    <row r="995" spans="1:9" ht="15.6" x14ac:dyDescent="0.25">
      <c r="A995" s="145"/>
      <c r="B995" s="146">
        <v>3684484</v>
      </c>
      <c r="C995" s="147"/>
      <c r="D995" s="148" t="s">
        <v>936</v>
      </c>
      <c r="E995" s="149">
        <v>5.31</v>
      </c>
      <c r="F995" s="149">
        <v>2.88</v>
      </c>
      <c r="G995" s="149">
        <v>0</v>
      </c>
      <c r="H995" s="149">
        <v>2.73</v>
      </c>
      <c r="I995" s="150">
        <v>10.92</v>
      </c>
    </row>
    <row r="996" spans="1:9" ht="15.6" x14ac:dyDescent="0.25">
      <c r="A996" s="145"/>
      <c r="B996" s="146">
        <v>3687291</v>
      </c>
      <c r="C996" s="147"/>
      <c r="D996" s="148" t="s">
        <v>921</v>
      </c>
      <c r="E996" s="149">
        <v>0</v>
      </c>
      <c r="F996" s="149">
        <v>0</v>
      </c>
      <c r="G996" s="149">
        <v>0</v>
      </c>
      <c r="H996" s="149">
        <v>0</v>
      </c>
      <c r="I996" s="150">
        <v>0</v>
      </c>
    </row>
    <row r="997" spans="1:9" ht="15.6" x14ac:dyDescent="0.25">
      <c r="A997" s="145"/>
      <c r="B997" s="146">
        <v>3694778</v>
      </c>
      <c r="C997" s="147"/>
      <c r="D997" s="148" t="s">
        <v>777</v>
      </c>
      <c r="E997" s="149">
        <v>5.31</v>
      </c>
      <c r="F997" s="149">
        <v>2.88</v>
      </c>
      <c r="G997" s="149">
        <v>0</v>
      </c>
      <c r="H997" s="149">
        <v>2.73</v>
      </c>
      <c r="I997" s="150">
        <v>10.92</v>
      </c>
    </row>
    <row r="998" spans="1:9" ht="15.6" x14ac:dyDescent="0.25">
      <c r="A998" s="145"/>
      <c r="B998" s="146">
        <v>3697205</v>
      </c>
      <c r="C998" s="147"/>
      <c r="D998" s="148" t="s">
        <v>853</v>
      </c>
      <c r="E998" s="149">
        <v>5.31</v>
      </c>
      <c r="F998" s="149">
        <v>2.88</v>
      </c>
      <c r="G998" s="149">
        <v>0</v>
      </c>
      <c r="H998" s="149">
        <v>2.73</v>
      </c>
      <c r="I998" s="150">
        <v>10.92</v>
      </c>
    </row>
    <row r="999" spans="1:9" ht="15.6" x14ac:dyDescent="0.25">
      <c r="A999" s="145"/>
      <c r="B999" s="146">
        <v>3701017</v>
      </c>
      <c r="C999" s="147"/>
      <c r="D999" s="148" t="s">
        <v>779</v>
      </c>
      <c r="E999" s="149">
        <v>5.31</v>
      </c>
      <c r="F999" s="149">
        <v>2.88</v>
      </c>
      <c r="G999" s="149">
        <v>0</v>
      </c>
      <c r="H999" s="149">
        <v>2.73</v>
      </c>
      <c r="I999" s="150">
        <v>10.92</v>
      </c>
    </row>
    <row r="1000" spans="1:9" ht="15.6" x14ac:dyDescent="0.25">
      <c r="A1000" s="145"/>
      <c r="B1000" s="146">
        <v>3706302</v>
      </c>
      <c r="C1000" s="147"/>
      <c r="D1000" s="148" t="s">
        <v>789</v>
      </c>
      <c r="E1000" s="149">
        <v>5.31</v>
      </c>
      <c r="F1000" s="149">
        <v>2.88</v>
      </c>
      <c r="G1000" s="149">
        <v>24.03</v>
      </c>
      <c r="H1000" s="149">
        <v>2.73</v>
      </c>
      <c r="I1000" s="150">
        <v>34.949999999999996</v>
      </c>
    </row>
    <row r="1001" spans="1:9" ht="15.6" x14ac:dyDescent="0.25">
      <c r="A1001" s="145"/>
      <c r="B1001" s="146">
        <v>3710427</v>
      </c>
      <c r="C1001" s="147"/>
      <c r="D1001" s="148" t="s">
        <v>908</v>
      </c>
      <c r="E1001" s="149">
        <v>5.31</v>
      </c>
      <c r="F1001" s="149">
        <v>2.88</v>
      </c>
      <c r="G1001" s="149">
        <v>0</v>
      </c>
      <c r="H1001" s="149">
        <v>2.73</v>
      </c>
      <c r="I1001" s="150">
        <v>10.92</v>
      </c>
    </row>
    <row r="1002" spans="1:9" ht="15.6" x14ac:dyDescent="0.25">
      <c r="A1002" s="145"/>
      <c r="B1002" s="146">
        <v>3715964</v>
      </c>
      <c r="C1002" s="147"/>
      <c r="D1002" s="148" t="s">
        <v>900</v>
      </c>
      <c r="E1002" s="149">
        <v>5.31</v>
      </c>
      <c r="F1002" s="149">
        <v>2.88</v>
      </c>
      <c r="G1002" s="149">
        <v>0</v>
      </c>
      <c r="H1002" s="149">
        <v>2.73</v>
      </c>
      <c r="I1002" s="150">
        <v>10.92</v>
      </c>
    </row>
    <row r="1003" spans="1:9" ht="15.6" x14ac:dyDescent="0.25">
      <c r="A1003" s="145"/>
      <c r="B1003" s="146">
        <v>3720329</v>
      </c>
      <c r="C1003" s="147"/>
      <c r="D1003" s="148" t="s">
        <v>908</v>
      </c>
      <c r="E1003" s="149">
        <v>5.31</v>
      </c>
      <c r="F1003" s="149">
        <v>2.88</v>
      </c>
      <c r="G1003" s="149">
        <v>0</v>
      </c>
      <c r="H1003" s="149">
        <v>2.73</v>
      </c>
      <c r="I1003" s="150">
        <v>10.92</v>
      </c>
    </row>
    <row r="1004" spans="1:9" ht="15.6" x14ac:dyDescent="0.25">
      <c r="A1004" s="145"/>
      <c r="B1004" s="146">
        <v>3721298</v>
      </c>
      <c r="C1004" s="147"/>
      <c r="D1004" s="148" t="s">
        <v>935</v>
      </c>
      <c r="E1004" s="149">
        <v>5.31</v>
      </c>
      <c r="F1004" s="149">
        <v>2.88</v>
      </c>
      <c r="G1004" s="149">
        <v>0</v>
      </c>
      <c r="H1004" s="149">
        <v>2.73</v>
      </c>
      <c r="I1004" s="150">
        <v>10.92</v>
      </c>
    </row>
    <row r="1005" spans="1:9" ht="15.6" x14ac:dyDescent="0.25">
      <c r="A1005" s="145"/>
      <c r="B1005" s="146">
        <v>3725006</v>
      </c>
      <c r="C1005" s="147"/>
      <c r="D1005" s="148" t="s">
        <v>895</v>
      </c>
      <c r="E1005" s="149">
        <v>5.31</v>
      </c>
      <c r="F1005" s="149">
        <v>2.88</v>
      </c>
      <c r="G1005" s="149">
        <v>0</v>
      </c>
      <c r="H1005" s="149">
        <v>2.73</v>
      </c>
      <c r="I1005" s="150">
        <v>10.92</v>
      </c>
    </row>
    <row r="1006" spans="1:9" ht="15.6" x14ac:dyDescent="0.25">
      <c r="A1006" s="145"/>
      <c r="B1006" s="146">
        <v>3728719</v>
      </c>
      <c r="C1006" s="147"/>
      <c r="D1006" s="148" t="s">
        <v>817</v>
      </c>
      <c r="E1006" s="149">
        <v>5.31</v>
      </c>
      <c r="F1006" s="149">
        <v>2.88</v>
      </c>
      <c r="G1006" s="149">
        <v>0</v>
      </c>
      <c r="H1006" s="149">
        <v>2.73</v>
      </c>
      <c r="I1006" s="150">
        <v>10.92</v>
      </c>
    </row>
    <row r="1007" spans="1:9" ht="15.6" x14ac:dyDescent="0.25">
      <c r="A1007" s="145"/>
      <c r="B1007" s="146">
        <v>3731030</v>
      </c>
      <c r="C1007" s="147"/>
      <c r="D1007" s="148" t="s">
        <v>868</v>
      </c>
      <c r="E1007" s="149">
        <v>5.31</v>
      </c>
      <c r="F1007" s="149">
        <v>2.88</v>
      </c>
      <c r="G1007" s="149">
        <v>0</v>
      </c>
      <c r="H1007" s="149">
        <v>2.73</v>
      </c>
      <c r="I1007" s="150">
        <v>10.92</v>
      </c>
    </row>
    <row r="1008" spans="1:9" ht="15.6" x14ac:dyDescent="0.25">
      <c r="A1008" s="145"/>
      <c r="B1008" s="146">
        <v>3735117</v>
      </c>
      <c r="C1008" s="147"/>
      <c r="D1008" s="148" t="s">
        <v>945</v>
      </c>
      <c r="E1008" s="149">
        <v>0</v>
      </c>
      <c r="F1008" s="149">
        <v>0</v>
      </c>
      <c r="G1008" s="149">
        <v>0</v>
      </c>
      <c r="H1008" s="149">
        <v>0</v>
      </c>
      <c r="I1008" s="150">
        <v>0</v>
      </c>
    </row>
    <row r="1009" spans="1:9" ht="15.6" x14ac:dyDescent="0.25">
      <c r="A1009" s="145"/>
      <c r="B1009" s="146">
        <v>3737489</v>
      </c>
      <c r="C1009" s="147"/>
      <c r="D1009" s="148" t="s">
        <v>849</v>
      </c>
      <c r="E1009" s="149">
        <v>0</v>
      </c>
      <c r="F1009" s="149">
        <v>0</v>
      </c>
      <c r="G1009" s="149">
        <v>0</v>
      </c>
      <c r="H1009" s="149">
        <v>2.73</v>
      </c>
      <c r="I1009" s="150">
        <v>2.73</v>
      </c>
    </row>
    <row r="1010" spans="1:9" ht="15.6" x14ac:dyDescent="0.25">
      <c r="A1010" s="145"/>
      <c r="B1010" s="146">
        <v>3740344</v>
      </c>
      <c r="C1010" s="147"/>
      <c r="D1010" s="148" t="s">
        <v>857</v>
      </c>
      <c r="E1010" s="149">
        <v>5.31</v>
      </c>
      <c r="F1010" s="149">
        <v>2.88</v>
      </c>
      <c r="G1010" s="149">
        <v>0</v>
      </c>
      <c r="H1010" s="149">
        <v>2.73</v>
      </c>
      <c r="I1010" s="150">
        <v>10.92</v>
      </c>
    </row>
    <row r="1011" spans="1:9" ht="15.6" x14ac:dyDescent="0.25">
      <c r="A1011" s="145"/>
      <c r="B1011" s="146">
        <v>3741615</v>
      </c>
      <c r="C1011" s="147"/>
      <c r="D1011" s="148" t="s">
        <v>816</v>
      </c>
      <c r="E1011" s="149">
        <v>5.31</v>
      </c>
      <c r="F1011" s="149">
        <v>2.88</v>
      </c>
      <c r="G1011" s="149">
        <v>0</v>
      </c>
      <c r="H1011" s="149">
        <v>2.73</v>
      </c>
      <c r="I1011" s="150">
        <v>10.92</v>
      </c>
    </row>
    <row r="1012" spans="1:9" ht="15.6" x14ac:dyDescent="0.25">
      <c r="A1012" s="145"/>
      <c r="B1012" s="146">
        <v>3742992</v>
      </c>
      <c r="C1012" s="147"/>
      <c r="D1012" s="148" t="s">
        <v>857</v>
      </c>
      <c r="E1012" s="149">
        <v>0</v>
      </c>
      <c r="F1012" s="149">
        <v>0</v>
      </c>
      <c r="G1012" s="149">
        <v>0</v>
      </c>
      <c r="H1012" s="149">
        <v>0</v>
      </c>
      <c r="I1012" s="150">
        <v>0</v>
      </c>
    </row>
    <row r="1013" spans="1:9" ht="15.6" x14ac:dyDescent="0.25">
      <c r="A1013" s="145"/>
      <c r="B1013" s="146">
        <v>3743106</v>
      </c>
      <c r="C1013" s="147"/>
      <c r="D1013" s="148" t="s">
        <v>760</v>
      </c>
      <c r="E1013" s="149">
        <v>0</v>
      </c>
      <c r="F1013" s="149">
        <v>0</v>
      </c>
      <c r="G1013" s="149">
        <v>0</v>
      </c>
      <c r="H1013" s="149">
        <v>2.73</v>
      </c>
      <c r="I1013" s="150">
        <v>2.73</v>
      </c>
    </row>
    <row r="1014" spans="1:9" ht="15.6" x14ac:dyDescent="0.25">
      <c r="A1014" s="145"/>
      <c r="B1014" s="146">
        <v>3745103</v>
      </c>
      <c r="C1014" s="147"/>
      <c r="D1014" s="148" t="s">
        <v>950</v>
      </c>
      <c r="E1014" s="149">
        <v>5.31</v>
      </c>
      <c r="F1014" s="149">
        <v>2.88</v>
      </c>
      <c r="G1014" s="149">
        <v>0</v>
      </c>
      <c r="H1014" s="149">
        <v>2.73</v>
      </c>
      <c r="I1014" s="150">
        <v>10.92</v>
      </c>
    </row>
    <row r="1015" spans="1:9" ht="15.6" x14ac:dyDescent="0.25">
      <c r="A1015" s="145"/>
      <c r="B1015" s="146">
        <v>3745145</v>
      </c>
      <c r="C1015" s="147"/>
      <c r="D1015" s="148" t="s">
        <v>868</v>
      </c>
      <c r="E1015" s="149">
        <v>5.31</v>
      </c>
      <c r="F1015" s="149">
        <v>2.88</v>
      </c>
      <c r="G1015" s="149">
        <v>0</v>
      </c>
      <c r="H1015" s="149">
        <v>2.73</v>
      </c>
      <c r="I1015" s="150">
        <v>10.92</v>
      </c>
    </row>
    <row r="1016" spans="1:9" ht="15.6" x14ac:dyDescent="0.25">
      <c r="A1016" s="145"/>
      <c r="B1016" s="146">
        <v>3745194</v>
      </c>
      <c r="C1016" s="147"/>
      <c r="D1016" s="148" t="s">
        <v>852</v>
      </c>
      <c r="E1016" s="149">
        <v>5.31</v>
      </c>
      <c r="F1016" s="149">
        <v>2.88</v>
      </c>
      <c r="G1016" s="149">
        <v>28.61</v>
      </c>
      <c r="H1016" s="149">
        <v>2.73</v>
      </c>
      <c r="I1016" s="150">
        <v>39.529999999999994</v>
      </c>
    </row>
    <row r="1017" spans="1:9" ht="15.6" x14ac:dyDescent="0.25">
      <c r="A1017" s="145"/>
      <c r="B1017" s="146">
        <v>3747528</v>
      </c>
      <c r="C1017" s="147"/>
      <c r="D1017" s="148" t="s">
        <v>900</v>
      </c>
      <c r="E1017" s="149">
        <v>5.31</v>
      </c>
      <c r="F1017" s="149">
        <v>2.88</v>
      </c>
      <c r="G1017" s="149">
        <v>0</v>
      </c>
      <c r="H1017" s="149">
        <v>2.73</v>
      </c>
      <c r="I1017" s="150">
        <v>10.92</v>
      </c>
    </row>
    <row r="1018" spans="1:9" ht="15.6" x14ac:dyDescent="0.25">
      <c r="A1018" s="145"/>
      <c r="B1018" s="146">
        <v>3750576</v>
      </c>
      <c r="C1018" s="147"/>
      <c r="D1018" s="148" t="s">
        <v>945</v>
      </c>
      <c r="E1018" s="149">
        <v>0</v>
      </c>
      <c r="F1018" s="149">
        <v>0</v>
      </c>
      <c r="G1018" s="149">
        <v>0</v>
      </c>
      <c r="H1018" s="149">
        <v>0</v>
      </c>
      <c r="I1018" s="150">
        <v>0</v>
      </c>
    </row>
    <row r="1019" spans="1:9" ht="15.6" x14ac:dyDescent="0.25">
      <c r="A1019" s="145"/>
      <c r="B1019" s="146">
        <v>3753184</v>
      </c>
      <c r="C1019" s="147"/>
      <c r="D1019" s="148" t="s">
        <v>907</v>
      </c>
      <c r="E1019" s="149">
        <v>0</v>
      </c>
      <c r="F1019" s="149">
        <v>0</v>
      </c>
      <c r="G1019" s="149">
        <v>0</v>
      </c>
      <c r="H1019" s="149">
        <v>0</v>
      </c>
      <c r="I1019" s="150">
        <v>0</v>
      </c>
    </row>
    <row r="1020" spans="1:9" ht="15.6" x14ac:dyDescent="0.25">
      <c r="A1020" s="145"/>
      <c r="B1020" s="146">
        <v>3762153</v>
      </c>
      <c r="C1020" s="147"/>
      <c r="D1020" s="148" t="s">
        <v>750</v>
      </c>
      <c r="E1020" s="149">
        <v>5.31</v>
      </c>
      <c r="F1020" s="149">
        <v>2.88</v>
      </c>
      <c r="G1020" s="149">
        <v>0</v>
      </c>
      <c r="H1020" s="149">
        <v>2.73</v>
      </c>
      <c r="I1020" s="150">
        <v>10.92</v>
      </c>
    </row>
    <row r="1021" spans="1:9" ht="15.6" x14ac:dyDescent="0.25">
      <c r="A1021" s="145"/>
      <c r="B1021" s="146">
        <v>3766359</v>
      </c>
      <c r="C1021" s="147"/>
      <c r="D1021" s="148" t="s">
        <v>886</v>
      </c>
      <c r="E1021" s="149">
        <v>5.31</v>
      </c>
      <c r="F1021" s="149">
        <v>2.88</v>
      </c>
      <c r="G1021" s="149">
        <v>0</v>
      </c>
      <c r="H1021" s="149">
        <v>2.73</v>
      </c>
      <c r="I1021" s="150">
        <v>10.92</v>
      </c>
    </row>
    <row r="1022" spans="1:9" ht="15.6" x14ac:dyDescent="0.25">
      <c r="A1022" s="145"/>
      <c r="B1022" s="146">
        <v>3769474</v>
      </c>
      <c r="C1022" s="147"/>
      <c r="D1022" s="148" t="s">
        <v>863</v>
      </c>
      <c r="E1022" s="149">
        <v>5.31</v>
      </c>
      <c r="F1022" s="149">
        <v>2.88</v>
      </c>
      <c r="G1022" s="149">
        <v>0</v>
      </c>
      <c r="H1022" s="149">
        <v>2.73</v>
      </c>
      <c r="I1022" s="150">
        <v>10.92</v>
      </c>
    </row>
    <row r="1023" spans="1:9" ht="15.6" x14ac:dyDescent="0.25">
      <c r="A1023" s="145"/>
      <c r="B1023" s="146">
        <v>3769856</v>
      </c>
      <c r="C1023" s="147"/>
      <c r="D1023" s="148" t="s">
        <v>831</v>
      </c>
      <c r="E1023" s="149">
        <v>5.31</v>
      </c>
      <c r="F1023" s="149">
        <v>2.88</v>
      </c>
      <c r="G1023" s="149">
        <v>0</v>
      </c>
      <c r="H1023" s="149">
        <v>2.73</v>
      </c>
      <c r="I1023" s="150">
        <v>10.92</v>
      </c>
    </row>
    <row r="1024" spans="1:9" ht="15.6" x14ac:dyDescent="0.25">
      <c r="A1024" s="145"/>
      <c r="B1024" s="146">
        <v>3773555</v>
      </c>
      <c r="C1024" s="147"/>
      <c r="D1024" s="148" t="s">
        <v>813</v>
      </c>
      <c r="E1024" s="149">
        <v>0</v>
      </c>
      <c r="F1024" s="149">
        <v>0</v>
      </c>
      <c r="G1024" s="149">
        <v>0</v>
      </c>
      <c r="H1024" s="149">
        <v>0</v>
      </c>
      <c r="I1024" s="150">
        <v>0</v>
      </c>
    </row>
    <row r="1025" spans="1:9" ht="15.6" x14ac:dyDescent="0.25">
      <c r="A1025" s="145"/>
      <c r="B1025" s="146">
        <v>3775933</v>
      </c>
      <c r="C1025" s="147"/>
      <c r="D1025" s="148" t="s">
        <v>921</v>
      </c>
      <c r="E1025" s="149">
        <v>0</v>
      </c>
      <c r="F1025" s="149">
        <v>0</v>
      </c>
      <c r="G1025" s="149">
        <v>0</v>
      </c>
      <c r="H1025" s="149">
        <v>0</v>
      </c>
      <c r="I1025" s="150">
        <v>0</v>
      </c>
    </row>
    <row r="1026" spans="1:9" ht="15.6" x14ac:dyDescent="0.25">
      <c r="A1026" s="145"/>
      <c r="B1026" s="146">
        <v>3776220</v>
      </c>
      <c r="C1026" s="147"/>
      <c r="D1026" s="148" t="s">
        <v>898</v>
      </c>
      <c r="E1026" s="149">
        <v>5.31</v>
      </c>
      <c r="F1026" s="149">
        <v>2.88</v>
      </c>
      <c r="G1026" s="149">
        <v>0</v>
      </c>
      <c r="H1026" s="149">
        <v>2.73</v>
      </c>
      <c r="I1026" s="150">
        <v>10.92</v>
      </c>
    </row>
    <row r="1027" spans="1:9" ht="15.6" x14ac:dyDescent="0.25">
      <c r="A1027" s="145"/>
      <c r="B1027" s="146">
        <v>3776739</v>
      </c>
      <c r="C1027" s="147"/>
      <c r="D1027" s="148" t="s">
        <v>874</v>
      </c>
      <c r="E1027" s="149">
        <v>5.31</v>
      </c>
      <c r="F1027" s="149">
        <v>2.88</v>
      </c>
      <c r="G1027" s="149">
        <v>0</v>
      </c>
      <c r="H1027" s="149">
        <v>2.73</v>
      </c>
      <c r="I1027" s="150">
        <v>10.92</v>
      </c>
    </row>
    <row r="1028" spans="1:9" ht="15.6" x14ac:dyDescent="0.25">
      <c r="A1028" s="145"/>
      <c r="B1028" s="146">
        <v>3786234</v>
      </c>
      <c r="C1028" s="147"/>
      <c r="D1028" s="148" t="s">
        <v>749</v>
      </c>
      <c r="E1028" s="149">
        <v>5.31</v>
      </c>
      <c r="F1028" s="149">
        <v>2.88</v>
      </c>
      <c r="G1028" s="149">
        <v>0</v>
      </c>
      <c r="H1028" s="149">
        <v>2.73</v>
      </c>
      <c r="I1028" s="150">
        <v>10.92</v>
      </c>
    </row>
    <row r="1029" spans="1:9" ht="15.6" x14ac:dyDescent="0.25">
      <c r="A1029" s="145"/>
      <c r="B1029" s="146">
        <v>3790229</v>
      </c>
      <c r="C1029" s="147"/>
      <c r="D1029" s="148" t="s">
        <v>883</v>
      </c>
      <c r="E1029" s="149">
        <v>5.31</v>
      </c>
      <c r="F1029" s="149">
        <v>2.88</v>
      </c>
      <c r="G1029" s="149">
        <v>0</v>
      </c>
      <c r="H1029" s="149">
        <v>0</v>
      </c>
      <c r="I1029" s="150">
        <v>8.19</v>
      </c>
    </row>
    <row r="1030" spans="1:9" ht="15.6" x14ac:dyDescent="0.25">
      <c r="A1030" s="145"/>
      <c r="B1030" s="146">
        <v>3793100</v>
      </c>
      <c r="C1030" s="147"/>
      <c r="D1030" s="148" t="s">
        <v>751</v>
      </c>
      <c r="E1030" s="149">
        <v>0</v>
      </c>
      <c r="F1030" s="149">
        <v>0</v>
      </c>
      <c r="G1030" s="149">
        <v>0</v>
      </c>
      <c r="H1030" s="149">
        <v>0</v>
      </c>
      <c r="I1030" s="150">
        <v>0</v>
      </c>
    </row>
    <row r="1031" spans="1:9" ht="15.6" x14ac:dyDescent="0.25">
      <c r="A1031" s="145"/>
      <c r="B1031" s="146">
        <v>3805163</v>
      </c>
      <c r="C1031" s="147"/>
      <c r="D1031" s="148" t="s">
        <v>885</v>
      </c>
      <c r="E1031" s="149">
        <v>5.31</v>
      </c>
      <c r="F1031" s="149">
        <v>2.88</v>
      </c>
      <c r="G1031" s="149">
        <v>0</v>
      </c>
      <c r="H1031" s="149">
        <v>2.73</v>
      </c>
      <c r="I1031" s="150">
        <v>10.92</v>
      </c>
    </row>
    <row r="1032" spans="1:9" ht="15.6" x14ac:dyDescent="0.25">
      <c r="A1032" s="145"/>
      <c r="B1032" s="146">
        <v>3807068</v>
      </c>
      <c r="C1032" s="147"/>
      <c r="D1032" s="148" t="s">
        <v>831</v>
      </c>
      <c r="E1032" s="149">
        <v>5.31</v>
      </c>
      <c r="F1032" s="149">
        <v>2.88</v>
      </c>
      <c r="G1032" s="149">
        <v>0</v>
      </c>
      <c r="H1032" s="149">
        <v>2.73</v>
      </c>
      <c r="I1032" s="150">
        <v>10.92</v>
      </c>
    </row>
    <row r="1033" spans="1:9" ht="15.6" x14ac:dyDescent="0.25">
      <c r="A1033" s="145"/>
      <c r="B1033" s="146">
        <v>3814614</v>
      </c>
      <c r="C1033" s="147"/>
      <c r="D1033" s="148" t="s">
        <v>873</v>
      </c>
      <c r="E1033" s="149">
        <v>5.31</v>
      </c>
      <c r="F1033" s="149">
        <v>2.88</v>
      </c>
      <c r="G1033" s="149">
        <v>0</v>
      </c>
      <c r="H1033" s="149">
        <v>2.73</v>
      </c>
      <c r="I1033" s="150">
        <v>10.92</v>
      </c>
    </row>
    <row r="1034" spans="1:9" ht="15.6" x14ac:dyDescent="0.25">
      <c r="A1034" s="145"/>
      <c r="B1034" s="146">
        <v>3815805</v>
      </c>
      <c r="C1034" s="147"/>
      <c r="D1034" s="148" t="s">
        <v>835</v>
      </c>
      <c r="E1034" s="149">
        <v>5.31</v>
      </c>
      <c r="F1034" s="149">
        <v>2.88</v>
      </c>
      <c r="G1034" s="149">
        <v>0</v>
      </c>
      <c r="H1034" s="149">
        <v>2.73</v>
      </c>
      <c r="I1034" s="150">
        <v>10.92</v>
      </c>
    </row>
    <row r="1035" spans="1:9" ht="15.6" x14ac:dyDescent="0.25">
      <c r="A1035" s="145"/>
      <c r="B1035" s="146">
        <v>3816529</v>
      </c>
      <c r="C1035" s="147"/>
      <c r="D1035" s="148" t="s">
        <v>909</v>
      </c>
      <c r="E1035" s="149">
        <v>5.31</v>
      </c>
      <c r="F1035" s="149">
        <v>0</v>
      </c>
      <c r="G1035" s="149">
        <v>0</v>
      </c>
      <c r="H1035" s="149">
        <v>2.73</v>
      </c>
      <c r="I1035" s="150">
        <v>8.0399999999999991</v>
      </c>
    </row>
    <row r="1036" spans="1:9" ht="15.6" x14ac:dyDescent="0.25">
      <c r="A1036" s="145"/>
      <c r="B1036" s="146">
        <v>3819999</v>
      </c>
      <c r="C1036" s="147"/>
      <c r="D1036" s="148" t="s">
        <v>925</v>
      </c>
      <c r="E1036" s="149">
        <v>5.31</v>
      </c>
      <c r="F1036" s="149">
        <v>2.88</v>
      </c>
      <c r="G1036" s="149">
        <v>0</v>
      </c>
      <c r="H1036" s="149">
        <v>0</v>
      </c>
      <c r="I1036" s="150">
        <v>8.19</v>
      </c>
    </row>
    <row r="1037" spans="1:9" ht="15.6" x14ac:dyDescent="0.25">
      <c r="A1037" s="145"/>
      <c r="B1037" s="146">
        <v>3821331</v>
      </c>
      <c r="C1037" s="147"/>
      <c r="D1037" s="148" t="s">
        <v>921</v>
      </c>
      <c r="E1037" s="149">
        <v>5.31</v>
      </c>
      <c r="F1037" s="149">
        <v>2.88</v>
      </c>
      <c r="G1037" s="149">
        <v>0</v>
      </c>
      <c r="H1037" s="149">
        <v>2.73</v>
      </c>
      <c r="I1037" s="150">
        <v>10.92</v>
      </c>
    </row>
    <row r="1038" spans="1:9" ht="15.6" x14ac:dyDescent="0.25">
      <c r="A1038" s="145"/>
      <c r="B1038" s="146">
        <v>3823928</v>
      </c>
      <c r="C1038" s="147"/>
      <c r="D1038" s="148" t="s">
        <v>857</v>
      </c>
      <c r="E1038" s="149">
        <v>0</v>
      </c>
      <c r="F1038" s="149">
        <v>0</v>
      </c>
      <c r="G1038" s="149">
        <v>0</v>
      </c>
      <c r="H1038" s="149">
        <v>2.73</v>
      </c>
      <c r="I1038" s="150">
        <v>2.73</v>
      </c>
    </row>
    <row r="1039" spans="1:9" ht="15.6" x14ac:dyDescent="0.25">
      <c r="A1039" s="145"/>
      <c r="B1039" s="146">
        <v>3824479</v>
      </c>
      <c r="C1039" s="147"/>
      <c r="D1039" s="148" t="s">
        <v>875</v>
      </c>
      <c r="E1039" s="149">
        <v>5.31</v>
      </c>
      <c r="F1039" s="149">
        <v>2.88</v>
      </c>
      <c r="G1039" s="149">
        <v>0</v>
      </c>
      <c r="H1039" s="149">
        <v>2.73</v>
      </c>
      <c r="I1039" s="150">
        <v>10.92</v>
      </c>
    </row>
    <row r="1040" spans="1:9" ht="15.6" x14ac:dyDescent="0.25">
      <c r="A1040" s="145"/>
      <c r="B1040" s="146">
        <v>3829457</v>
      </c>
      <c r="C1040" s="147"/>
      <c r="D1040" s="148" t="s">
        <v>859</v>
      </c>
      <c r="E1040" s="149">
        <v>5.31</v>
      </c>
      <c r="F1040" s="149">
        <v>2.88</v>
      </c>
      <c r="G1040" s="149">
        <v>0</v>
      </c>
      <c r="H1040" s="149">
        <v>0</v>
      </c>
      <c r="I1040" s="150">
        <v>8.19</v>
      </c>
    </row>
    <row r="1041" spans="1:9" ht="15.6" x14ac:dyDescent="0.25">
      <c r="A1041" s="145"/>
      <c r="B1041" s="146">
        <v>3832553</v>
      </c>
      <c r="C1041" s="147"/>
      <c r="D1041" s="148" t="s">
        <v>851</v>
      </c>
      <c r="E1041" s="149">
        <v>5.31</v>
      </c>
      <c r="F1041" s="149">
        <v>2.88</v>
      </c>
      <c r="G1041" s="149">
        <v>22.66</v>
      </c>
      <c r="H1041" s="149">
        <v>2.73</v>
      </c>
      <c r="I1041" s="150">
        <v>33.58</v>
      </c>
    </row>
    <row r="1042" spans="1:9" ht="15.6" x14ac:dyDescent="0.25">
      <c r="A1042" s="145"/>
      <c r="B1042" s="146">
        <v>3839212</v>
      </c>
      <c r="C1042" s="147"/>
      <c r="D1042" s="148" t="s">
        <v>855</v>
      </c>
      <c r="E1042" s="149">
        <v>5.31</v>
      </c>
      <c r="F1042" s="149">
        <v>2.88</v>
      </c>
      <c r="G1042" s="149">
        <v>0</v>
      </c>
      <c r="H1042" s="149">
        <v>0</v>
      </c>
      <c r="I1042" s="150">
        <v>8.19</v>
      </c>
    </row>
    <row r="1043" spans="1:9" ht="15.6" x14ac:dyDescent="0.25">
      <c r="A1043" s="145"/>
      <c r="B1043" s="146">
        <v>3842895</v>
      </c>
      <c r="C1043" s="147"/>
      <c r="D1043" s="148" t="s">
        <v>751</v>
      </c>
      <c r="E1043" s="149">
        <v>0</v>
      </c>
      <c r="F1043" s="149">
        <v>2.88</v>
      </c>
      <c r="G1043" s="149">
        <v>0</v>
      </c>
      <c r="H1043" s="149">
        <v>0</v>
      </c>
      <c r="I1043" s="150">
        <v>2.88</v>
      </c>
    </row>
    <row r="1044" spans="1:9" ht="15.6" x14ac:dyDescent="0.25">
      <c r="A1044" s="145"/>
      <c r="B1044" s="146">
        <v>3843566</v>
      </c>
      <c r="C1044" s="147"/>
      <c r="D1044" s="148" t="s">
        <v>821</v>
      </c>
      <c r="E1044" s="149">
        <v>5.31</v>
      </c>
      <c r="F1044" s="149">
        <v>2.88</v>
      </c>
      <c r="G1044" s="149">
        <v>0</v>
      </c>
      <c r="H1044" s="149">
        <v>2.73</v>
      </c>
      <c r="I1044" s="150">
        <v>10.92</v>
      </c>
    </row>
    <row r="1045" spans="1:9" ht="15.6" x14ac:dyDescent="0.25">
      <c r="A1045" s="145"/>
      <c r="B1045" s="146">
        <v>3843756</v>
      </c>
      <c r="C1045" s="147"/>
      <c r="D1045" s="148" t="s">
        <v>824</v>
      </c>
      <c r="E1045" s="149">
        <v>5.31</v>
      </c>
      <c r="F1045" s="149">
        <v>2.88</v>
      </c>
      <c r="G1045" s="149">
        <v>0</v>
      </c>
      <c r="H1045" s="149">
        <v>2.73</v>
      </c>
      <c r="I1045" s="150">
        <v>10.92</v>
      </c>
    </row>
    <row r="1046" spans="1:9" ht="15.6" x14ac:dyDescent="0.25">
      <c r="A1046" s="145"/>
      <c r="B1046" s="146">
        <v>3844833</v>
      </c>
      <c r="C1046" s="147"/>
      <c r="D1046" s="148" t="s">
        <v>886</v>
      </c>
      <c r="E1046" s="149">
        <v>5.31</v>
      </c>
      <c r="F1046" s="149">
        <v>2.88</v>
      </c>
      <c r="G1046" s="149">
        <v>0</v>
      </c>
      <c r="H1046" s="149">
        <v>2.73</v>
      </c>
      <c r="I1046" s="150">
        <v>10.92</v>
      </c>
    </row>
    <row r="1047" spans="1:9" ht="15.6" x14ac:dyDescent="0.25">
      <c r="A1047" s="145"/>
      <c r="B1047" s="146">
        <v>3848578</v>
      </c>
      <c r="C1047" s="147"/>
      <c r="D1047" s="148" t="s">
        <v>786</v>
      </c>
      <c r="E1047" s="149">
        <v>0</v>
      </c>
      <c r="F1047" s="149">
        <v>0</v>
      </c>
      <c r="G1047" s="149">
        <v>0</v>
      </c>
      <c r="H1047" s="149">
        <v>0</v>
      </c>
      <c r="I1047" s="150">
        <v>0</v>
      </c>
    </row>
    <row r="1048" spans="1:9" ht="15.6" x14ac:dyDescent="0.25">
      <c r="A1048" s="145"/>
      <c r="B1048" s="146">
        <v>3849458</v>
      </c>
      <c r="C1048" s="147"/>
      <c r="D1048" s="148" t="s">
        <v>932</v>
      </c>
      <c r="E1048" s="149">
        <v>0</v>
      </c>
      <c r="F1048" s="149">
        <v>0</v>
      </c>
      <c r="G1048" s="149">
        <v>0</v>
      </c>
      <c r="H1048" s="149">
        <v>2.73</v>
      </c>
      <c r="I1048" s="150">
        <v>2.73</v>
      </c>
    </row>
    <row r="1049" spans="1:9" ht="15.6" x14ac:dyDescent="0.25">
      <c r="A1049" s="145"/>
      <c r="B1049" s="146">
        <v>3858459</v>
      </c>
      <c r="C1049" s="147"/>
      <c r="D1049" s="148" t="s">
        <v>868</v>
      </c>
      <c r="E1049" s="149">
        <v>5.31</v>
      </c>
      <c r="F1049" s="149">
        <v>2.88</v>
      </c>
      <c r="G1049" s="149">
        <v>0</v>
      </c>
      <c r="H1049" s="149">
        <v>2.73</v>
      </c>
      <c r="I1049" s="150">
        <v>10.92</v>
      </c>
    </row>
    <row r="1050" spans="1:9" ht="15.6" x14ac:dyDescent="0.25">
      <c r="A1050" s="145"/>
      <c r="B1050" s="146">
        <v>3862613</v>
      </c>
      <c r="C1050" s="147"/>
      <c r="D1050" s="148" t="s">
        <v>841</v>
      </c>
      <c r="E1050" s="149">
        <v>5.31</v>
      </c>
      <c r="F1050" s="149">
        <v>2.88</v>
      </c>
      <c r="G1050" s="149">
        <v>0</v>
      </c>
      <c r="H1050" s="149">
        <v>2.73</v>
      </c>
      <c r="I1050" s="150">
        <v>10.92</v>
      </c>
    </row>
    <row r="1051" spans="1:9" ht="15.6" x14ac:dyDescent="0.25">
      <c r="A1051" s="145"/>
      <c r="B1051" s="146">
        <v>3864187</v>
      </c>
      <c r="C1051" s="147"/>
      <c r="D1051" s="148" t="s">
        <v>874</v>
      </c>
      <c r="E1051" s="149">
        <v>5.31</v>
      </c>
      <c r="F1051" s="149">
        <v>2.88</v>
      </c>
      <c r="G1051" s="149">
        <v>0</v>
      </c>
      <c r="H1051" s="149">
        <v>2.73</v>
      </c>
      <c r="I1051" s="150">
        <v>10.92</v>
      </c>
    </row>
    <row r="1052" spans="1:9" ht="15.6" x14ac:dyDescent="0.25">
      <c r="A1052" s="145"/>
      <c r="B1052" s="146">
        <v>3869883</v>
      </c>
      <c r="C1052" s="147"/>
      <c r="D1052" s="148" t="s">
        <v>918</v>
      </c>
      <c r="E1052" s="149">
        <v>0</v>
      </c>
      <c r="F1052" s="149">
        <v>0</v>
      </c>
      <c r="G1052" s="149">
        <v>0</v>
      </c>
      <c r="H1052" s="149">
        <v>0</v>
      </c>
      <c r="I1052" s="150">
        <v>0</v>
      </c>
    </row>
    <row r="1053" spans="1:9" ht="15.6" x14ac:dyDescent="0.25">
      <c r="A1053" s="145"/>
      <c r="B1053" s="146">
        <v>3875123</v>
      </c>
      <c r="C1053" s="147"/>
      <c r="D1053" s="148" t="s">
        <v>895</v>
      </c>
      <c r="E1053" s="149">
        <v>5.31</v>
      </c>
      <c r="F1053" s="149">
        <v>2.88</v>
      </c>
      <c r="G1053" s="149">
        <v>0</v>
      </c>
      <c r="H1053" s="149">
        <v>2.73</v>
      </c>
      <c r="I1053" s="150">
        <v>10.92</v>
      </c>
    </row>
    <row r="1054" spans="1:9" ht="15.6" x14ac:dyDescent="0.25">
      <c r="A1054" s="145"/>
      <c r="B1054" s="146">
        <v>3875601</v>
      </c>
      <c r="C1054" s="147"/>
      <c r="D1054" s="148" t="s">
        <v>851</v>
      </c>
      <c r="E1054" s="149">
        <v>5.31</v>
      </c>
      <c r="F1054" s="149">
        <v>2.88</v>
      </c>
      <c r="G1054" s="149">
        <v>22.66</v>
      </c>
      <c r="H1054" s="149">
        <v>2.73</v>
      </c>
      <c r="I1054" s="150">
        <v>33.58</v>
      </c>
    </row>
    <row r="1055" spans="1:9" ht="15.6" x14ac:dyDescent="0.25">
      <c r="A1055" s="145"/>
      <c r="B1055" s="146">
        <v>3882178</v>
      </c>
      <c r="C1055" s="147"/>
      <c r="D1055" s="148" t="s">
        <v>786</v>
      </c>
      <c r="E1055" s="149">
        <v>0</v>
      </c>
      <c r="F1055" s="149">
        <v>0</v>
      </c>
      <c r="G1055" s="149">
        <v>0</v>
      </c>
      <c r="H1055" s="149">
        <v>0</v>
      </c>
      <c r="I1055" s="150">
        <v>0</v>
      </c>
    </row>
    <row r="1056" spans="1:9" ht="15.6" x14ac:dyDescent="0.25">
      <c r="A1056" s="145"/>
      <c r="B1056" s="146">
        <v>3886026</v>
      </c>
      <c r="C1056" s="147"/>
      <c r="D1056" s="148" t="s">
        <v>868</v>
      </c>
      <c r="E1056" s="149">
        <v>5.31</v>
      </c>
      <c r="F1056" s="149">
        <v>2.88</v>
      </c>
      <c r="G1056" s="149">
        <v>0</v>
      </c>
      <c r="H1056" s="149">
        <v>2.73</v>
      </c>
      <c r="I1056" s="150">
        <v>10.92</v>
      </c>
    </row>
    <row r="1057" spans="1:9" ht="15.6" x14ac:dyDescent="0.25">
      <c r="A1057" s="145"/>
      <c r="B1057" s="146">
        <v>3887242</v>
      </c>
      <c r="C1057" s="147"/>
      <c r="D1057" s="148" t="s">
        <v>851</v>
      </c>
      <c r="E1057" s="149">
        <v>5.31</v>
      </c>
      <c r="F1057" s="149">
        <v>2.88</v>
      </c>
      <c r="G1057" s="149">
        <v>22.66</v>
      </c>
      <c r="H1057" s="149">
        <v>2.73</v>
      </c>
      <c r="I1057" s="150">
        <v>33.58</v>
      </c>
    </row>
    <row r="1058" spans="1:9" ht="15.6" x14ac:dyDescent="0.25">
      <c r="A1058" s="145"/>
      <c r="B1058" s="146">
        <v>3888438</v>
      </c>
      <c r="C1058" s="147"/>
      <c r="D1058" s="148" t="s">
        <v>790</v>
      </c>
      <c r="E1058" s="149">
        <v>5.31</v>
      </c>
      <c r="F1058" s="149">
        <v>2.88</v>
      </c>
      <c r="G1058" s="149">
        <v>18.260000000000002</v>
      </c>
      <c r="H1058" s="149">
        <v>2.73</v>
      </c>
      <c r="I1058" s="150">
        <v>29.180000000000003</v>
      </c>
    </row>
    <row r="1059" spans="1:9" ht="15.6" x14ac:dyDescent="0.25">
      <c r="A1059" s="145"/>
      <c r="B1059" s="146">
        <v>3898402</v>
      </c>
      <c r="C1059" s="147"/>
      <c r="D1059" s="148" t="s">
        <v>927</v>
      </c>
      <c r="E1059" s="149">
        <v>0</v>
      </c>
      <c r="F1059" s="149">
        <v>0</v>
      </c>
      <c r="G1059" s="149">
        <v>0</v>
      </c>
      <c r="H1059" s="149">
        <v>2.73</v>
      </c>
      <c r="I1059" s="150">
        <v>2.73</v>
      </c>
    </row>
    <row r="1060" spans="1:9" ht="15.6" x14ac:dyDescent="0.25">
      <c r="A1060" s="145"/>
      <c r="B1060" s="146">
        <v>3899643</v>
      </c>
      <c r="C1060" s="147"/>
      <c r="D1060" s="148" t="s">
        <v>939</v>
      </c>
      <c r="E1060" s="149">
        <v>0</v>
      </c>
      <c r="F1060" s="149">
        <v>0</v>
      </c>
      <c r="G1060" s="149">
        <v>0</v>
      </c>
      <c r="H1060" s="149">
        <v>0</v>
      </c>
      <c r="I1060" s="150">
        <v>0</v>
      </c>
    </row>
    <row r="1061" spans="1:9" ht="15.6" x14ac:dyDescent="0.25">
      <c r="A1061" s="145"/>
      <c r="B1061" s="146">
        <v>3909277</v>
      </c>
      <c r="C1061" s="147"/>
      <c r="D1061" s="148" t="s">
        <v>739</v>
      </c>
      <c r="E1061" s="149">
        <v>5.31</v>
      </c>
      <c r="F1061" s="149">
        <v>2.88</v>
      </c>
      <c r="G1061" s="149">
        <v>0</v>
      </c>
      <c r="H1061" s="149">
        <v>2.73</v>
      </c>
      <c r="I1061" s="150">
        <v>10.92</v>
      </c>
    </row>
    <row r="1062" spans="1:9" ht="15.6" x14ac:dyDescent="0.25">
      <c r="A1062" s="145"/>
      <c r="B1062" s="146">
        <v>3914187</v>
      </c>
      <c r="C1062" s="147"/>
      <c r="D1062" s="148" t="s">
        <v>961</v>
      </c>
      <c r="E1062" s="149">
        <v>5.31</v>
      </c>
      <c r="F1062" s="149">
        <v>2.88</v>
      </c>
      <c r="G1062" s="149">
        <v>24.03</v>
      </c>
      <c r="H1062" s="149">
        <v>2.73</v>
      </c>
      <c r="I1062" s="150">
        <v>34.949999999999996</v>
      </c>
    </row>
    <row r="1063" spans="1:9" ht="15.6" x14ac:dyDescent="0.25">
      <c r="A1063" s="145"/>
      <c r="B1063" s="146">
        <v>3915369</v>
      </c>
      <c r="C1063" s="147"/>
      <c r="D1063" s="148" t="s">
        <v>764</v>
      </c>
      <c r="E1063" s="149">
        <v>5.31</v>
      </c>
      <c r="F1063" s="149">
        <v>2.88</v>
      </c>
      <c r="G1063" s="149">
        <v>0</v>
      </c>
      <c r="H1063" s="149">
        <v>2.73</v>
      </c>
      <c r="I1063" s="150">
        <v>10.92</v>
      </c>
    </row>
    <row r="1064" spans="1:9" ht="15.6" x14ac:dyDescent="0.25">
      <c r="A1064" s="145"/>
      <c r="B1064" s="146">
        <v>3917247</v>
      </c>
      <c r="C1064" s="147"/>
      <c r="D1064" s="148" t="s">
        <v>857</v>
      </c>
      <c r="E1064" s="149">
        <v>0</v>
      </c>
      <c r="F1064" s="149">
        <v>0</v>
      </c>
      <c r="G1064" s="149">
        <v>0</v>
      </c>
      <c r="H1064" s="149">
        <v>0</v>
      </c>
      <c r="I1064" s="150">
        <v>0</v>
      </c>
    </row>
    <row r="1065" spans="1:9" ht="15.6" x14ac:dyDescent="0.25">
      <c r="A1065" s="145"/>
      <c r="B1065" s="146">
        <v>3919313</v>
      </c>
      <c r="C1065" s="147"/>
      <c r="D1065" s="148" t="s">
        <v>733</v>
      </c>
      <c r="E1065" s="149">
        <v>0</v>
      </c>
      <c r="F1065" s="149">
        <v>0</v>
      </c>
      <c r="G1065" s="149">
        <v>0</v>
      </c>
      <c r="H1065" s="149">
        <v>0</v>
      </c>
      <c r="I1065" s="150">
        <v>0</v>
      </c>
    </row>
    <row r="1066" spans="1:9" ht="15.6" x14ac:dyDescent="0.25">
      <c r="A1066" s="145"/>
      <c r="B1066" s="146">
        <v>3919416</v>
      </c>
      <c r="C1066" s="147"/>
      <c r="D1066" s="148" t="s">
        <v>951</v>
      </c>
      <c r="E1066" s="149">
        <v>5.31</v>
      </c>
      <c r="F1066" s="149">
        <v>2.88</v>
      </c>
      <c r="G1066" s="149">
        <v>0</v>
      </c>
      <c r="H1066" s="149">
        <v>2.73</v>
      </c>
      <c r="I1066" s="150">
        <v>10.92</v>
      </c>
    </row>
    <row r="1067" spans="1:9" ht="15.6" x14ac:dyDescent="0.25">
      <c r="A1067" s="145"/>
      <c r="B1067" s="146">
        <v>3924188</v>
      </c>
      <c r="C1067" s="147"/>
      <c r="D1067" s="148" t="s">
        <v>861</v>
      </c>
      <c r="E1067" s="149">
        <v>5.31</v>
      </c>
      <c r="F1067" s="149">
        <v>2.88</v>
      </c>
      <c r="G1067" s="149">
        <v>0</v>
      </c>
      <c r="H1067" s="149">
        <v>2.73</v>
      </c>
      <c r="I1067" s="150">
        <v>10.92</v>
      </c>
    </row>
    <row r="1068" spans="1:9" ht="15.6" x14ac:dyDescent="0.25">
      <c r="A1068" s="145"/>
      <c r="B1068" s="146">
        <v>3928604</v>
      </c>
      <c r="C1068" s="147"/>
      <c r="D1068" s="148" t="s">
        <v>761</v>
      </c>
      <c r="E1068" s="149">
        <v>0</v>
      </c>
      <c r="F1068" s="149">
        <v>0</v>
      </c>
      <c r="G1068" s="149">
        <v>0</v>
      </c>
      <c r="H1068" s="149">
        <v>2.73</v>
      </c>
      <c r="I1068" s="150">
        <v>2.73</v>
      </c>
    </row>
    <row r="1069" spans="1:9" ht="15.6" x14ac:dyDescent="0.25">
      <c r="A1069" s="145"/>
      <c r="B1069" s="146">
        <v>3933450</v>
      </c>
      <c r="C1069" s="147"/>
      <c r="D1069" s="148" t="s">
        <v>862</v>
      </c>
      <c r="E1069" s="149">
        <v>5.31</v>
      </c>
      <c r="F1069" s="149">
        <v>2.88</v>
      </c>
      <c r="G1069" s="149">
        <v>0</v>
      </c>
      <c r="H1069" s="149">
        <v>2.73</v>
      </c>
      <c r="I1069" s="150">
        <v>10.92</v>
      </c>
    </row>
    <row r="1070" spans="1:9" ht="15.6" x14ac:dyDescent="0.25">
      <c r="A1070" s="145"/>
      <c r="B1070" s="146">
        <v>3936634</v>
      </c>
      <c r="C1070" s="147"/>
      <c r="D1070" s="148" t="s">
        <v>773</v>
      </c>
      <c r="E1070" s="149">
        <v>5.31</v>
      </c>
      <c r="F1070" s="149">
        <v>2.88</v>
      </c>
      <c r="G1070" s="149">
        <v>0</v>
      </c>
      <c r="H1070" s="149">
        <v>2.73</v>
      </c>
      <c r="I1070" s="150">
        <v>10.92</v>
      </c>
    </row>
    <row r="1071" spans="1:9" ht="15.6" x14ac:dyDescent="0.25">
      <c r="A1071" s="145"/>
      <c r="B1071" s="146">
        <v>3936768</v>
      </c>
      <c r="C1071" s="147"/>
      <c r="D1071" s="148" t="s">
        <v>868</v>
      </c>
      <c r="E1071" s="149">
        <v>5.31</v>
      </c>
      <c r="F1071" s="149">
        <v>2.88</v>
      </c>
      <c r="G1071" s="149">
        <v>0</v>
      </c>
      <c r="H1071" s="149">
        <v>2.73</v>
      </c>
      <c r="I1071" s="150">
        <v>10.92</v>
      </c>
    </row>
    <row r="1072" spans="1:9" ht="15.6" x14ac:dyDescent="0.25">
      <c r="A1072" s="145"/>
      <c r="B1072" s="146">
        <v>3940723</v>
      </c>
      <c r="C1072" s="147"/>
      <c r="D1072" s="148" t="s">
        <v>857</v>
      </c>
      <c r="E1072" s="149">
        <v>0</v>
      </c>
      <c r="F1072" s="149">
        <v>0</v>
      </c>
      <c r="G1072" s="149">
        <v>0</v>
      </c>
      <c r="H1072" s="149">
        <v>0</v>
      </c>
      <c r="I1072" s="150">
        <v>0</v>
      </c>
    </row>
    <row r="1073" spans="1:9" ht="15.6" x14ac:dyDescent="0.25">
      <c r="A1073" s="145"/>
      <c r="B1073" s="146">
        <v>3956922</v>
      </c>
      <c r="C1073" s="147"/>
      <c r="D1073" s="148" t="s">
        <v>919</v>
      </c>
      <c r="E1073" s="149">
        <v>0</v>
      </c>
      <c r="F1073" s="149">
        <v>0</v>
      </c>
      <c r="G1073" s="149">
        <v>0</v>
      </c>
      <c r="H1073" s="149">
        <v>0</v>
      </c>
      <c r="I1073" s="150">
        <v>0</v>
      </c>
    </row>
    <row r="1074" spans="1:9" ht="15.6" x14ac:dyDescent="0.25">
      <c r="A1074" s="145"/>
      <c r="B1074" s="146">
        <v>3961419</v>
      </c>
      <c r="C1074" s="147"/>
      <c r="D1074" s="148" t="s">
        <v>868</v>
      </c>
      <c r="E1074" s="149">
        <v>5.31</v>
      </c>
      <c r="F1074" s="149">
        <v>2.88</v>
      </c>
      <c r="G1074" s="149">
        <v>0</v>
      </c>
      <c r="H1074" s="149">
        <v>2.73</v>
      </c>
      <c r="I1074" s="150">
        <v>10.92</v>
      </c>
    </row>
    <row r="1075" spans="1:9" ht="15.6" x14ac:dyDescent="0.25">
      <c r="A1075" s="145"/>
      <c r="B1075" s="146">
        <v>3967525</v>
      </c>
      <c r="C1075" s="147"/>
      <c r="D1075" s="148" t="s">
        <v>725</v>
      </c>
      <c r="E1075" s="149">
        <v>0</v>
      </c>
      <c r="F1075" s="149">
        <v>0</v>
      </c>
      <c r="G1075" s="149">
        <v>0</v>
      </c>
      <c r="H1075" s="149">
        <v>0</v>
      </c>
      <c r="I1075" s="150">
        <v>0</v>
      </c>
    </row>
    <row r="1076" spans="1:9" ht="15.6" x14ac:dyDescent="0.25">
      <c r="A1076" s="145"/>
      <c r="B1076" s="146">
        <v>3970353</v>
      </c>
      <c r="C1076" s="147"/>
      <c r="D1076" s="148" t="s">
        <v>834</v>
      </c>
      <c r="E1076" s="149">
        <v>5.31</v>
      </c>
      <c r="F1076" s="149">
        <v>2.88</v>
      </c>
      <c r="G1076" s="149">
        <v>0</v>
      </c>
      <c r="H1076" s="149">
        <v>2.73</v>
      </c>
      <c r="I1076" s="150">
        <v>10.92</v>
      </c>
    </row>
    <row r="1077" spans="1:9" ht="15.6" x14ac:dyDescent="0.25">
      <c r="A1077" s="145"/>
      <c r="B1077" s="146">
        <v>3971415</v>
      </c>
      <c r="C1077" s="147"/>
      <c r="D1077" s="148" t="s">
        <v>757</v>
      </c>
      <c r="E1077" s="149">
        <v>0</v>
      </c>
      <c r="F1077" s="149">
        <v>0</v>
      </c>
      <c r="G1077" s="149">
        <v>0</v>
      </c>
      <c r="H1077" s="149">
        <v>2.73</v>
      </c>
      <c r="I1077" s="150">
        <v>2.73</v>
      </c>
    </row>
    <row r="1078" spans="1:9" ht="15.6" x14ac:dyDescent="0.25">
      <c r="A1078" s="145"/>
      <c r="B1078" s="146">
        <v>3989851</v>
      </c>
      <c r="C1078" s="147"/>
      <c r="D1078" s="148" t="s">
        <v>927</v>
      </c>
      <c r="E1078" s="149">
        <v>0</v>
      </c>
      <c r="F1078" s="149">
        <v>0</v>
      </c>
      <c r="G1078" s="149">
        <v>0</v>
      </c>
      <c r="H1078" s="149">
        <v>2.73</v>
      </c>
      <c r="I1078" s="150">
        <v>2.73</v>
      </c>
    </row>
    <row r="1079" spans="1:9" ht="15.6" x14ac:dyDescent="0.25">
      <c r="A1079" s="145"/>
      <c r="B1079" s="146">
        <v>3996994</v>
      </c>
      <c r="C1079" s="147"/>
      <c r="D1079" s="148" t="s">
        <v>857</v>
      </c>
      <c r="E1079" s="149">
        <v>0</v>
      </c>
      <c r="F1079" s="149">
        <v>0</v>
      </c>
      <c r="G1079" s="149">
        <v>0</v>
      </c>
      <c r="H1079" s="149">
        <v>0</v>
      </c>
      <c r="I1079" s="150">
        <v>0</v>
      </c>
    </row>
    <row r="1080" spans="1:9" ht="15.6" x14ac:dyDescent="0.25">
      <c r="A1080" s="145"/>
      <c r="B1080" s="146">
        <v>4000970</v>
      </c>
      <c r="C1080" s="147"/>
      <c r="D1080" s="148" t="s">
        <v>868</v>
      </c>
      <c r="E1080" s="149">
        <v>5.31</v>
      </c>
      <c r="F1080" s="149">
        <v>2.88</v>
      </c>
      <c r="G1080" s="149">
        <v>0</v>
      </c>
      <c r="H1080" s="149">
        <v>2.73</v>
      </c>
      <c r="I1080" s="150">
        <v>10.92</v>
      </c>
    </row>
    <row r="1081" spans="1:9" ht="15.6" x14ac:dyDescent="0.25">
      <c r="A1081" s="145"/>
      <c r="B1081" s="146">
        <v>4001194</v>
      </c>
      <c r="C1081" s="147"/>
      <c r="D1081" s="148" t="s">
        <v>764</v>
      </c>
      <c r="E1081" s="149">
        <v>5.31</v>
      </c>
      <c r="F1081" s="149">
        <v>2.88</v>
      </c>
      <c r="G1081" s="149">
        <v>0</v>
      </c>
      <c r="H1081" s="149">
        <v>2.73</v>
      </c>
      <c r="I1081" s="150">
        <v>10.92</v>
      </c>
    </row>
    <row r="1082" spans="1:9" ht="15.6" x14ac:dyDescent="0.25">
      <c r="A1082" s="145"/>
      <c r="B1082" s="146">
        <v>4005911</v>
      </c>
      <c r="C1082" s="147"/>
      <c r="D1082" s="148" t="s">
        <v>771</v>
      </c>
      <c r="E1082" s="149">
        <v>5.31</v>
      </c>
      <c r="F1082" s="149">
        <v>2.88</v>
      </c>
      <c r="G1082" s="149">
        <v>52.19</v>
      </c>
      <c r="H1082" s="149">
        <v>2.73</v>
      </c>
      <c r="I1082" s="150">
        <v>63.109999999999992</v>
      </c>
    </row>
    <row r="1083" spans="1:9" ht="15.6" x14ac:dyDescent="0.25">
      <c r="A1083" s="145"/>
      <c r="B1083" s="146">
        <v>4024269</v>
      </c>
      <c r="C1083" s="147"/>
      <c r="D1083" s="148" t="s">
        <v>868</v>
      </c>
      <c r="E1083" s="149">
        <v>5.31</v>
      </c>
      <c r="F1083" s="149">
        <v>2.88</v>
      </c>
      <c r="G1083" s="149">
        <v>0</v>
      </c>
      <c r="H1083" s="149">
        <v>2.73</v>
      </c>
      <c r="I1083" s="150">
        <v>10.92</v>
      </c>
    </row>
    <row r="1084" spans="1:9" ht="15.6" x14ac:dyDescent="0.25">
      <c r="A1084" s="145"/>
      <c r="B1084" s="146">
        <v>4029291</v>
      </c>
      <c r="C1084" s="147"/>
      <c r="D1084" s="148" t="s">
        <v>926</v>
      </c>
      <c r="E1084" s="149">
        <v>5.31</v>
      </c>
      <c r="F1084" s="149">
        <v>0</v>
      </c>
      <c r="G1084" s="149">
        <v>0</v>
      </c>
      <c r="H1084" s="149">
        <v>2.73</v>
      </c>
      <c r="I1084" s="150">
        <v>8.0399999999999991</v>
      </c>
    </row>
    <row r="1085" spans="1:9" ht="15.6" x14ac:dyDescent="0.25">
      <c r="A1085" s="145"/>
      <c r="B1085" s="146">
        <v>4034652</v>
      </c>
      <c r="C1085" s="147"/>
      <c r="D1085" s="148" t="s">
        <v>783</v>
      </c>
      <c r="E1085" s="149">
        <v>5.31</v>
      </c>
      <c r="F1085" s="149">
        <v>2.88</v>
      </c>
      <c r="G1085" s="149">
        <v>0</v>
      </c>
      <c r="H1085" s="149">
        <v>2.73</v>
      </c>
      <c r="I1085" s="150">
        <v>10.92</v>
      </c>
    </row>
    <row r="1086" spans="1:9" ht="15.6" x14ac:dyDescent="0.25">
      <c r="A1086" s="145"/>
      <c r="B1086" s="146">
        <v>4041720</v>
      </c>
      <c r="C1086" s="147"/>
      <c r="D1086" s="148" t="s">
        <v>796</v>
      </c>
      <c r="E1086" s="149">
        <v>0</v>
      </c>
      <c r="F1086" s="149">
        <v>0</v>
      </c>
      <c r="G1086" s="149">
        <v>0</v>
      </c>
      <c r="H1086" s="149">
        <v>0</v>
      </c>
      <c r="I1086" s="150">
        <v>0</v>
      </c>
    </row>
    <row r="1087" spans="1:9" ht="15.6" x14ac:dyDescent="0.25">
      <c r="A1087" s="145"/>
      <c r="B1087" s="146">
        <v>4042289</v>
      </c>
      <c r="C1087" s="147"/>
      <c r="D1087" s="148" t="s">
        <v>851</v>
      </c>
      <c r="E1087" s="149">
        <v>5.31</v>
      </c>
      <c r="F1087" s="149">
        <v>2.88</v>
      </c>
      <c r="G1087" s="149">
        <v>22.66</v>
      </c>
      <c r="H1087" s="149">
        <v>2.73</v>
      </c>
      <c r="I1087" s="150">
        <v>33.58</v>
      </c>
    </row>
    <row r="1088" spans="1:9" ht="15.6" x14ac:dyDescent="0.25">
      <c r="A1088" s="145"/>
      <c r="B1088" s="146">
        <v>4042614</v>
      </c>
      <c r="C1088" s="147"/>
      <c r="D1088" s="148" t="s">
        <v>798</v>
      </c>
      <c r="E1088" s="149">
        <v>0</v>
      </c>
      <c r="F1088" s="149">
        <v>0</v>
      </c>
      <c r="G1088" s="149">
        <v>0</v>
      </c>
      <c r="H1088" s="149">
        <v>0</v>
      </c>
      <c r="I1088" s="150">
        <v>0</v>
      </c>
    </row>
    <row r="1089" spans="1:9" ht="15.6" x14ac:dyDescent="0.25">
      <c r="A1089" s="145"/>
      <c r="B1089" s="146">
        <v>4046779</v>
      </c>
      <c r="C1089" s="147"/>
      <c r="D1089" s="148" t="s">
        <v>834</v>
      </c>
      <c r="E1089" s="149">
        <v>5.31</v>
      </c>
      <c r="F1089" s="149">
        <v>2.88</v>
      </c>
      <c r="G1089" s="149">
        <v>0</v>
      </c>
      <c r="H1089" s="149">
        <v>2.73</v>
      </c>
      <c r="I1089" s="150">
        <v>10.92</v>
      </c>
    </row>
    <row r="1090" spans="1:9" ht="15.6" x14ac:dyDescent="0.25">
      <c r="A1090" s="145"/>
      <c r="B1090" s="146">
        <v>4051278</v>
      </c>
      <c r="C1090" s="147"/>
      <c r="D1090" s="148" t="s">
        <v>823</v>
      </c>
      <c r="E1090" s="149">
        <v>5.31</v>
      </c>
      <c r="F1090" s="149">
        <v>2.88</v>
      </c>
      <c r="G1090" s="149">
        <v>0</v>
      </c>
      <c r="H1090" s="149">
        <v>2.73</v>
      </c>
      <c r="I1090" s="150">
        <v>10.92</v>
      </c>
    </row>
    <row r="1091" spans="1:9" ht="15.6" x14ac:dyDescent="0.25">
      <c r="A1091" s="145"/>
      <c r="B1091" s="146">
        <v>4057543</v>
      </c>
      <c r="C1091" s="147"/>
      <c r="D1091" s="148" t="s">
        <v>737</v>
      </c>
      <c r="E1091" s="149">
        <v>5.31</v>
      </c>
      <c r="F1091" s="149">
        <v>2.88</v>
      </c>
      <c r="G1091" s="149">
        <v>0</v>
      </c>
      <c r="H1091" s="149">
        <v>2.73</v>
      </c>
      <c r="I1091" s="150">
        <v>10.92</v>
      </c>
    </row>
    <row r="1092" spans="1:9" ht="15.6" x14ac:dyDescent="0.25">
      <c r="A1092" s="145"/>
      <c r="B1092" s="146">
        <v>4059392</v>
      </c>
      <c r="C1092" s="147"/>
      <c r="D1092" s="148" t="s">
        <v>868</v>
      </c>
      <c r="E1092" s="149">
        <v>5.31</v>
      </c>
      <c r="F1092" s="149">
        <v>2.88</v>
      </c>
      <c r="G1092" s="149">
        <v>0</v>
      </c>
      <c r="H1092" s="149">
        <v>2.73</v>
      </c>
      <c r="I1092" s="150">
        <v>10.92</v>
      </c>
    </row>
    <row r="1093" spans="1:9" ht="15.6" x14ac:dyDescent="0.25">
      <c r="A1093" s="145"/>
      <c r="B1093" s="146">
        <v>4059532</v>
      </c>
      <c r="C1093" s="147"/>
      <c r="D1093" s="148" t="s">
        <v>828</v>
      </c>
      <c r="E1093" s="149">
        <v>5.31</v>
      </c>
      <c r="F1093" s="149">
        <v>2.88</v>
      </c>
      <c r="G1093" s="149">
        <v>0</v>
      </c>
      <c r="H1093" s="149">
        <v>2.73</v>
      </c>
      <c r="I1093" s="150">
        <v>10.92</v>
      </c>
    </row>
    <row r="1094" spans="1:9" ht="15.6" x14ac:dyDescent="0.25">
      <c r="A1094" s="145"/>
      <c r="B1094" s="146">
        <v>4059767</v>
      </c>
      <c r="C1094" s="147"/>
      <c r="D1094" s="148" t="s">
        <v>781</v>
      </c>
      <c r="E1094" s="149">
        <v>5.31</v>
      </c>
      <c r="F1094" s="149">
        <v>2.88</v>
      </c>
      <c r="G1094" s="149">
        <v>62.32</v>
      </c>
      <c r="H1094" s="149">
        <v>2.73</v>
      </c>
      <c r="I1094" s="150">
        <v>73.240000000000009</v>
      </c>
    </row>
    <row r="1095" spans="1:9" ht="15.6" x14ac:dyDescent="0.25">
      <c r="A1095" s="145"/>
      <c r="B1095" s="146">
        <v>4061664</v>
      </c>
      <c r="C1095" s="147"/>
      <c r="D1095" s="148" t="s">
        <v>773</v>
      </c>
      <c r="E1095" s="149">
        <v>5.31</v>
      </c>
      <c r="F1095" s="149">
        <v>2.88</v>
      </c>
      <c r="G1095" s="149">
        <v>0</v>
      </c>
      <c r="H1095" s="149">
        <v>2.73</v>
      </c>
      <c r="I1095" s="150">
        <v>10.92</v>
      </c>
    </row>
    <row r="1096" spans="1:9" ht="15.6" x14ac:dyDescent="0.25">
      <c r="A1096" s="145"/>
      <c r="B1096" s="146">
        <v>4062841</v>
      </c>
      <c r="C1096" s="147"/>
      <c r="D1096" s="148" t="s">
        <v>746</v>
      </c>
      <c r="E1096" s="149">
        <v>5.31</v>
      </c>
      <c r="F1096" s="149">
        <v>2.88</v>
      </c>
      <c r="G1096" s="149">
        <v>0</v>
      </c>
      <c r="H1096" s="149">
        <v>2.73</v>
      </c>
      <c r="I1096" s="150">
        <v>10.92</v>
      </c>
    </row>
    <row r="1097" spans="1:9" ht="15.6" x14ac:dyDescent="0.25">
      <c r="A1097" s="145"/>
      <c r="B1097" s="146">
        <v>4072528</v>
      </c>
      <c r="C1097" s="147"/>
      <c r="D1097" s="148" t="s">
        <v>771</v>
      </c>
      <c r="E1097" s="149">
        <v>5.31</v>
      </c>
      <c r="F1097" s="149">
        <v>2.88</v>
      </c>
      <c r="G1097" s="149">
        <v>0</v>
      </c>
      <c r="H1097" s="149">
        <v>2.73</v>
      </c>
      <c r="I1097" s="150">
        <v>10.92</v>
      </c>
    </row>
    <row r="1098" spans="1:9" ht="15.6" x14ac:dyDescent="0.25">
      <c r="A1098" s="145"/>
      <c r="B1098" s="146">
        <v>4072771</v>
      </c>
      <c r="C1098" s="147"/>
      <c r="D1098" s="148" t="s">
        <v>818</v>
      </c>
      <c r="E1098" s="149">
        <v>5.31</v>
      </c>
      <c r="F1098" s="149">
        <v>2.88</v>
      </c>
      <c r="G1098" s="149">
        <v>0</v>
      </c>
      <c r="H1098" s="149">
        <v>2.73</v>
      </c>
      <c r="I1098" s="150">
        <v>10.92</v>
      </c>
    </row>
    <row r="1099" spans="1:9" ht="15.6" x14ac:dyDescent="0.25">
      <c r="A1099" s="145"/>
      <c r="B1099" s="146">
        <v>4074986</v>
      </c>
      <c r="C1099" s="147"/>
      <c r="D1099" s="148" t="s">
        <v>901</v>
      </c>
      <c r="E1099" s="149">
        <v>5.31</v>
      </c>
      <c r="F1099" s="149">
        <v>2.88</v>
      </c>
      <c r="G1099" s="149">
        <v>0</v>
      </c>
      <c r="H1099" s="149">
        <v>2.73</v>
      </c>
      <c r="I1099" s="150">
        <v>10.92</v>
      </c>
    </row>
    <row r="1100" spans="1:9" ht="15.6" x14ac:dyDescent="0.25">
      <c r="A1100" s="145"/>
      <c r="B1100" s="146">
        <v>4077622</v>
      </c>
      <c r="C1100" s="147"/>
      <c r="D1100" s="148" t="s">
        <v>857</v>
      </c>
      <c r="E1100" s="149">
        <v>5.31</v>
      </c>
      <c r="F1100" s="149">
        <v>2.88</v>
      </c>
      <c r="G1100" s="149">
        <v>0</v>
      </c>
      <c r="H1100" s="149">
        <v>2.73</v>
      </c>
      <c r="I1100" s="150">
        <v>10.92</v>
      </c>
    </row>
    <row r="1101" spans="1:9" ht="15.6" x14ac:dyDescent="0.25">
      <c r="A1101" s="145"/>
      <c r="B1101" s="146">
        <v>4085279</v>
      </c>
      <c r="C1101" s="147"/>
      <c r="D1101" s="148" t="s">
        <v>783</v>
      </c>
      <c r="E1101" s="149">
        <v>5.31</v>
      </c>
      <c r="F1101" s="149">
        <v>2.88</v>
      </c>
      <c r="G1101" s="149">
        <v>0</v>
      </c>
      <c r="H1101" s="149">
        <v>2.73</v>
      </c>
      <c r="I1101" s="150">
        <v>10.92</v>
      </c>
    </row>
    <row r="1102" spans="1:9" ht="15.6" x14ac:dyDescent="0.25">
      <c r="A1102" s="145"/>
      <c r="B1102" s="146">
        <v>4086821</v>
      </c>
      <c r="C1102" s="147"/>
      <c r="D1102" s="148" t="s">
        <v>857</v>
      </c>
      <c r="E1102" s="149">
        <v>0</v>
      </c>
      <c r="F1102" s="149">
        <v>0</v>
      </c>
      <c r="G1102" s="149">
        <v>0</v>
      </c>
      <c r="H1102" s="149">
        <v>0</v>
      </c>
      <c r="I1102" s="150">
        <v>0</v>
      </c>
    </row>
    <row r="1103" spans="1:9" ht="15.6" x14ac:dyDescent="0.25">
      <c r="A1103" s="145"/>
      <c r="B1103" s="146">
        <v>4087464</v>
      </c>
      <c r="C1103" s="147"/>
      <c r="D1103" s="148" t="s">
        <v>717</v>
      </c>
      <c r="E1103" s="149">
        <v>0</v>
      </c>
      <c r="F1103" s="149">
        <v>0</v>
      </c>
      <c r="G1103" s="149">
        <v>0</v>
      </c>
      <c r="H1103" s="149">
        <v>0</v>
      </c>
      <c r="I1103" s="150">
        <v>0</v>
      </c>
    </row>
    <row r="1104" spans="1:9" ht="15.6" x14ac:dyDescent="0.25">
      <c r="A1104" s="145"/>
      <c r="B1104" s="146">
        <v>4088481</v>
      </c>
      <c r="C1104" s="147"/>
      <c r="D1104" s="148" t="s">
        <v>921</v>
      </c>
      <c r="E1104" s="149">
        <v>5.31</v>
      </c>
      <c r="F1104" s="149">
        <v>2.88</v>
      </c>
      <c r="G1104" s="149">
        <v>0</v>
      </c>
      <c r="H1104" s="149">
        <v>2.73</v>
      </c>
      <c r="I1104" s="150">
        <v>10.92</v>
      </c>
    </row>
    <row r="1105" spans="1:9" ht="15.6" x14ac:dyDescent="0.25">
      <c r="A1105" s="145"/>
      <c r="B1105" s="146">
        <v>4088718</v>
      </c>
      <c r="C1105" s="147"/>
      <c r="D1105" s="148" t="s">
        <v>901</v>
      </c>
      <c r="E1105" s="149">
        <v>5.31</v>
      </c>
      <c r="F1105" s="149">
        <v>2.88</v>
      </c>
      <c r="G1105" s="149">
        <v>0</v>
      </c>
      <c r="H1105" s="149">
        <v>2.73</v>
      </c>
      <c r="I1105" s="150">
        <v>10.92</v>
      </c>
    </row>
    <row r="1106" spans="1:9" ht="15.6" x14ac:dyDescent="0.25">
      <c r="A1106" s="145"/>
      <c r="B1106" s="146">
        <v>4091396</v>
      </c>
      <c r="C1106" s="147"/>
      <c r="D1106" s="148" t="s">
        <v>781</v>
      </c>
      <c r="E1106" s="149">
        <v>5.31</v>
      </c>
      <c r="F1106" s="149">
        <v>2.88</v>
      </c>
      <c r="G1106" s="149">
        <v>0</v>
      </c>
      <c r="H1106" s="149">
        <v>2.73</v>
      </c>
      <c r="I1106" s="150">
        <v>10.92</v>
      </c>
    </row>
    <row r="1107" spans="1:9" ht="15.6" x14ac:dyDescent="0.25">
      <c r="A1107" s="145"/>
      <c r="B1107" s="146">
        <v>4093728</v>
      </c>
      <c r="C1107" s="147"/>
      <c r="D1107" s="148" t="s">
        <v>920</v>
      </c>
      <c r="E1107" s="149">
        <v>0</v>
      </c>
      <c r="F1107" s="149">
        <v>0</v>
      </c>
      <c r="G1107" s="149">
        <v>0</v>
      </c>
      <c r="H1107" s="149">
        <v>0</v>
      </c>
      <c r="I1107" s="150">
        <v>0</v>
      </c>
    </row>
    <row r="1108" spans="1:9" ht="15.6" x14ac:dyDescent="0.25">
      <c r="A1108" s="145"/>
      <c r="B1108" s="146">
        <v>4094073</v>
      </c>
      <c r="C1108" s="147"/>
      <c r="D1108" s="148" t="s">
        <v>911</v>
      </c>
      <c r="E1108" s="149">
        <v>5.31</v>
      </c>
      <c r="F1108" s="149">
        <v>0</v>
      </c>
      <c r="G1108" s="149">
        <v>0</v>
      </c>
      <c r="H1108" s="149">
        <v>2.73</v>
      </c>
      <c r="I1108" s="150">
        <v>8.0399999999999991</v>
      </c>
    </row>
    <row r="1109" spans="1:9" ht="15.6" x14ac:dyDescent="0.25">
      <c r="A1109" s="145"/>
      <c r="B1109" s="146">
        <v>4096819</v>
      </c>
      <c r="C1109" s="147"/>
      <c r="D1109" s="148" t="s">
        <v>877</v>
      </c>
      <c r="E1109" s="149">
        <v>0</v>
      </c>
      <c r="F1109" s="149">
        <v>0</v>
      </c>
      <c r="G1109" s="149">
        <v>0</v>
      </c>
      <c r="H1109" s="149">
        <v>2.73</v>
      </c>
      <c r="I1109" s="150">
        <v>2.73</v>
      </c>
    </row>
    <row r="1110" spans="1:9" ht="15.6" x14ac:dyDescent="0.25">
      <c r="A1110" s="145"/>
      <c r="B1110" s="146">
        <v>4097197</v>
      </c>
      <c r="C1110" s="147"/>
      <c r="D1110" s="148" t="s">
        <v>828</v>
      </c>
      <c r="E1110" s="149">
        <v>5.31</v>
      </c>
      <c r="F1110" s="149">
        <v>2.88</v>
      </c>
      <c r="G1110" s="149">
        <v>0</v>
      </c>
      <c r="H1110" s="149">
        <v>2.73</v>
      </c>
      <c r="I1110" s="150">
        <v>10.92</v>
      </c>
    </row>
    <row r="1111" spans="1:9" ht="15.6" x14ac:dyDescent="0.25">
      <c r="A1111" s="145"/>
      <c r="B1111" s="146">
        <v>4099785</v>
      </c>
      <c r="C1111" s="147"/>
      <c r="D1111" s="148" t="s">
        <v>967</v>
      </c>
      <c r="E1111" s="149">
        <v>5.31</v>
      </c>
      <c r="F1111" s="149">
        <v>2.88</v>
      </c>
      <c r="G1111" s="149">
        <v>0</v>
      </c>
      <c r="H1111" s="149">
        <v>2.73</v>
      </c>
      <c r="I1111" s="150">
        <v>10.92</v>
      </c>
    </row>
    <row r="1112" spans="1:9" ht="15.6" x14ac:dyDescent="0.25">
      <c r="A1112" s="145"/>
      <c r="B1112" s="146">
        <v>4106425</v>
      </c>
      <c r="C1112" s="147"/>
      <c r="D1112" s="148" t="s">
        <v>753</v>
      </c>
      <c r="E1112" s="149">
        <v>0</v>
      </c>
      <c r="F1112" s="149">
        <v>0</v>
      </c>
      <c r="G1112" s="149">
        <v>0</v>
      </c>
      <c r="H1112" s="149">
        <v>2.73</v>
      </c>
      <c r="I1112" s="150">
        <v>2.73</v>
      </c>
    </row>
    <row r="1113" spans="1:9" ht="15.6" x14ac:dyDescent="0.25">
      <c r="A1113" s="145"/>
      <c r="B1113" s="146">
        <v>4108626</v>
      </c>
      <c r="C1113" s="147"/>
      <c r="D1113" s="148" t="s">
        <v>857</v>
      </c>
      <c r="E1113" s="149">
        <v>0</v>
      </c>
      <c r="F1113" s="149">
        <v>0</v>
      </c>
      <c r="G1113" s="149">
        <v>0</v>
      </c>
      <c r="H1113" s="149">
        <v>0</v>
      </c>
      <c r="I1113" s="150">
        <v>0</v>
      </c>
    </row>
    <row r="1114" spans="1:9" ht="15.6" x14ac:dyDescent="0.25">
      <c r="A1114" s="145"/>
      <c r="B1114" s="146">
        <v>4108628</v>
      </c>
      <c r="C1114" s="147"/>
      <c r="D1114" s="148" t="s">
        <v>828</v>
      </c>
      <c r="E1114" s="149">
        <v>5.31</v>
      </c>
      <c r="F1114" s="149">
        <v>2.88</v>
      </c>
      <c r="G1114" s="149">
        <v>0</v>
      </c>
      <c r="H1114" s="149">
        <v>2.73</v>
      </c>
      <c r="I1114" s="150">
        <v>10.92</v>
      </c>
    </row>
    <row r="1115" spans="1:9" ht="15.6" x14ac:dyDescent="0.25">
      <c r="A1115" s="145"/>
      <c r="B1115" s="146">
        <v>4109136</v>
      </c>
      <c r="C1115" s="147"/>
      <c r="D1115" s="148" t="s">
        <v>756</v>
      </c>
      <c r="E1115" s="149">
        <v>0</v>
      </c>
      <c r="F1115" s="149">
        <v>0</v>
      </c>
      <c r="G1115" s="149">
        <v>0</v>
      </c>
      <c r="H1115" s="149">
        <v>2.73</v>
      </c>
      <c r="I1115" s="150">
        <v>2.73</v>
      </c>
    </row>
    <row r="1116" spans="1:9" ht="15.6" x14ac:dyDescent="0.25">
      <c r="A1116" s="145"/>
      <c r="B1116" s="146">
        <v>4111105</v>
      </c>
      <c r="C1116" s="147"/>
      <c r="D1116" s="148" t="s">
        <v>911</v>
      </c>
      <c r="E1116" s="149">
        <v>5.31</v>
      </c>
      <c r="F1116" s="149">
        <v>0</v>
      </c>
      <c r="G1116" s="149">
        <v>0</v>
      </c>
      <c r="H1116" s="149">
        <v>2.73</v>
      </c>
      <c r="I1116" s="150">
        <v>8.0399999999999991</v>
      </c>
    </row>
    <row r="1117" spans="1:9" ht="15.6" x14ac:dyDescent="0.25">
      <c r="A1117" s="145"/>
      <c r="B1117" s="146">
        <v>4114367</v>
      </c>
      <c r="C1117" s="147"/>
      <c r="D1117" s="148" t="s">
        <v>868</v>
      </c>
      <c r="E1117" s="149">
        <v>5.31</v>
      </c>
      <c r="F1117" s="149">
        <v>2.88</v>
      </c>
      <c r="G1117" s="149">
        <v>0</v>
      </c>
      <c r="H1117" s="149">
        <v>2.73</v>
      </c>
      <c r="I1117" s="150">
        <v>10.92</v>
      </c>
    </row>
    <row r="1118" spans="1:9" ht="15.6" x14ac:dyDescent="0.25">
      <c r="A1118" s="145"/>
      <c r="B1118" s="146">
        <v>4117094</v>
      </c>
      <c r="C1118" s="147"/>
      <c r="D1118" s="148" t="s">
        <v>851</v>
      </c>
      <c r="E1118" s="149">
        <v>5.31</v>
      </c>
      <c r="F1118" s="149">
        <v>2.88</v>
      </c>
      <c r="G1118" s="149">
        <v>22.66</v>
      </c>
      <c r="H1118" s="149">
        <v>2.73</v>
      </c>
      <c r="I1118" s="150">
        <v>33.58</v>
      </c>
    </row>
    <row r="1119" spans="1:9" ht="15.6" x14ac:dyDescent="0.25">
      <c r="A1119" s="145"/>
      <c r="B1119" s="146">
        <v>4122358</v>
      </c>
      <c r="C1119" s="147"/>
      <c r="D1119" s="148" t="s">
        <v>731</v>
      </c>
      <c r="E1119" s="149">
        <v>0</v>
      </c>
      <c r="F1119" s="149">
        <v>0</v>
      </c>
      <c r="G1119" s="149">
        <v>0</v>
      </c>
      <c r="H1119" s="149">
        <v>0</v>
      </c>
      <c r="I1119" s="150">
        <v>0</v>
      </c>
    </row>
    <row r="1120" spans="1:9" ht="15.6" x14ac:dyDescent="0.25">
      <c r="A1120" s="145"/>
      <c r="B1120" s="146">
        <v>4125012</v>
      </c>
      <c r="C1120" s="147"/>
      <c r="D1120" s="148" t="s">
        <v>868</v>
      </c>
      <c r="E1120" s="149">
        <v>5.31</v>
      </c>
      <c r="F1120" s="149">
        <v>2.88</v>
      </c>
      <c r="G1120" s="149">
        <v>0</v>
      </c>
      <c r="H1120" s="149">
        <v>2.73</v>
      </c>
      <c r="I1120" s="150">
        <v>10.92</v>
      </c>
    </row>
    <row r="1121" spans="1:9" ht="15.6" x14ac:dyDescent="0.25">
      <c r="A1121" s="145"/>
      <c r="B1121" s="146">
        <v>4129535</v>
      </c>
      <c r="C1121" s="147"/>
      <c r="D1121" s="148" t="s">
        <v>864</v>
      </c>
      <c r="E1121" s="149">
        <v>5.31</v>
      </c>
      <c r="F1121" s="149">
        <v>2.88</v>
      </c>
      <c r="G1121" s="149">
        <v>0</v>
      </c>
      <c r="H1121" s="149">
        <v>2.73</v>
      </c>
      <c r="I1121" s="150">
        <v>10.92</v>
      </c>
    </row>
    <row r="1122" spans="1:9" ht="15.6" x14ac:dyDescent="0.25">
      <c r="A1122" s="145"/>
      <c r="B1122" s="146">
        <v>4130843</v>
      </c>
      <c r="C1122" s="147"/>
      <c r="D1122" s="148" t="s">
        <v>851</v>
      </c>
      <c r="E1122" s="149">
        <v>5.31</v>
      </c>
      <c r="F1122" s="149">
        <v>2.88</v>
      </c>
      <c r="G1122" s="149">
        <v>22.66</v>
      </c>
      <c r="H1122" s="149">
        <v>2.73</v>
      </c>
      <c r="I1122" s="150">
        <v>33.58</v>
      </c>
    </row>
    <row r="1123" spans="1:9" ht="15.6" x14ac:dyDescent="0.25">
      <c r="A1123" s="145"/>
      <c r="B1123" s="146">
        <v>4133997</v>
      </c>
      <c r="C1123" s="147"/>
      <c r="D1123" s="148" t="s">
        <v>818</v>
      </c>
      <c r="E1123" s="149">
        <v>5.31</v>
      </c>
      <c r="F1123" s="149">
        <v>2.88</v>
      </c>
      <c r="G1123" s="149">
        <v>0</v>
      </c>
      <c r="H1123" s="149">
        <v>2.73</v>
      </c>
      <c r="I1123" s="150">
        <v>10.92</v>
      </c>
    </row>
    <row r="1124" spans="1:9" ht="15.6" x14ac:dyDescent="0.25">
      <c r="A1124" s="145"/>
      <c r="B1124" s="146">
        <v>4141089</v>
      </c>
      <c r="C1124" s="147"/>
      <c r="D1124" s="148" t="s">
        <v>853</v>
      </c>
      <c r="E1124" s="149">
        <v>5.31</v>
      </c>
      <c r="F1124" s="149">
        <v>2.88</v>
      </c>
      <c r="G1124" s="149">
        <v>0</v>
      </c>
      <c r="H1124" s="149">
        <v>2.73</v>
      </c>
      <c r="I1124" s="150">
        <v>10.92</v>
      </c>
    </row>
    <row r="1125" spans="1:9" ht="15.6" x14ac:dyDescent="0.25">
      <c r="A1125" s="145"/>
      <c r="B1125" s="146">
        <v>4141351</v>
      </c>
      <c r="C1125" s="147"/>
      <c r="D1125" s="148" t="s">
        <v>851</v>
      </c>
      <c r="E1125" s="149">
        <v>5.31</v>
      </c>
      <c r="F1125" s="149">
        <v>2.88</v>
      </c>
      <c r="G1125" s="149">
        <v>28.61</v>
      </c>
      <c r="H1125" s="149">
        <v>2.73</v>
      </c>
      <c r="I1125" s="150">
        <v>39.529999999999994</v>
      </c>
    </row>
    <row r="1126" spans="1:9" ht="15.6" x14ac:dyDescent="0.25">
      <c r="A1126" s="145"/>
      <c r="B1126" s="146">
        <v>4144342</v>
      </c>
      <c r="C1126" s="147"/>
      <c r="D1126" s="148" t="s">
        <v>935</v>
      </c>
      <c r="E1126" s="149">
        <v>5.31</v>
      </c>
      <c r="F1126" s="149">
        <v>2.88</v>
      </c>
      <c r="G1126" s="149">
        <v>0</v>
      </c>
      <c r="H1126" s="149">
        <v>2.73</v>
      </c>
      <c r="I1126" s="150">
        <v>10.92</v>
      </c>
    </row>
    <row r="1127" spans="1:9" ht="15.6" x14ac:dyDescent="0.25">
      <c r="A1127" s="145"/>
      <c r="B1127" s="146">
        <v>4146111</v>
      </c>
      <c r="C1127" s="147"/>
      <c r="D1127" s="148" t="s">
        <v>818</v>
      </c>
      <c r="E1127" s="149">
        <v>5.31</v>
      </c>
      <c r="F1127" s="149">
        <v>2.88</v>
      </c>
      <c r="G1127" s="149">
        <v>0</v>
      </c>
      <c r="H1127" s="149">
        <v>2.73</v>
      </c>
      <c r="I1127" s="150">
        <v>10.92</v>
      </c>
    </row>
    <row r="1128" spans="1:9" ht="15.6" x14ac:dyDescent="0.25">
      <c r="A1128" s="145"/>
      <c r="B1128" s="146">
        <v>4159005</v>
      </c>
      <c r="C1128" s="147"/>
      <c r="D1128" s="148" t="s">
        <v>851</v>
      </c>
      <c r="E1128" s="149">
        <v>5.31</v>
      </c>
      <c r="F1128" s="149">
        <v>2.88</v>
      </c>
      <c r="G1128" s="149">
        <v>22.66</v>
      </c>
      <c r="H1128" s="149">
        <v>2.73</v>
      </c>
      <c r="I1128" s="150">
        <v>33.58</v>
      </c>
    </row>
    <row r="1129" spans="1:9" ht="15.6" x14ac:dyDescent="0.25">
      <c r="A1129" s="145"/>
      <c r="B1129" s="146">
        <v>4160829</v>
      </c>
      <c r="C1129" s="147"/>
      <c r="D1129" s="148" t="s">
        <v>925</v>
      </c>
      <c r="E1129" s="149">
        <v>5.31</v>
      </c>
      <c r="F1129" s="149">
        <v>2.88</v>
      </c>
      <c r="G1129" s="149">
        <v>0</v>
      </c>
      <c r="H1129" s="149">
        <v>0</v>
      </c>
      <c r="I1129" s="150">
        <v>8.19</v>
      </c>
    </row>
    <row r="1130" spans="1:9" ht="15.6" x14ac:dyDescent="0.25">
      <c r="A1130" s="145"/>
      <c r="B1130" s="146">
        <v>4163057</v>
      </c>
      <c r="C1130" s="147"/>
      <c r="D1130" s="148" t="s">
        <v>871</v>
      </c>
      <c r="E1130" s="149">
        <v>5.31</v>
      </c>
      <c r="F1130" s="149">
        <v>2.88</v>
      </c>
      <c r="G1130" s="149">
        <v>0</v>
      </c>
      <c r="H1130" s="149">
        <v>2.73</v>
      </c>
      <c r="I1130" s="150">
        <v>10.92</v>
      </c>
    </row>
    <row r="1131" spans="1:9" ht="15.6" x14ac:dyDescent="0.25">
      <c r="A1131" s="145"/>
      <c r="B1131" s="146">
        <v>4163818</v>
      </c>
      <c r="C1131" s="147"/>
      <c r="D1131" s="148" t="s">
        <v>719</v>
      </c>
      <c r="E1131" s="149">
        <v>0</v>
      </c>
      <c r="F1131" s="149">
        <v>0</v>
      </c>
      <c r="G1131" s="149">
        <v>0</v>
      </c>
      <c r="H1131" s="149">
        <v>0</v>
      </c>
      <c r="I1131" s="150">
        <v>0</v>
      </c>
    </row>
    <row r="1132" spans="1:9" ht="15.6" x14ac:dyDescent="0.25">
      <c r="A1132" s="145"/>
      <c r="B1132" s="146">
        <v>4163824</v>
      </c>
      <c r="C1132" s="147"/>
      <c r="D1132" s="148" t="s">
        <v>865</v>
      </c>
      <c r="E1132" s="149">
        <v>0</v>
      </c>
      <c r="F1132" s="149">
        <v>0</v>
      </c>
      <c r="G1132" s="149">
        <v>0</v>
      </c>
      <c r="H1132" s="149">
        <v>0</v>
      </c>
      <c r="I1132" s="150">
        <v>0</v>
      </c>
    </row>
    <row r="1133" spans="1:9" ht="15.6" x14ac:dyDescent="0.25">
      <c r="A1133" s="145"/>
      <c r="B1133" s="146">
        <v>4164346</v>
      </c>
      <c r="C1133" s="147"/>
      <c r="D1133" s="148" t="s">
        <v>857</v>
      </c>
      <c r="E1133" s="149">
        <v>5.31</v>
      </c>
      <c r="F1133" s="149">
        <v>2.88</v>
      </c>
      <c r="G1133" s="149">
        <v>0</v>
      </c>
      <c r="H1133" s="149">
        <v>2.73</v>
      </c>
      <c r="I1133" s="150">
        <v>10.92</v>
      </c>
    </row>
    <row r="1134" spans="1:9" ht="15.6" x14ac:dyDescent="0.25">
      <c r="A1134" s="145"/>
      <c r="B1134" s="146">
        <v>4164640</v>
      </c>
      <c r="C1134" s="147"/>
      <c r="D1134" s="148" t="s">
        <v>781</v>
      </c>
      <c r="E1134" s="149">
        <v>5.31</v>
      </c>
      <c r="F1134" s="149">
        <v>2.88</v>
      </c>
      <c r="G1134" s="149">
        <v>42.13</v>
      </c>
      <c r="H1134" s="149">
        <v>2.73</v>
      </c>
      <c r="I1134" s="150">
        <v>53.05</v>
      </c>
    </row>
    <row r="1135" spans="1:9" ht="15.6" x14ac:dyDescent="0.25">
      <c r="A1135" s="145"/>
      <c r="B1135" s="146">
        <v>4167935</v>
      </c>
      <c r="C1135" s="147"/>
      <c r="D1135" s="148" t="s">
        <v>911</v>
      </c>
      <c r="E1135" s="149">
        <v>5.31</v>
      </c>
      <c r="F1135" s="149">
        <v>0</v>
      </c>
      <c r="G1135" s="149">
        <v>0</v>
      </c>
      <c r="H1135" s="149">
        <v>2.73</v>
      </c>
      <c r="I1135" s="150">
        <v>8.0399999999999991</v>
      </c>
    </row>
    <row r="1136" spans="1:9" ht="15.6" x14ac:dyDescent="0.25">
      <c r="A1136" s="145"/>
      <c r="B1136" s="146">
        <v>4174315</v>
      </c>
      <c r="C1136" s="147"/>
      <c r="D1136" s="148" t="s">
        <v>744</v>
      </c>
      <c r="E1136" s="149">
        <v>0</v>
      </c>
      <c r="F1136" s="149">
        <v>0</v>
      </c>
      <c r="G1136" s="149">
        <v>0</v>
      </c>
      <c r="H1136" s="149">
        <v>0</v>
      </c>
      <c r="I1136" s="150">
        <v>0</v>
      </c>
    </row>
    <row r="1137" spans="1:9" ht="15.6" x14ac:dyDescent="0.25">
      <c r="A1137" s="145"/>
      <c r="B1137" s="146">
        <v>4174496</v>
      </c>
      <c r="C1137" s="147"/>
      <c r="D1137" s="148" t="s">
        <v>896</v>
      </c>
      <c r="E1137" s="149">
        <v>5.31</v>
      </c>
      <c r="F1137" s="149">
        <v>2.88</v>
      </c>
      <c r="G1137" s="149">
        <v>0</v>
      </c>
      <c r="H1137" s="149">
        <v>2.73</v>
      </c>
      <c r="I1137" s="150">
        <v>10.92</v>
      </c>
    </row>
    <row r="1138" spans="1:9" ht="15.6" x14ac:dyDescent="0.25">
      <c r="A1138" s="145"/>
      <c r="B1138" s="146">
        <v>4177203</v>
      </c>
      <c r="C1138" s="147"/>
      <c r="D1138" s="148" t="s">
        <v>868</v>
      </c>
      <c r="E1138" s="149">
        <v>5.31</v>
      </c>
      <c r="F1138" s="149">
        <v>2.88</v>
      </c>
      <c r="G1138" s="149">
        <v>0</v>
      </c>
      <c r="H1138" s="149">
        <v>2.73</v>
      </c>
      <c r="I1138" s="150">
        <v>10.92</v>
      </c>
    </row>
    <row r="1139" spans="1:9" ht="15.6" x14ac:dyDescent="0.25">
      <c r="A1139" s="145"/>
      <c r="B1139" s="146">
        <v>4178262</v>
      </c>
      <c r="C1139" s="147"/>
      <c r="D1139" s="148" t="s">
        <v>857</v>
      </c>
      <c r="E1139" s="149">
        <v>0</v>
      </c>
      <c r="F1139" s="149">
        <v>0</v>
      </c>
      <c r="G1139" s="149">
        <v>0</v>
      </c>
      <c r="H1139" s="149">
        <v>0</v>
      </c>
      <c r="I1139" s="150">
        <v>0</v>
      </c>
    </row>
    <row r="1140" spans="1:9" ht="15.6" x14ac:dyDescent="0.25">
      <c r="A1140" s="145"/>
      <c r="B1140" s="146">
        <v>4179553</v>
      </c>
      <c r="C1140" s="147"/>
      <c r="D1140" s="148" t="s">
        <v>839</v>
      </c>
      <c r="E1140" s="149">
        <v>5.31</v>
      </c>
      <c r="F1140" s="149">
        <v>2.88</v>
      </c>
      <c r="G1140" s="149">
        <v>0</v>
      </c>
      <c r="H1140" s="149">
        <v>2.73</v>
      </c>
      <c r="I1140" s="150">
        <v>10.92</v>
      </c>
    </row>
    <row r="1141" spans="1:9" ht="15.6" x14ac:dyDescent="0.25">
      <c r="A1141" s="145"/>
      <c r="B1141" s="146">
        <v>4187811</v>
      </c>
      <c r="C1141" s="147"/>
      <c r="D1141" s="148" t="s">
        <v>912</v>
      </c>
      <c r="E1141" s="149">
        <v>5.31</v>
      </c>
      <c r="F1141" s="149">
        <v>2.88</v>
      </c>
      <c r="G1141" s="149">
        <v>0</v>
      </c>
      <c r="H1141" s="149">
        <v>2.73</v>
      </c>
      <c r="I1141" s="150">
        <v>10.92</v>
      </c>
    </row>
    <row r="1142" spans="1:9" ht="15.6" x14ac:dyDescent="0.25">
      <c r="A1142" s="145"/>
      <c r="B1142" s="146">
        <v>4188077</v>
      </c>
      <c r="C1142" s="147"/>
      <c r="D1142" s="148" t="s">
        <v>790</v>
      </c>
      <c r="E1142" s="149">
        <v>5.31</v>
      </c>
      <c r="F1142" s="149">
        <v>2.88</v>
      </c>
      <c r="G1142" s="149">
        <v>18.260000000000002</v>
      </c>
      <c r="H1142" s="149">
        <v>2.73</v>
      </c>
      <c r="I1142" s="150">
        <v>29.180000000000003</v>
      </c>
    </row>
    <row r="1143" spans="1:9" ht="15.6" x14ac:dyDescent="0.25">
      <c r="A1143" s="145"/>
      <c r="B1143" s="146">
        <v>4201718</v>
      </c>
      <c r="C1143" s="147"/>
      <c r="D1143" s="148" t="s">
        <v>821</v>
      </c>
      <c r="E1143" s="149">
        <v>5.31</v>
      </c>
      <c r="F1143" s="149">
        <v>2.88</v>
      </c>
      <c r="G1143" s="149">
        <v>0</v>
      </c>
      <c r="H1143" s="149">
        <v>2.73</v>
      </c>
      <c r="I1143" s="150">
        <v>10.92</v>
      </c>
    </row>
    <row r="1144" spans="1:9" ht="15.6" x14ac:dyDescent="0.25">
      <c r="A1144" s="145"/>
      <c r="B1144" s="146">
        <v>4205682</v>
      </c>
      <c r="C1144" s="147"/>
      <c r="D1144" s="148" t="s">
        <v>821</v>
      </c>
      <c r="E1144" s="149">
        <v>5.31</v>
      </c>
      <c r="F1144" s="149">
        <v>2.88</v>
      </c>
      <c r="G1144" s="149">
        <v>0</v>
      </c>
      <c r="H1144" s="149">
        <v>2.73</v>
      </c>
      <c r="I1144" s="150">
        <v>10.92</v>
      </c>
    </row>
    <row r="1145" spans="1:9" ht="15.6" x14ac:dyDescent="0.25">
      <c r="A1145" s="145"/>
      <c r="B1145" s="146">
        <v>4207218</v>
      </c>
      <c r="C1145" s="147"/>
      <c r="D1145" s="148" t="s">
        <v>865</v>
      </c>
      <c r="E1145" s="149">
        <v>5.31</v>
      </c>
      <c r="F1145" s="149">
        <v>2.88</v>
      </c>
      <c r="G1145" s="149">
        <v>0</v>
      </c>
      <c r="H1145" s="149">
        <v>2.73</v>
      </c>
      <c r="I1145" s="150">
        <v>10.92</v>
      </c>
    </row>
    <row r="1146" spans="1:9" ht="15.6" x14ac:dyDescent="0.25">
      <c r="A1146" s="145"/>
      <c r="B1146" s="146">
        <v>4220055</v>
      </c>
      <c r="C1146" s="147"/>
      <c r="D1146" s="148" t="s">
        <v>886</v>
      </c>
      <c r="E1146" s="149">
        <v>5.31</v>
      </c>
      <c r="F1146" s="149">
        <v>2.88</v>
      </c>
      <c r="G1146" s="149">
        <v>0</v>
      </c>
      <c r="H1146" s="149">
        <v>2.73</v>
      </c>
      <c r="I1146" s="150">
        <v>10.92</v>
      </c>
    </row>
    <row r="1147" spans="1:9" ht="15.6" x14ac:dyDescent="0.25">
      <c r="A1147" s="145"/>
      <c r="B1147" s="146">
        <v>4221212</v>
      </c>
      <c r="C1147" s="147"/>
      <c r="D1147" s="148" t="s">
        <v>872</v>
      </c>
      <c r="E1147" s="149">
        <v>5.31</v>
      </c>
      <c r="F1147" s="149">
        <v>2.88</v>
      </c>
      <c r="G1147" s="149">
        <v>0</v>
      </c>
      <c r="H1147" s="149">
        <v>2.73</v>
      </c>
      <c r="I1147" s="150">
        <v>10.92</v>
      </c>
    </row>
    <row r="1148" spans="1:9" ht="15.6" x14ac:dyDescent="0.25">
      <c r="A1148" s="145"/>
      <c r="B1148" s="146">
        <v>4222863</v>
      </c>
      <c r="C1148" s="147"/>
      <c r="D1148" s="148" t="s">
        <v>878</v>
      </c>
      <c r="E1148" s="149">
        <v>5.31</v>
      </c>
      <c r="F1148" s="149">
        <v>2.88</v>
      </c>
      <c r="G1148" s="149">
        <v>0</v>
      </c>
      <c r="H1148" s="149">
        <v>2.73</v>
      </c>
      <c r="I1148" s="150">
        <v>10.92</v>
      </c>
    </row>
    <row r="1149" spans="1:9" ht="15.6" x14ac:dyDescent="0.25">
      <c r="A1149" s="145"/>
      <c r="B1149" s="146">
        <v>4222965</v>
      </c>
      <c r="C1149" s="147"/>
      <c r="D1149" s="148" t="s">
        <v>901</v>
      </c>
      <c r="E1149" s="149">
        <v>5.31</v>
      </c>
      <c r="F1149" s="149">
        <v>2.88</v>
      </c>
      <c r="G1149" s="149">
        <v>0</v>
      </c>
      <c r="H1149" s="149">
        <v>0</v>
      </c>
      <c r="I1149" s="150">
        <v>8.19</v>
      </c>
    </row>
    <row r="1150" spans="1:9" ht="15.6" x14ac:dyDescent="0.25">
      <c r="A1150" s="145"/>
      <c r="B1150" s="146">
        <v>4237362</v>
      </c>
      <c r="C1150" s="147"/>
      <c r="D1150" s="148" t="s">
        <v>793</v>
      </c>
      <c r="E1150" s="149">
        <v>0</v>
      </c>
      <c r="F1150" s="149">
        <v>0</v>
      </c>
      <c r="G1150" s="149">
        <v>0</v>
      </c>
      <c r="H1150" s="149">
        <v>0</v>
      </c>
      <c r="I1150" s="150">
        <v>0</v>
      </c>
    </row>
    <row r="1151" spans="1:9" ht="15.6" x14ac:dyDescent="0.25">
      <c r="A1151" s="145"/>
      <c r="B1151" s="146">
        <v>4251932</v>
      </c>
      <c r="C1151" s="147"/>
      <c r="D1151" s="148" t="s">
        <v>868</v>
      </c>
      <c r="E1151" s="149">
        <v>5.31</v>
      </c>
      <c r="F1151" s="149">
        <v>2.88</v>
      </c>
      <c r="G1151" s="149">
        <v>0</v>
      </c>
      <c r="H1151" s="149">
        <v>2.73</v>
      </c>
      <c r="I1151" s="150">
        <v>10.92</v>
      </c>
    </row>
    <row r="1152" spans="1:9" ht="15.6" x14ac:dyDescent="0.25">
      <c r="A1152" s="145"/>
      <c r="B1152" s="146">
        <v>4255250</v>
      </c>
      <c r="C1152" s="147"/>
      <c r="D1152" s="148" t="s">
        <v>918</v>
      </c>
      <c r="E1152" s="149">
        <v>0</v>
      </c>
      <c r="F1152" s="149">
        <v>0</v>
      </c>
      <c r="G1152" s="149">
        <v>0</v>
      </c>
      <c r="H1152" s="149">
        <v>0</v>
      </c>
      <c r="I1152" s="150">
        <v>0</v>
      </c>
    </row>
    <row r="1153" spans="1:9" ht="15.6" x14ac:dyDescent="0.25">
      <c r="A1153" s="145"/>
      <c r="B1153" s="146">
        <v>4259866</v>
      </c>
      <c r="C1153" s="147"/>
      <c r="D1153" s="148" t="s">
        <v>907</v>
      </c>
      <c r="E1153" s="149">
        <v>0</v>
      </c>
      <c r="F1153" s="149">
        <v>0</v>
      </c>
      <c r="G1153" s="149">
        <v>0</v>
      </c>
      <c r="H1153" s="149">
        <v>0</v>
      </c>
      <c r="I1153" s="150">
        <v>0</v>
      </c>
    </row>
    <row r="1154" spans="1:9" ht="15.6" x14ac:dyDescent="0.25">
      <c r="A1154" s="145"/>
      <c r="B1154" s="146">
        <v>4263341</v>
      </c>
      <c r="C1154" s="147"/>
      <c r="D1154" s="148" t="s">
        <v>851</v>
      </c>
      <c r="E1154" s="149">
        <v>5.31</v>
      </c>
      <c r="F1154" s="149">
        <v>2.88</v>
      </c>
      <c r="G1154" s="149">
        <v>22.66</v>
      </c>
      <c r="H1154" s="149">
        <v>2.73</v>
      </c>
      <c r="I1154" s="150">
        <v>33.58</v>
      </c>
    </row>
    <row r="1155" spans="1:9" ht="15.6" x14ac:dyDescent="0.25">
      <c r="A1155" s="145"/>
      <c r="B1155" s="146">
        <v>4268775</v>
      </c>
      <c r="C1155" s="147"/>
      <c r="D1155" s="148" t="s">
        <v>838</v>
      </c>
      <c r="E1155" s="149">
        <v>5.31</v>
      </c>
      <c r="F1155" s="149">
        <v>2.88</v>
      </c>
      <c r="G1155" s="149">
        <v>0</v>
      </c>
      <c r="H1155" s="149">
        <v>2.73</v>
      </c>
      <c r="I1155" s="150">
        <v>10.92</v>
      </c>
    </row>
    <row r="1156" spans="1:9" ht="15.6" x14ac:dyDescent="0.25">
      <c r="A1156" s="145"/>
      <c r="B1156" s="146">
        <v>4269250</v>
      </c>
      <c r="C1156" s="147"/>
      <c r="D1156" s="148" t="s">
        <v>820</v>
      </c>
      <c r="E1156" s="149">
        <v>5.31</v>
      </c>
      <c r="F1156" s="149">
        <v>2.88</v>
      </c>
      <c r="G1156" s="149">
        <v>0</v>
      </c>
      <c r="H1156" s="149">
        <v>2.73</v>
      </c>
      <c r="I1156" s="150">
        <v>10.92</v>
      </c>
    </row>
    <row r="1157" spans="1:9" ht="15.6" x14ac:dyDescent="0.25">
      <c r="A1157" s="145"/>
      <c r="B1157" s="146">
        <v>4271677</v>
      </c>
      <c r="C1157" s="147"/>
      <c r="D1157" s="148" t="s">
        <v>865</v>
      </c>
      <c r="E1157" s="149">
        <v>5.31</v>
      </c>
      <c r="F1157" s="149">
        <v>2.88</v>
      </c>
      <c r="G1157" s="149">
        <v>0</v>
      </c>
      <c r="H1157" s="149">
        <v>2.73</v>
      </c>
      <c r="I1157" s="150">
        <v>10.92</v>
      </c>
    </row>
    <row r="1158" spans="1:9" ht="15.6" x14ac:dyDescent="0.25">
      <c r="A1158" s="145"/>
      <c r="B1158" s="146">
        <v>4271806</v>
      </c>
      <c r="C1158" s="147"/>
      <c r="D1158" s="148" t="s">
        <v>932</v>
      </c>
      <c r="E1158" s="149">
        <v>0</v>
      </c>
      <c r="F1158" s="149">
        <v>0</v>
      </c>
      <c r="G1158" s="149">
        <v>0</v>
      </c>
      <c r="H1158" s="149">
        <v>2.73</v>
      </c>
      <c r="I1158" s="150">
        <v>2.73</v>
      </c>
    </row>
    <row r="1159" spans="1:9" ht="15.6" x14ac:dyDescent="0.25">
      <c r="A1159" s="145"/>
      <c r="B1159" s="146">
        <v>4271902</v>
      </c>
      <c r="C1159" s="147"/>
      <c r="D1159" s="148" t="s">
        <v>873</v>
      </c>
      <c r="E1159" s="149">
        <v>5.31</v>
      </c>
      <c r="F1159" s="149">
        <v>2.88</v>
      </c>
      <c r="G1159" s="149">
        <v>0</v>
      </c>
      <c r="H1159" s="149">
        <v>2.73</v>
      </c>
      <c r="I1159" s="150">
        <v>10.92</v>
      </c>
    </row>
    <row r="1160" spans="1:9" ht="15.6" x14ac:dyDescent="0.25">
      <c r="A1160" s="145"/>
      <c r="B1160" s="146">
        <v>4273388</v>
      </c>
      <c r="C1160" s="147"/>
      <c r="D1160" s="148" t="s">
        <v>851</v>
      </c>
      <c r="E1160" s="149">
        <v>5.31</v>
      </c>
      <c r="F1160" s="149">
        <v>2.88</v>
      </c>
      <c r="G1160" s="149">
        <v>22.66</v>
      </c>
      <c r="H1160" s="149">
        <v>2.73</v>
      </c>
      <c r="I1160" s="150">
        <v>33.58</v>
      </c>
    </row>
    <row r="1161" spans="1:9" ht="15.6" x14ac:dyDescent="0.25">
      <c r="A1161" s="145"/>
      <c r="B1161" s="146">
        <v>4285055</v>
      </c>
      <c r="C1161" s="147"/>
      <c r="D1161" s="148" t="s">
        <v>826</v>
      </c>
      <c r="E1161" s="149">
        <v>5.31</v>
      </c>
      <c r="F1161" s="149">
        <v>2.88</v>
      </c>
      <c r="G1161" s="149">
        <v>0</v>
      </c>
      <c r="H1161" s="149">
        <v>2.73</v>
      </c>
      <c r="I1161" s="150">
        <v>10.92</v>
      </c>
    </row>
    <row r="1162" spans="1:9" ht="15.6" x14ac:dyDescent="0.25">
      <c r="A1162" s="145"/>
      <c r="B1162" s="146">
        <v>4288129</v>
      </c>
      <c r="C1162" s="147"/>
      <c r="D1162" s="148" t="s">
        <v>883</v>
      </c>
      <c r="E1162" s="149">
        <v>0</v>
      </c>
      <c r="F1162" s="149">
        <v>0</v>
      </c>
      <c r="G1162" s="149">
        <v>0</v>
      </c>
      <c r="H1162" s="149">
        <v>0</v>
      </c>
      <c r="I1162" s="150">
        <v>0</v>
      </c>
    </row>
    <row r="1163" spans="1:9" ht="15.6" x14ac:dyDescent="0.25">
      <c r="A1163" s="145"/>
      <c r="B1163" s="146">
        <v>4289476</v>
      </c>
      <c r="C1163" s="147"/>
      <c r="D1163" s="148" t="s">
        <v>862</v>
      </c>
      <c r="E1163" s="149">
        <v>5.31</v>
      </c>
      <c r="F1163" s="149">
        <v>2.88</v>
      </c>
      <c r="G1163" s="149">
        <v>0</v>
      </c>
      <c r="H1163" s="149">
        <v>2.73</v>
      </c>
      <c r="I1163" s="150">
        <v>10.92</v>
      </c>
    </row>
    <row r="1164" spans="1:9" ht="15.6" x14ac:dyDescent="0.25">
      <c r="A1164" s="145"/>
      <c r="B1164" s="146">
        <v>4292932</v>
      </c>
      <c r="C1164" s="147"/>
      <c r="D1164" s="148" t="s">
        <v>726</v>
      </c>
      <c r="E1164" s="149">
        <v>0</v>
      </c>
      <c r="F1164" s="149">
        <v>0</v>
      </c>
      <c r="G1164" s="149">
        <v>0</v>
      </c>
      <c r="H1164" s="149">
        <v>0</v>
      </c>
      <c r="I1164" s="150">
        <v>0</v>
      </c>
    </row>
    <row r="1165" spans="1:9" ht="15.6" x14ac:dyDescent="0.25">
      <c r="A1165" s="145"/>
      <c r="B1165" s="146">
        <v>4303728</v>
      </c>
      <c r="C1165" s="147"/>
      <c r="D1165" s="148" t="s">
        <v>865</v>
      </c>
      <c r="E1165" s="149">
        <v>5.31</v>
      </c>
      <c r="F1165" s="149">
        <v>2.88</v>
      </c>
      <c r="G1165" s="149">
        <v>0</v>
      </c>
      <c r="H1165" s="149">
        <v>2.73</v>
      </c>
      <c r="I1165" s="150">
        <v>10.92</v>
      </c>
    </row>
    <row r="1166" spans="1:9" ht="15.6" x14ac:dyDescent="0.25">
      <c r="A1166" s="145"/>
      <c r="B1166" s="146">
        <v>4306997</v>
      </c>
      <c r="C1166" s="147"/>
      <c r="D1166" s="148" t="s">
        <v>967</v>
      </c>
      <c r="E1166" s="149">
        <v>5.31</v>
      </c>
      <c r="F1166" s="149">
        <v>2.88</v>
      </c>
      <c r="G1166" s="149">
        <v>0</v>
      </c>
      <c r="H1166" s="149">
        <v>2.73</v>
      </c>
      <c r="I1166" s="150">
        <v>10.92</v>
      </c>
    </row>
    <row r="1167" spans="1:9" ht="15.6" x14ac:dyDescent="0.25">
      <c r="A1167" s="145"/>
      <c r="B1167" s="146">
        <v>4311874</v>
      </c>
      <c r="C1167" s="147"/>
      <c r="D1167" s="148" t="s">
        <v>802</v>
      </c>
      <c r="E1167" s="149">
        <v>0</v>
      </c>
      <c r="F1167" s="149">
        <v>0</v>
      </c>
      <c r="G1167" s="149">
        <v>0</v>
      </c>
      <c r="H1167" s="149">
        <v>0</v>
      </c>
      <c r="I1167" s="150">
        <v>0</v>
      </c>
    </row>
    <row r="1168" spans="1:9" ht="15.6" x14ac:dyDescent="0.25">
      <c r="A1168" s="145"/>
      <c r="B1168" s="146">
        <v>4318650</v>
      </c>
      <c r="C1168" s="147"/>
      <c r="D1168" s="148" t="s">
        <v>868</v>
      </c>
      <c r="E1168" s="149">
        <v>5.31</v>
      </c>
      <c r="F1168" s="149">
        <v>2.88</v>
      </c>
      <c r="G1168" s="149">
        <v>0</v>
      </c>
      <c r="H1168" s="149">
        <v>2.73</v>
      </c>
      <c r="I1168" s="150">
        <v>10.92</v>
      </c>
    </row>
    <row r="1169" spans="1:9" ht="15.6" x14ac:dyDescent="0.25">
      <c r="A1169" s="145"/>
      <c r="B1169" s="146">
        <v>4320018</v>
      </c>
      <c r="C1169" s="147"/>
      <c r="D1169" s="148" t="s">
        <v>887</v>
      </c>
      <c r="E1169" s="149">
        <v>0</v>
      </c>
      <c r="F1169" s="149">
        <v>0</v>
      </c>
      <c r="G1169" s="149">
        <v>0</v>
      </c>
      <c r="H1169" s="149">
        <v>0</v>
      </c>
      <c r="I1169" s="150">
        <v>0</v>
      </c>
    </row>
    <row r="1170" spans="1:9" ht="15.6" x14ac:dyDescent="0.25">
      <c r="A1170" s="145"/>
      <c r="B1170" s="146">
        <v>4320733</v>
      </c>
      <c r="C1170" s="147"/>
      <c r="D1170" s="148" t="s">
        <v>892</v>
      </c>
      <c r="E1170" s="149">
        <v>5.31</v>
      </c>
      <c r="F1170" s="149">
        <v>2.88</v>
      </c>
      <c r="G1170" s="149">
        <v>0</v>
      </c>
      <c r="H1170" s="149">
        <v>2.73</v>
      </c>
      <c r="I1170" s="150">
        <v>10.92</v>
      </c>
    </row>
    <row r="1171" spans="1:9" ht="15.6" x14ac:dyDescent="0.25">
      <c r="A1171" s="145"/>
      <c r="B1171" s="146">
        <v>4326652</v>
      </c>
      <c r="C1171" s="147"/>
      <c r="D1171" s="148" t="s">
        <v>826</v>
      </c>
      <c r="E1171" s="149">
        <v>5.31</v>
      </c>
      <c r="F1171" s="149">
        <v>2.88</v>
      </c>
      <c r="G1171" s="149">
        <v>0</v>
      </c>
      <c r="H1171" s="149">
        <v>2.73</v>
      </c>
      <c r="I1171" s="150">
        <v>10.92</v>
      </c>
    </row>
    <row r="1172" spans="1:9" ht="15.6" x14ac:dyDescent="0.25">
      <c r="A1172" s="145"/>
      <c r="B1172" s="146">
        <v>4328219</v>
      </c>
      <c r="C1172" s="147"/>
      <c r="D1172" s="148" t="s">
        <v>782</v>
      </c>
      <c r="E1172" s="149">
        <v>5.31</v>
      </c>
      <c r="F1172" s="149">
        <v>2.88</v>
      </c>
      <c r="G1172" s="149">
        <v>0</v>
      </c>
      <c r="H1172" s="149">
        <v>2.73</v>
      </c>
      <c r="I1172" s="150">
        <v>10.92</v>
      </c>
    </row>
    <row r="1173" spans="1:9" ht="15.6" x14ac:dyDescent="0.25">
      <c r="A1173" s="145"/>
      <c r="B1173" s="146">
        <v>4332751</v>
      </c>
      <c r="C1173" s="147"/>
      <c r="D1173" s="148" t="s">
        <v>776</v>
      </c>
      <c r="E1173" s="149">
        <v>5.31</v>
      </c>
      <c r="F1173" s="149">
        <v>2.88</v>
      </c>
      <c r="G1173" s="149">
        <v>0</v>
      </c>
      <c r="H1173" s="149">
        <v>2.73</v>
      </c>
      <c r="I1173" s="150">
        <v>10.92</v>
      </c>
    </row>
    <row r="1174" spans="1:9" ht="15.6" x14ac:dyDescent="0.25">
      <c r="A1174" s="145"/>
      <c r="B1174" s="146">
        <v>4340255</v>
      </c>
      <c r="C1174" s="147"/>
      <c r="D1174" s="148" t="s">
        <v>846</v>
      </c>
      <c r="E1174" s="149">
        <v>0</v>
      </c>
      <c r="F1174" s="149">
        <v>0</v>
      </c>
      <c r="G1174" s="149">
        <v>0</v>
      </c>
      <c r="H1174" s="149">
        <v>0</v>
      </c>
      <c r="I1174" s="150">
        <v>0</v>
      </c>
    </row>
    <row r="1175" spans="1:9" ht="15.6" x14ac:dyDescent="0.25">
      <c r="A1175" s="145"/>
      <c r="B1175" s="146">
        <v>4341150</v>
      </c>
      <c r="C1175" s="147"/>
      <c r="D1175" s="148" t="s">
        <v>787</v>
      </c>
      <c r="E1175" s="149">
        <v>5.31</v>
      </c>
      <c r="F1175" s="149">
        <v>2.88</v>
      </c>
      <c r="G1175" s="149">
        <v>24.03</v>
      </c>
      <c r="H1175" s="149">
        <v>2.73</v>
      </c>
      <c r="I1175" s="150">
        <v>34.949999999999996</v>
      </c>
    </row>
    <row r="1176" spans="1:9" ht="15.6" x14ac:dyDescent="0.25">
      <c r="A1176" s="145"/>
      <c r="B1176" s="146">
        <v>4351920</v>
      </c>
      <c r="C1176" s="147"/>
      <c r="D1176" s="148" t="s">
        <v>868</v>
      </c>
      <c r="E1176" s="149">
        <v>5.31</v>
      </c>
      <c r="F1176" s="149">
        <v>2.88</v>
      </c>
      <c r="G1176" s="149">
        <v>0</v>
      </c>
      <c r="H1176" s="149">
        <v>2.73</v>
      </c>
      <c r="I1176" s="150">
        <v>10.92</v>
      </c>
    </row>
    <row r="1177" spans="1:9" ht="15.6" x14ac:dyDescent="0.25">
      <c r="A1177" s="145"/>
      <c r="B1177" s="146">
        <v>4355974</v>
      </c>
      <c r="C1177" s="147"/>
      <c r="D1177" s="148" t="s">
        <v>928</v>
      </c>
      <c r="E1177" s="149">
        <v>0</v>
      </c>
      <c r="F1177" s="149">
        <v>0</v>
      </c>
      <c r="G1177" s="149">
        <v>0</v>
      </c>
      <c r="H1177" s="149">
        <v>0</v>
      </c>
      <c r="I1177" s="150">
        <v>0</v>
      </c>
    </row>
    <row r="1178" spans="1:9" ht="15.6" x14ac:dyDescent="0.25">
      <c r="A1178" s="145"/>
      <c r="B1178" s="146">
        <v>4356333</v>
      </c>
      <c r="C1178" s="147"/>
      <c r="D1178" s="148" t="s">
        <v>729</v>
      </c>
      <c r="E1178" s="149">
        <v>0</v>
      </c>
      <c r="F1178" s="149">
        <v>0</v>
      </c>
      <c r="G1178" s="149">
        <v>0</v>
      </c>
      <c r="H1178" s="149">
        <v>0</v>
      </c>
      <c r="I1178" s="150">
        <v>0</v>
      </c>
    </row>
    <row r="1179" spans="1:9" ht="15.6" x14ac:dyDescent="0.25">
      <c r="A1179" s="145"/>
      <c r="B1179" s="146">
        <v>4358146</v>
      </c>
      <c r="C1179" s="147"/>
      <c r="D1179" s="148" t="s">
        <v>826</v>
      </c>
      <c r="E1179" s="149">
        <v>5.31</v>
      </c>
      <c r="F1179" s="149">
        <v>2.88</v>
      </c>
      <c r="G1179" s="149">
        <v>0</v>
      </c>
      <c r="H1179" s="149">
        <v>2.73</v>
      </c>
      <c r="I1179" s="150">
        <v>10.92</v>
      </c>
    </row>
    <row r="1180" spans="1:9" ht="15.6" x14ac:dyDescent="0.25">
      <c r="A1180" s="145"/>
      <c r="B1180" s="146">
        <v>4360374</v>
      </c>
      <c r="C1180" s="147"/>
      <c r="D1180" s="148" t="s">
        <v>925</v>
      </c>
      <c r="E1180" s="149">
        <v>5.31</v>
      </c>
      <c r="F1180" s="149">
        <v>2.88</v>
      </c>
      <c r="G1180" s="149">
        <v>0</v>
      </c>
      <c r="H1180" s="149">
        <v>0</v>
      </c>
      <c r="I1180" s="150">
        <v>8.19</v>
      </c>
    </row>
    <row r="1181" spans="1:9" ht="15.6" x14ac:dyDescent="0.25">
      <c r="A1181" s="145"/>
      <c r="B1181" s="146">
        <v>4360596</v>
      </c>
      <c r="C1181" s="147"/>
      <c r="D1181" s="148" t="s">
        <v>849</v>
      </c>
      <c r="E1181" s="149">
        <v>0</v>
      </c>
      <c r="F1181" s="149">
        <v>0</v>
      </c>
      <c r="G1181" s="149">
        <v>0</v>
      </c>
      <c r="H1181" s="149">
        <v>2.73</v>
      </c>
      <c r="I1181" s="150">
        <v>2.73</v>
      </c>
    </row>
    <row r="1182" spans="1:9" ht="15.6" x14ac:dyDescent="0.25">
      <c r="A1182" s="145"/>
      <c r="B1182" s="146">
        <v>4364826</v>
      </c>
      <c r="C1182" s="147"/>
      <c r="D1182" s="148" t="s">
        <v>786</v>
      </c>
      <c r="E1182" s="149">
        <v>0</v>
      </c>
      <c r="F1182" s="149">
        <v>0</v>
      </c>
      <c r="G1182" s="149">
        <v>0</v>
      </c>
      <c r="H1182" s="149">
        <v>0</v>
      </c>
      <c r="I1182" s="150">
        <v>0</v>
      </c>
    </row>
    <row r="1183" spans="1:9" ht="15.6" x14ac:dyDescent="0.25">
      <c r="A1183" s="145"/>
      <c r="B1183" s="146">
        <v>4367068</v>
      </c>
      <c r="C1183" s="147"/>
      <c r="D1183" s="148" t="s">
        <v>875</v>
      </c>
      <c r="E1183" s="149">
        <v>5.31</v>
      </c>
      <c r="F1183" s="149">
        <v>2.88</v>
      </c>
      <c r="G1183" s="149">
        <v>0</v>
      </c>
      <c r="H1183" s="149">
        <v>2.73</v>
      </c>
      <c r="I1183" s="150">
        <v>10.92</v>
      </c>
    </row>
    <row r="1184" spans="1:9" ht="15.6" x14ac:dyDescent="0.25">
      <c r="A1184" s="145"/>
      <c r="B1184" s="146">
        <v>4368145</v>
      </c>
      <c r="C1184" s="147"/>
      <c r="D1184" s="148" t="s">
        <v>811</v>
      </c>
      <c r="E1184" s="149">
        <v>0</v>
      </c>
      <c r="F1184" s="149">
        <v>0</v>
      </c>
      <c r="G1184" s="149">
        <v>0</v>
      </c>
      <c r="H1184" s="149">
        <v>0</v>
      </c>
      <c r="I1184" s="150">
        <v>0</v>
      </c>
    </row>
    <row r="1185" spans="1:9" ht="15.6" x14ac:dyDescent="0.25">
      <c r="A1185" s="145"/>
      <c r="B1185" s="146">
        <v>4369913</v>
      </c>
      <c r="C1185" s="147"/>
      <c r="D1185" s="148" t="s">
        <v>851</v>
      </c>
      <c r="E1185" s="149">
        <v>5.31</v>
      </c>
      <c r="F1185" s="149">
        <v>2.88</v>
      </c>
      <c r="G1185" s="149">
        <v>22.66</v>
      </c>
      <c r="H1185" s="149">
        <v>2.73</v>
      </c>
      <c r="I1185" s="150">
        <v>33.58</v>
      </c>
    </row>
    <row r="1186" spans="1:9" ht="15.6" x14ac:dyDescent="0.25">
      <c r="A1186" s="145"/>
      <c r="B1186" s="146">
        <v>4373174</v>
      </c>
      <c r="C1186" s="147"/>
      <c r="D1186" s="148" t="s">
        <v>751</v>
      </c>
      <c r="E1186" s="149">
        <v>0</v>
      </c>
      <c r="F1186" s="149">
        <v>0</v>
      </c>
      <c r="G1186" s="149">
        <v>0</v>
      </c>
      <c r="H1186" s="149">
        <v>0</v>
      </c>
      <c r="I1186" s="150">
        <v>0</v>
      </c>
    </row>
    <row r="1187" spans="1:9" ht="15.6" x14ac:dyDescent="0.25">
      <c r="A1187" s="145"/>
      <c r="B1187" s="146">
        <v>4380286</v>
      </c>
      <c r="C1187" s="147"/>
      <c r="D1187" s="148" t="s">
        <v>868</v>
      </c>
      <c r="E1187" s="149">
        <v>5.31</v>
      </c>
      <c r="F1187" s="149">
        <v>2.88</v>
      </c>
      <c r="G1187" s="149">
        <v>0</v>
      </c>
      <c r="H1187" s="149">
        <v>2.73</v>
      </c>
      <c r="I1187" s="150">
        <v>10.92</v>
      </c>
    </row>
    <row r="1188" spans="1:9" ht="15.6" x14ac:dyDescent="0.25">
      <c r="A1188" s="145"/>
      <c r="B1188" s="146">
        <v>4385191</v>
      </c>
      <c r="C1188" s="147"/>
      <c r="D1188" s="148" t="s">
        <v>838</v>
      </c>
      <c r="E1188" s="149">
        <v>5.31</v>
      </c>
      <c r="F1188" s="149">
        <v>2.88</v>
      </c>
      <c r="G1188" s="149">
        <v>0</v>
      </c>
      <c r="H1188" s="149">
        <v>2.73</v>
      </c>
      <c r="I1188" s="150">
        <v>10.92</v>
      </c>
    </row>
    <row r="1189" spans="1:9" ht="15.6" x14ac:dyDescent="0.25">
      <c r="A1189" s="145"/>
      <c r="B1189" s="146">
        <v>4388005</v>
      </c>
      <c r="C1189" s="147"/>
      <c r="D1189" s="148" t="s">
        <v>857</v>
      </c>
      <c r="E1189" s="149">
        <v>0</v>
      </c>
      <c r="F1189" s="149">
        <v>0</v>
      </c>
      <c r="G1189" s="149">
        <v>0</v>
      </c>
      <c r="H1189" s="149">
        <v>0</v>
      </c>
      <c r="I1189" s="150">
        <v>0</v>
      </c>
    </row>
    <row r="1190" spans="1:9" ht="15.6" x14ac:dyDescent="0.25">
      <c r="A1190" s="145"/>
      <c r="B1190" s="146">
        <v>4388826</v>
      </c>
      <c r="C1190" s="147"/>
      <c r="D1190" s="148" t="s">
        <v>892</v>
      </c>
      <c r="E1190" s="149">
        <v>5.31</v>
      </c>
      <c r="F1190" s="149">
        <v>2.88</v>
      </c>
      <c r="G1190" s="149">
        <v>0</v>
      </c>
      <c r="H1190" s="149">
        <v>2.73</v>
      </c>
      <c r="I1190" s="150">
        <v>10.92</v>
      </c>
    </row>
    <row r="1191" spans="1:9" ht="15.6" x14ac:dyDescent="0.25">
      <c r="A1191" s="145"/>
      <c r="B1191" s="146">
        <v>4394336</v>
      </c>
      <c r="C1191" s="147"/>
      <c r="D1191" s="148" t="s">
        <v>863</v>
      </c>
      <c r="E1191" s="149">
        <v>5.31</v>
      </c>
      <c r="F1191" s="149">
        <v>2.88</v>
      </c>
      <c r="G1191" s="149">
        <v>0</v>
      </c>
      <c r="H1191" s="149">
        <v>2.73</v>
      </c>
      <c r="I1191" s="150">
        <v>10.92</v>
      </c>
    </row>
    <row r="1192" spans="1:9" ht="15.6" x14ac:dyDescent="0.25">
      <c r="A1192" s="145"/>
      <c r="B1192" s="146">
        <v>4394343</v>
      </c>
      <c r="C1192" s="147"/>
      <c r="D1192" s="148" t="s">
        <v>781</v>
      </c>
      <c r="E1192" s="149">
        <v>5.31</v>
      </c>
      <c r="F1192" s="149">
        <v>2.88</v>
      </c>
      <c r="G1192" s="149">
        <v>42.13</v>
      </c>
      <c r="H1192" s="149">
        <v>2.73</v>
      </c>
      <c r="I1192" s="150">
        <v>53.05</v>
      </c>
    </row>
    <row r="1193" spans="1:9" ht="15.6" x14ac:dyDescent="0.25">
      <c r="A1193" s="145"/>
      <c r="B1193" s="146">
        <v>4395438</v>
      </c>
      <c r="C1193" s="147"/>
      <c r="D1193" s="148" t="s">
        <v>789</v>
      </c>
      <c r="E1193" s="149">
        <v>5.31</v>
      </c>
      <c r="F1193" s="149">
        <v>2.88</v>
      </c>
      <c r="G1193" s="149">
        <v>18.260000000000002</v>
      </c>
      <c r="H1193" s="149">
        <v>2.73</v>
      </c>
      <c r="I1193" s="150">
        <v>29.180000000000003</v>
      </c>
    </row>
    <row r="1194" spans="1:9" ht="15.6" x14ac:dyDescent="0.25">
      <c r="A1194" s="145"/>
      <c r="B1194" s="146">
        <v>4400230</v>
      </c>
      <c r="C1194" s="147"/>
      <c r="D1194" s="148" t="s">
        <v>911</v>
      </c>
      <c r="E1194" s="149">
        <v>5.31</v>
      </c>
      <c r="F1194" s="149">
        <v>0</v>
      </c>
      <c r="G1194" s="149">
        <v>0</v>
      </c>
      <c r="H1194" s="149">
        <v>2.73</v>
      </c>
      <c r="I1194" s="150">
        <v>8.0399999999999991</v>
      </c>
    </row>
    <row r="1195" spans="1:9" ht="15.6" x14ac:dyDescent="0.25">
      <c r="A1195" s="145"/>
      <c r="B1195" s="146">
        <v>4402560</v>
      </c>
      <c r="C1195" s="147"/>
      <c r="D1195" s="148" t="s">
        <v>851</v>
      </c>
      <c r="E1195" s="149">
        <v>5.31</v>
      </c>
      <c r="F1195" s="149">
        <v>2.88</v>
      </c>
      <c r="G1195" s="149">
        <v>22.66</v>
      </c>
      <c r="H1195" s="149">
        <v>2.73</v>
      </c>
      <c r="I1195" s="150">
        <v>33.58</v>
      </c>
    </row>
    <row r="1196" spans="1:9" ht="15.6" x14ac:dyDescent="0.25">
      <c r="A1196" s="145"/>
      <c r="B1196" s="146">
        <v>4406318</v>
      </c>
      <c r="C1196" s="147"/>
      <c r="D1196" s="148" t="s">
        <v>853</v>
      </c>
      <c r="E1196" s="149">
        <v>5.31</v>
      </c>
      <c r="F1196" s="149">
        <v>2.88</v>
      </c>
      <c r="G1196" s="149">
        <v>0</v>
      </c>
      <c r="H1196" s="149">
        <v>2.73</v>
      </c>
      <c r="I1196" s="150">
        <v>10.92</v>
      </c>
    </row>
    <row r="1197" spans="1:9" ht="15.6" x14ac:dyDescent="0.25">
      <c r="A1197" s="145"/>
      <c r="B1197" s="146">
        <v>4412211</v>
      </c>
      <c r="C1197" s="147"/>
      <c r="D1197" s="148" t="s">
        <v>851</v>
      </c>
      <c r="E1197" s="149">
        <v>5.31</v>
      </c>
      <c r="F1197" s="149">
        <v>2.88</v>
      </c>
      <c r="G1197" s="149">
        <v>22.66</v>
      </c>
      <c r="H1197" s="149">
        <v>2.73</v>
      </c>
      <c r="I1197" s="150">
        <v>33.58</v>
      </c>
    </row>
    <row r="1198" spans="1:9" ht="15.6" x14ac:dyDescent="0.25">
      <c r="A1198" s="145"/>
      <c r="B1198" s="146">
        <v>4414050</v>
      </c>
      <c r="C1198" s="147"/>
      <c r="D1198" s="148" t="s">
        <v>835</v>
      </c>
      <c r="E1198" s="149">
        <v>5.31</v>
      </c>
      <c r="F1198" s="149">
        <v>2.88</v>
      </c>
      <c r="G1198" s="149">
        <v>0</v>
      </c>
      <c r="H1198" s="149">
        <v>2.73</v>
      </c>
      <c r="I1198" s="150">
        <v>10.92</v>
      </c>
    </row>
    <row r="1199" spans="1:9" ht="15.6" x14ac:dyDescent="0.25">
      <c r="A1199" s="145"/>
      <c r="B1199" s="146">
        <v>4417029</v>
      </c>
      <c r="C1199" s="147"/>
      <c r="D1199" s="148" t="s">
        <v>887</v>
      </c>
      <c r="E1199" s="149">
        <v>5.31</v>
      </c>
      <c r="F1199" s="149">
        <v>2.88</v>
      </c>
      <c r="G1199" s="149">
        <v>0</v>
      </c>
      <c r="H1199" s="149">
        <v>2.73</v>
      </c>
      <c r="I1199" s="150">
        <v>10.92</v>
      </c>
    </row>
    <row r="1200" spans="1:9" ht="15.6" x14ac:dyDescent="0.25">
      <c r="A1200" s="145"/>
      <c r="B1200" s="146">
        <v>4417390</v>
      </c>
      <c r="C1200" s="147"/>
      <c r="D1200" s="148" t="s">
        <v>857</v>
      </c>
      <c r="E1200" s="149">
        <v>0</v>
      </c>
      <c r="F1200" s="149">
        <v>0</v>
      </c>
      <c r="G1200" s="149">
        <v>0</v>
      </c>
      <c r="H1200" s="149">
        <v>0</v>
      </c>
      <c r="I1200" s="150">
        <v>0</v>
      </c>
    </row>
    <row r="1201" spans="1:9" ht="15.6" x14ac:dyDescent="0.25">
      <c r="A1201" s="145"/>
      <c r="B1201" s="146">
        <v>4418169</v>
      </c>
      <c r="C1201" s="147"/>
      <c r="D1201" s="148" t="s">
        <v>868</v>
      </c>
      <c r="E1201" s="149">
        <v>5.31</v>
      </c>
      <c r="F1201" s="149">
        <v>2.88</v>
      </c>
      <c r="G1201" s="149">
        <v>0</v>
      </c>
      <c r="H1201" s="149">
        <v>2.73</v>
      </c>
      <c r="I1201" s="150">
        <v>10.92</v>
      </c>
    </row>
    <row r="1202" spans="1:9" ht="15.6" x14ac:dyDescent="0.25">
      <c r="A1202" s="145"/>
      <c r="B1202" s="146">
        <v>4424039</v>
      </c>
      <c r="C1202" s="147"/>
      <c r="D1202" s="148" t="s">
        <v>912</v>
      </c>
      <c r="E1202" s="149">
        <v>5.31</v>
      </c>
      <c r="F1202" s="149">
        <v>2.88</v>
      </c>
      <c r="G1202" s="149">
        <v>0</v>
      </c>
      <c r="H1202" s="149">
        <v>2.73</v>
      </c>
      <c r="I1202" s="150">
        <v>10.92</v>
      </c>
    </row>
    <row r="1203" spans="1:9" ht="15.6" x14ac:dyDescent="0.25">
      <c r="A1203" s="145"/>
      <c r="B1203" s="146">
        <v>4428094</v>
      </c>
      <c r="C1203" s="147"/>
      <c r="D1203" s="148" t="s">
        <v>868</v>
      </c>
      <c r="E1203" s="149">
        <v>5.31</v>
      </c>
      <c r="F1203" s="149">
        <v>2.88</v>
      </c>
      <c r="G1203" s="149">
        <v>0</v>
      </c>
      <c r="H1203" s="149">
        <v>2.73</v>
      </c>
      <c r="I1203" s="150">
        <v>10.92</v>
      </c>
    </row>
    <row r="1204" spans="1:9" ht="15.6" x14ac:dyDescent="0.25">
      <c r="A1204" s="145"/>
      <c r="B1204" s="146">
        <v>4436931</v>
      </c>
      <c r="C1204" s="147"/>
      <c r="D1204" s="148" t="s">
        <v>894</v>
      </c>
      <c r="E1204" s="149">
        <v>0</v>
      </c>
      <c r="F1204" s="149">
        <v>0</v>
      </c>
      <c r="G1204" s="149">
        <v>0</v>
      </c>
      <c r="H1204" s="149">
        <v>0</v>
      </c>
      <c r="I1204" s="150">
        <v>0</v>
      </c>
    </row>
    <row r="1205" spans="1:9" ht="15.6" x14ac:dyDescent="0.25">
      <c r="A1205" s="145"/>
      <c r="B1205" s="146">
        <v>4458965</v>
      </c>
      <c r="C1205" s="147"/>
      <c r="D1205" s="148" t="s">
        <v>851</v>
      </c>
      <c r="E1205" s="149">
        <v>5.31</v>
      </c>
      <c r="F1205" s="149">
        <v>2.88</v>
      </c>
      <c r="G1205" s="149">
        <v>22.66</v>
      </c>
      <c r="H1205" s="149">
        <v>2.73</v>
      </c>
      <c r="I1205" s="150">
        <v>33.58</v>
      </c>
    </row>
    <row r="1206" spans="1:9" ht="15.6" x14ac:dyDescent="0.25">
      <c r="A1206" s="145"/>
      <c r="B1206" s="146">
        <v>4461795</v>
      </c>
      <c r="C1206" s="147"/>
      <c r="D1206" s="148" t="s">
        <v>921</v>
      </c>
      <c r="E1206" s="149">
        <v>5.31</v>
      </c>
      <c r="F1206" s="149">
        <v>2.88</v>
      </c>
      <c r="G1206" s="149">
        <v>0</v>
      </c>
      <c r="H1206" s="149">
        <v>2.73</v>
      </c>
      <c r="I1206" s="150">
        <v>10.92</v>
      </c>
    </row>
    <row r="1207" spans="1:9" ht="15.6" x14ac:dyDescent="0.25">
      <c r="A1207" s="145"/>
      <c r="B1207" s="146">
        <v>4470306</v>
      </c>
      <c r="C1207" s="147"/>
      <c r="D1207" s="148" t="s">
        <v>804</v>
      </c>
      <c r="E1207" s="149">
        <v>0</v>
      </c>
      <c r="F1207" s="149">
        <v>0</v>
      </c>
      <c r="G1207" s="149">
        <v>0</v>
      </c>
      <c r="H1207" s="149">
        <v>0</v>
      </c>
      <c r="I1207" s="150">
        <v>0</v>
      </c>
    </row>
    <row r="1208" spans="1:9" ht="15.6" x14ac:dyDescent="0.25">
      <c r="A1208" s="145"/>
      <c r="B1208" s="146">
        <v>4473447</v>
      </c>
      <c r="C1208" s="147"/>
      <c r="D1208" s="148" t="s">
        <v>851</v>
      </c>
      <c r="E1208" s="149">
        <v>5.31</v>
      </c>
      <c r="F1208" s="149">
        <v>2.88</v>
      </c>
      <c r="G1208" s="149">
        <v>22.66</v>
      </c>
      <c r="H1208" s="149">
        <v>2.73</v>
      </c>
      <c r="I1208" s="150">
        <v>33.58</v>
      </c>
    </row>
    <row r="1209" spans="1:9" ht="15.6" x14ac:dyDescent="0.25">
      <c r="A1209" s="145"/>
      <c r="B1209" s="146">
        <v>4477486</v>
      </c>
      <c r="C1209" s="147"/>
      <c r="D1209" s="148" t="s">
        <v>857</v>
      </c>
      <c r="E1209" s="149">
        <v>0</v>
      </c>
      <c r="F1209" s="149">
        <v>0</v>
      </c>
      <c r="G1209" s="149">
        <v>0</v>
      </c>
      <c r="H1209" s="149">
        <v>0</v>
      </c>
      <c r="I1209" s="150">
        <v>0</v>
      </c>
    </row>
    <row r="1210" spans="1:9" ht="15.6" x14ac:dyDescent="0.25">
      <c r="A1210" s="145"/>
      <c r="B1210" s="146">
        <v>4477577</v>
      </c>
      <c r="C1210" s="147"/>
      <c r="D1210" s="148" t="s">
        <v>895</v>
      </c>
      <c r="E1210" s="149">
        <v>5.31</v>
      </c>
      <c r="F1210" s="149">
        <v>2.88</v>
      </c>
      <c r="G1210" s="149">
        <v>0</v>
      </c>
      <c r="H1210" s="149">
        <v>2.73</v>
      </c>
      <c r="I1210" s="150">
        <v>10.92</v>
      </c>
    </row>
    <row r="1211" spans="1:9" ht="15.6" x14ac:dyDescent="0.25">
      <c r="A1211" s="145"/>
      <c r="B1211" s="146">
        <v>4478040</v>
      </c>
      <c r="C1211" s="147"/>
      <c r="D1211" s="148" t="s">
        <v>789</v>
      </c>
      <c r="E1211" s="149">
        <v>5.31</v>
      </c>
      <c r="F1211" s="149">
        <v>2.88</v>
      </c>
      <c r="G1211" s="149">
        <v>18.260000000000002</v>
      </c>
      <c r="H1211" s="149">
        <v>2.73</v>
      </c>
      <c r="I1211" s="150">
        <v>29.180000000000003</v>
      </c>
    </row>
    <row r="1212" spans="1:9" ht="15.6" x14ac:dyDescent="0.25">
      <c r="A1212" s="145"/>
      <c r="B1212" s="146">
        <v>4481094</v>
      </c>
      <c r="C1212" s="147"/>
      <c r="D1212" s="148" t="s">
        <v>851</v>
      </c>
      <c r="E1212" s="149">
        <v>5.31</v>
      </c>
      <c r="F1212" s="149">
        <v>2.88</v>
      </c>
      <c r="G1212" s="149">
        <v>22.66</v>
      </c>
      <c r="H1212" s="149">
        <v>2.73</v>
      </c>
      <c r="I1212" s="150">
        <v>33.58</v>
      </c>
    </row>
    <row r="1213" spans="1:9" ht="15.6" x14ac:dyDescent="0.25">
      <c r="A1213" s="145"/>
      <c r="B1213" s="146">
        <v>4482139</v>
      </c>
      <c r="C1213" s="147"/>
      <c r="D1213" s="148" t="s">
        <v>857</v>
      </c>
      <c r="E1213" s="149">
        <v>0</v>
      </c>
      <c r="F1213" s="149">
        <v>0</v>
      </c>
      <c r="G1213" s="149">
        <v>0</v>
      </c>
      <c r="H1213" s="149">
        <v>0</v>
      </c>
      <c r="I1213" s="150">
        <v>0</v>
      </c>
    </row>
    <row r="1214" spans="1:9" ht="15.6" x14ac:dyDescent="0.25">
      <c r="A1214" s="145"/>
      <c r="B1214" s="146">
        <v>4494664</v>
      </c>
      <c r="C1214" s="147"/>
      <c r="D1214" s="148" t="s">
        <v>872</v>
      </c>
      <c r="E1214" s="149">
        <v>5.31</v>
      </c>
      <c r="F1214" s="149">
        <v>2.88</v>
      </c>
      <c r="G1214" s="149">
        <v>0</v>
      </c>
      <c r="H1214" s="149">
        <v>2.73</v>
      </c>
      <c r="I1214" s="150">
        <v>10.92</v>
      </c>
    </row>
    <row r="1215" spans="1:9" ht="15.6" x14ac:dyDescent="0.25">
      <c r="A1215" s="145"/>
      <c r="B1215" s="146">
        <v>4496119</v>
      </c>
      <c r="C1215" s="147"/>
      <c r="D1215" s="148" t="s">
        <v>828</v>
      </c>
      <c r="E1215" s="149">
        <v>5.31</v>
      </c>
      <c r="F1215" s="149">
        <v>2.88</v>
      </c>
      <c r="G1215" s="149">
        <v>0</v>
      </c>
      <c r="H1215" s="149">
        <v>2.73</v>
      </c>
      <c r="I1215" s="150">
        <v>10.92</v>
      </c>
    </row>
    <row r="1216" spans="1:9" ht="15.6" x14ac:dyDescent="0.25">
      <c r="A1216" s="145"/>
      <c r="B1216" s="146">
        <v>4496371</v>
      </c>
      <c r="C1216" s="147"/>
      <c r="D1216" s="148" t="s">
        <v>894</v>
      </c>
      <c r="E1216" s="149">
        <v>5.31</v>
      </c>
      <c r="F1216" s="149">
        <v>2.88</v>
      </c>
      <c r="G1216" s="149">
        <v>0</v>
      </c>
      <c r="H1216" s="149">
        <v>2.73</v>
      </c>
      <c r="I1216" s="150">
        <v>10.92</v>
      </c>
    </row>
    <row r="1217" spans="1:9" ht="15.6" x14ac:dyDescent="0.25">
      <c r="A1217" s="145"/>
      <c r="B1217" s="146">
        <v>4499200</v>
      </c>
      <c r="C1217" s="147"/>
      <c r="D1217" s="148" t="s">
        <v>789</v>
      </c>
      <c r="E1217" s="149">
        <v>5.31</v>
      </c>
      <c r="F1217" s="149">
        <v>2.88</v>
      </c>
      <c r="G1217" s="149">
        <v>18.260000000000002</v>
      </c>
      <c r="H1217" s="149">
        <v>2.73</v>
      </c>
      <c r="I1217" s="150">
        <v>29.180000000000003</v>
      </c>
    </row>
    <row r="1218" spans="1:9" ht="15.6" x14ac:dyDescent="0.25">
      <c r="A1218" s="145"/>
      <c r="B1218" s="146">
        <v>4499948</v>
      </c>
      <c r="C1218" s="147"/>
      <c r="D1218" s="148" t="s">
        <v>823</v>
      </c>
      <c r="E1218" s="149">
        <v>5.31</v>
      </c>
      <c r="F1218" s="149">
        <v>2.88</v>
      </c>
      <c r="G1218" s="149">
        <v>0</v>
      </c>
      <c r="H1218" s="149">
        <v>2.73</v>
      </c>
      <c r="I1218" s="150">
        <v>10.92</v>
      </c>
    </row>
    <row r="1219" spans="1:9" ht="15.6" x14ac:dyDescent="0.25">
      <c r="A1219" s="145"/>
      <c r="B1219" s="146">
        <v>4502049</v>
      </c>
      <c r="C1219" s="147"/>
      <c r="D1219" s="148" t="s">
        <v>827</v>
      </c>
      <c r="E1219" s="149">
        <v>5.31</v>
      </c>
      <c r="F1219" s="149">
        <v>2.88</v>
      </c>
      <c r="G1219" s="149">
        <v>0</v>
      </c>
      <c r="H1219" s="149">
        <v>2.73</v>
      </c>
      <c r="I1219" s="150">
        <v>10.92</v>
      </c>
    </row>
    <row r="1220" spans="1:9" ht="15.6" x14ac:dyDescent="0.25">
      <c r="A1220" s="145"/>
      <c r="B1220" s="146">
        <v>4513518</v>
      </c>
      <c r="C1220" s="147"/>
      <c r="D1220" s="148" t="s">
        <v>868</v>
      </c>
      <c r="E1220" s="149">
        <v>5.31</v>
      </c>
      <c r="F1220" s="149">
        <v>2.88</v>
      </c>
      <c r="G1220" s="149">
        <v>0</v>
      </c>
      <c r="H1220" s="149">
        <v>2.73</v>
      </c>
      <c r="I1220" s="150">
        <v>10.92</v>
      </c>
    </row>
    <row r="1221" spans="1:9" ht="15.6" x14ac:dyDescent="0.25">
      <c r="A1221" s="145"/>
      <c r="B1221" s="146">
        <v>4529656</v>
      </c>
      <c r="C1221" s="147"/>
      <c r="D1221" s="148" t="s">
        <v>868</v>
      </c>
      <c r="E1221" s="149">
        <v>5.31</v>
      </c>
      <c r="F1221" s="149">
        <v>2.88</v>
      </c>
      <c r="G1221" s="149">
        <v>0</v>
      </c>
      <c r="H1221" s="149">
        <v>2.73</v>
      </c>
      <c r="I1221" s="150">
        <v>10.92</v>
      </c>
    </row>
    <row r="1222" spans="1:9" ht="15.6" x14ac:dyDescent="0.25">
      <c r="A1222" s="145"/>
      <c r="B1222" s="146">
        <v>4530579</v>
      </c>
      <c r="C1222" s="147"/>
      <c r="D1222" s="148" t="s">
        <v>881</v>
      </c>
      <c r="E1222" s="149">
        <v>5.31</v>
      </c>
      <c r="F1222" s="149">
        <v>2.88</v>
      </c>
      <c r="G1222" s="149">
        <v>0</v>
      </c>
      <c r="H1222" s="149">
        <v>2.73</v>
      </c>
      <c r="I1222" s="150">
        <v>10.92</v>
      </c>
    </row>
    <row r="1223" spans="1:9" ht="15.6" x14ac:dyDescent="0.25">
      <c r="A1223" s="145"/>
      <c r="B1223" s="146">
        <v>4536510</v>
      </c>
      <c r="C1223" s="147"/>
      <c r="D1223" s="148" t="s">
        <v>853</v>
      </c>
      <c r="E1223" s="149">
        <v>5.31</v>
      </c>
      <c r="F1223" s="149">
        <v>2.88</v>
      </c>
      <c r="G1223" s="149">
        <v>0</v>
      </c>
      <c r="H1223" s="149">
        <v>2.73</v>
      </c>
      <c r="I1223" s="150">
        <v>10.92</v>
      </c>
    </row>
    <row r="1224" spans="1:9" ht="15.6" x14ac:dyDescent="0.25">
      <c r="A1224" s="145"/>
      <c r="B1224" s="146">
        <v>4541652</v>
      </c>
      <c r="C1224" s="147"/>
      <c r="D1224" s="148" t="s">
        <v>924</v>
      </c>
      <c r="E1224" s="149">
        <v>0</v>
      </c>
      <c r="F1224" s="149">
        <v>0</v>
      </c>
      <c r="G1224" s="149">
        <v>0</v>
      </c>
      <c r="H1224" s="149">
        <v>0</v>
      </c>
      <c r="I1224" s="150">
        <v>0</v>
      </c>
    </row>
    <row r="1225" spans="1:9" ht="15.6" x14ac:dyDescent="0.25">
      <c r="A1225" s="145"/>
      <c r="B1225" s="146">
        <v>4541775</v>
      </c>
      <c r="C1225" s="147"/>
      <c r="D1225" s="148" t="s">
        <v>883</v>
      </c>
      <c r="E1225" s="149">
        <v>5.31</v>
      </c>
      <c r="F1225" s="149">
        <v>2.88</v>
      </c>
      <c r="G1225" s="149">
        <v>0</v>
      </c>
      <c r="H1225" s="149">
        <v>2.73</v>
      </c>
      <c r="I1225" s="150">
        <v>10.92</v>
      </c>
    </row>
    <row r="1226" spans="1:9" ht="15.6" x14ac:dyDescent="0.25">
      <c r="A1226" s="145"/>
      <c r="B1226" s="146">
        <v>4547845</v>
      </c>
      <c r="C1226" s="147"/>
      <c r="D1226" s="148" t="s">
        <v>851</v>
      </c>
      <c r="E1226" s="149">
        <v>5.31</v>
      </c>
      <c r="F1226" s="149">
        <v>2.88</v>
      </c>
      <c r="G1226" s="149">
        <v>22.66</v>
      </c>
      <c r="H1226" s="149">
        <v>2.73</v>
      </c>
      <c r="I1226" s="150">
        <v>33.58</v>
      </c>
    </row>
    <row r="1227" spans="1:9" ht="15.6" x14ac:dyDescent="0.25">
      <c r="A1227" s="145"/>
      <c r="B1227" s="146">
        <v>4563684</v>
      </c>
      <c r="C1227" s="147"/>
      <c r="D1227" s="148" t="s">
        <v>792</v>
      </c>
      <c r="E1227" s="149">
        <v>5.31</v>
      </c>
      <c r="F1227" s="149">
        <v>2.88</v>
      </c>
      <c r="G1227" s="149">
        <v>0</v>
      </c>
      <c r="H1227" s="149">
        <v>2.73</v>
      </c>
      <c r="I1227" s="150">
        <v>10.92</v>
      </c>
    </row>
    <row r="1228" spans="1:9" ht="15.6" x14ac:dyDescent="0.25">
      <c r="A1228" s="145"/>
      <c r="B1228" s="146">
        <v>4563969</v>
      </c>
      <c r="C1228" s="147"/>
      <c r="D1228" s="148" t="s">
        <v>789</v>
      </c>
      <c r="E1228" s="149">
        <v>5.31</v>
      </c>
      <c r="F1228" s="149">
        <v>2.88</v>
      </c>
      <c r="G1228" s="149">
        <v>24.03</v>
      </c>
      <c r="H1228" s="149">
        <v>2.73</v>
      </c>
      <c r="I1228" s="150">
        <v>34.949999999999996</v>
      </c>
    </row>
    <row r="1229" spans="1:9" ht="15.6" x14ac:dyDescent="0.25">
      <c r="A1229" s="145"/>
      <c r="B1229" s="146">
        <v>4576431</v>
      </c>
      <c r="C1229" s="147"/>
      <c r="D1229" s="148" t="s">
        <v>867</v>
      </c>
      <c r="E1229" s="149">
        <v>5.31</v>
      </c>
      <c r="F1229" s="149">
        <v>2.88</v>
      </c>
      <c r="G1229" s="149">
        <v>0</v>
      </c>
      <c r="H1229" s="149">
        <v>2.73</v>
      </c>
      <c r="I1229" s="150">
        <v>10.92</v>
      </c>
    </row>
    <row r="1230" spans="1:9" ht="15.6" x14ac:dyDescent="0.25">
      <c r="A1230" s="145"/>
      <c r="B1230" s="146">
        <v>4581332</v>
      </c>
      <c r="C1230" s="147"/>
      <c r="D1230" s="148" t="s">
        <v>770</v>
      </c>
      <c r="E1230" s="149">
        <v>5.31</v>
      </c>
      <c r="F1230" s="149">
        <v>2.88</v>
      </c>
      <c r="G1230" s="149">
        <v>0</v>
      </c>
      <c r="H1230" s="149">
        <v>0</v>
      </c>
      <c r="I1230" s="150">
        <v>8.19</v>
      </c>
    </row>
    <row r="1231" spans="1:9" ht="15.6" x14ac:dyDescent="0.25">
      <c r="A1231" s="145"/>
      <c r="B1231" s="146">
        <v>4582552</v>
      </c>
      <c r="C1231" s="147"/>
      <c r="D1231" s="148" t="s">
        <v>868</v>
      </c>
      <c r="E1231" s="149">
        <v>5.31</v>
      </c>
      <c r="F1231" s="149">
        <v>2.88</v>
      </c>
      <c r="G1231" s="149">
        <v>0</v>
      </c>
      <c r="H1231" s="149">
        <v>2.73</v>
      </c>
      <c r="I1231" s="150">
        <v>10.92</v>
      </c>
    </row>
    <row r="1232" spans="1:9" ht="15.6" x14ac:dyDescent="0.25">
      <c r="A1232" s="145"/>
      <c r="B1232" s="146">
        <v>4587691</v>
      </c>
      <c r="C1232" s="147"/>
      <c r="D1232" s="148" t="s">
        <v>771</v>
      </c>
      <c r="E1232" s="149">
        <v>5.31</v>
      </c>
      <c r="F1232" s="149">
        <v>2.88</v>
      </c>
      <c r="G1232" s="149">
        <v>40.25</v>
      </c>
      <c r="H1232" s="149">
        <v>2.73</v>
      </c>
      <c r="I1232" s="150">
        <v>51.169999999999995</v>
      </c>
    </row>
    <row r="1233" spans="1:9" ht="15.6" x14ac:dyDescent="0.25">
      <c r="A1233" s="145"/>
      <c r="B1233" s="146">
        <v>4588702</v>
      </c>
      <c r="C1233" s="147"/>
      <c r="D1233" s="148" t="s">
        <v>773</v>
      </c>
      <c r="E1233" s="149">
        <v>5.31</v>
      </c>
      <c r="F1233" s="149">
        <v>2.88</v>
      </c>
      <c r="G1233" s="149">
        <v>0</v>
      </c>
      <c r="H1233" s="149">
        <v>2.73</v>
      </c>
      <c r="I1233" s="150">
        <v>10.92</v>
      </c>
    </row>
    <row r="1234" spans="1:9" ht="15.6" x14ac:dyDescent="0.25">
      <c r="A1234" s="145"/>
      <c r="B1234" s="146">
        <v>4596361</v>
      </c>
      <c r="C1234" s="147"/>
      <c r="D1234" s="148" t="s">
        <v>773</v>
      </c>
      <c r="E1234" s="149">
        <v>0</v>
      </c>
      <c r="F1234" s="149">
        <v>0</v>
      </c>
      <c r="G1234" s="149">
        <v>35.880000000000003</v>
      </c>
      <c r="H1234" s="149">
        <v>0</v>
      </c>
      <c r="I1234" s="150">
        <v>35.880000000000003</v>
      </c>
    </row>
    <row r="1235" spans="1:9" ht="15.6" x14ac:dyDescent="0.25">
      <c r="A1235" s="145"/>
      <c r="B1235" s="146">
        <v>4596984</v>
      </c>
      <c r="C1235" s="147"/>
      <c r="D1235" s="148" t="s">
        <v>967</v>
      </c>
      <c r="E1235" s="149">
        <v>5.31</v>
      </c>
      <c r="F1235" s="149">
        <v>2.88</v>
      </c>
      <c r="G1235" s="149">
        <v>0</v>
      </c>
      <c r="H1235" s="149">
        <v>2.73</v>
      </c>
      <c r="I1235" s="150">
        <v>10.92</v>
      </c>
    </row>
    <row r="1236" spans="1:9" ht="15.6" x14ac:dyDescent="0.25">
      <c r="A1236" s="145"/>
      <c r="B1236" s="146">
        <v>4610075</v>
      </c>
      <c r="C1236" s="147"/>
      <c r="D1236" s="148" t="s">
        <v>868</v>
      </c>
      <c r="E1236" s="149">
        <v>5.31</v>
      </c>
      <c r="F1236" s="149">
        <v>2.88</v>
      </c>
      <c r="G1236" s="149">
        <v>0</v>
      </c>
      <c r="H1236" s="149">
        <v>2.73</v>
      </c>
      <c r="I1236" s="150">
        <v>10.92</v>
      </c>
    </row>
    <row r="1237" spans="1:9" ht="15.6" x14ac:dyDescent="0.25">
      <c r="A1237" s="145"/>
      <c r="B1237" s="146">
        <v>4615804</v>
      </c>
      <c r="C1237" s="147"/>
      <c r="D1237" s="148" t="s">
        <v>869</v>
      </c>
      <c r="E1237" s="149">
        <v>5.31</v>
      </c>
      <c r="F1237" s="149">
        <v>2.88</v>
      </c>
      <c r="G1237" s="149">
        <v>0</v>
      </c>
      <c r="H1237" s="149">
        <v>2.73</v>
      </c>
      <c r="I1237" s="150">
        <v>10.92</v>
      </c>
    </row>
    <row r="1238" spans="1:9" ht="15.6" x14ac:dyDescent="0.25">
      <c r="A1238" s="145"/>
      <c r="B1238" s="146">
        <v>4617254</v>
      </c>
      <c r="C1238" s="147"/>
      <c r="D1238" s="148" t="s">
        <v>828</v>
      </c>
      <c r="E1238" s="149">
        <v>5.31</v>
      </c>
      <c r="F1238" s="149">
        <v>2.88</v>
      </c>
      <c r="G1238" s="149">
        <v>0</v>
      </c>
      <c r="H1238" s="149">
        <v>2.73</v>
      </c>
      <c r="I1238" s="150">
        <v>10.92</v>
      </c>
    </row>
    <row r="1239" spans="1:9" ht="15.6" x14ac:dyDescent="0.25">
      <c r="A1239" s="145"/>
      <c r="B1239" s="146">
        <v>4619315</v>
      </c>
      <c r="C1239" s="147"/>
      <c r="D1239" s="148" t="s">
        <v>769</v>
      </c>
      <c r="E1239" s="149">
        <v>0</v>
      </c>
      <c r="F1239" s="149">
        <v>0</v>
      </c>
      <c r="G1239" s="149">
        <v>0</v>
      </c>
      <c r="H1239" s="149">
        <v>0</v>
      </c>
      <c r="I1239" s="150">
        <v>0</v>
      </c>
    </row>
    <row r="1240" spans="1:9" ht="15.6" x14ac:dyDescent="0.25">
      <c r="A1240" s="145"/>
      <c r="B1240" s="146">
        <v>4622462</v>
      </c>
      <c r="C1240" s="147"/>
      <c r="D1240" s="148" t="s">
        <v>893</v>
      </c>
      <c r="E1240" s="149">
        <v>5.31</v>
      </c>
      <c r="F1240" s="149">
        <v>2.88</v>
      </c>
      <c r="G1240" s="149">
        <v>0</v>
      </c>
      <c r="H1240" s="149">
        <v>2.73</v>
      </c>
      <c r="I1240" s="150">
        <v>10.92</v>
      </c>
    </row>
    <row r="1241" spans="1:9" ht="15.6" x14ac:dyDescent="0.25">
      <c r="A1241" s="145"/>
      <c r="B1241" s="146">
        <v>4624988</v>
      </c>
      <c r="C1241" s="147"/>
      <c r="D1241" s="148" t="s">
        <v>870</v>
      </c>
      <c r="E1241" s="149">
        <v>0</v>
      </c>
      <c r="F1241" s="149">
        <v>0</v>
      </c>
      <c r="G1241" s="149">
        <v>0</v>
      </c>
      <c r="H1241" s="149">
        <v>0</v>
      </c>
      <c r="I1241" s="150">
        <v>0</v>
      </c>
    </row>
    <row r="1242" spans="1:9" ht="15.6" x14ac:dyDescent="0.25">
      <c r="A1242" s="145"/>
      <c r="B1242" s="146">
        <v>4626716</v>
      </c>
      <c r="C1242" s="147"/>
      <c r="D1242" s="148" t="s">
        <v>868</v>
      </c>
      <c r="E1242" s="149">
        <v>5.31</v>
      </c>
      <c r="F1242" s="149">
        <v>2.88</v>
      </c>
      <c r="G1242" s="149">
        <v>0</v>
      </c>
      <c r="H1242" s="149">
        <v>2.73</v>
      </c>
      <c r="I1242" s="150">
        <v>10.92</v>
      </c>
    </row>
    <row r="1243" spans="1:9" ht="15.6" x14ac:dyDescent="0.25">
      <c r="A1243" s="145"/>
      <c r="B1243" s="146">
        <v>4627433</v>
      </c>
      <c r="C1243" s="147"/>
      <c r="D1243" s="148" t="s">
        <v>853</v>
      </c>
      <c r="E1243" s="149">
        <v>5.31</v>
      </c>
      <c r="F1243" s="149">
        <v>2.88</v>
      </c>
      <c r="G1243" s="149">
        <v>0</v>
      </c>
      <c r="H1243" s="149">
        <v>2.73</v>
      </c>
      <c r="I1243" s="150">
        <v>10.92</v>
      </c>
    </row>
    <row r="1244" spans="1:9" ht="15.6" x14ac:dyDescent="0.25">
      <c r="A1244" s="145"/>
      <c r="B1244" s="146">
        <v>4630562</v>
      </c>
      <c r="C1244" s="147"/>
      <c r="D1244" s="148" t="s">
        <v>894</v>
      </c>
      <c r="E1244" s="149">
        <v>0</v>
      </c>
      <c r="F1244" s="149">
        <v>0</v>
      </c>
      <c r="G1244" s="149">
        <v>0</v>
      </c>
      <c r="H1244" s="149">
        <v>0</v>
      </c>
      <c r="I1244" s="150">
        <v>0</v>
      </c>
    </row>
    <row r="1245" spans="1:9" ht="15.6" x14ac:dyDescent="0.25">
      <c r="A1245" s="145"/>
      <c r="B1245" s="146">
        <v>4636297</v>
      </c>
      <c r="C1245" s="147"/>
      <c r="D1245" s="148" t="s">
        <v>916</v>
      </c>
      <c r="E1245" s="149">
        <v>0</v>
      </c>
      <c r="F1245" s="149">
        <v>0</v>
      </c>
      <c r="G1245" s="149">
        <v>0</v>
      </c>
      <c r="H1245" s="149">
        <v>0</v>
      </c>
      <c r="I1245" s="150">
        <v>0</v>
      </c>
    </row>
    <row r="1246" spans="1:9" ht="15.6" x14ac:dyDescent="0.25">
      <c r="A1246" s="145"/>
      <c r="B1246" s="146">
        <v>4642097</v>
      </c>
      <c r="C1246" s="147"/>
      <c r="D1246" s="148" t="s">
        <v>945</v>
      </c>
      <c r="E1246" s="149">
        <v>0</v>
      </c>
      <c r="F1246" s="149">
        <v>0</v>
      </c>
      <c r="G1246" s="149">
        <v>0</v>
      </c>
      <c r="H1246" s="149">
        <v>0</v>
      </c>
      <c r="I1246" s="150">
        <v>0</v>
      </c>
    </row>
    <row r="1247" spans="1:9" ht="15.6" x14ac:dyDescent="0.25">
      <c r="A1247" s="145"/>
      <c r="B1247" s="146">
        <v>4642220</v>
      </c>
      <c r="C1247" s="147"/>
      <c r="D1247" s="148" t="s">
        <v>863</v>
      </c>
      <c r="E1247" s="149">
        <v>5.31</v>
      </c>
      <c r="F1247" s="149">
        <v>2.88</v>
      </c>
      <c r="G1247" s="149">
        <v>0</v>
      </c>
      <c r="H1247" s="149">
        <v>2.73</v>
      </c>
      <c r="I1247" s="150">
        <v>10.92</v>
      </c>
    </row>
    <row r="1248" spans="1:9" ht="15.6" x14ac:dyDescent="0.25">
      <c r="A1248" s="145"/>
      <c r="B1248" s="146">
        <v>4642323</v>
      </c>
      <c r="C1248" s="147"/>
      <c r="D1248" s="148" t="s">
        <v>738</v>
      </c>
      <c r="E1248" s="149">
        <v>5.31</v>
      </c>
      <c r="F1248" s="149">
        <v>2.88</v>
      </c>
      <c r="G1248" s="149">
        <v>0</v>
      </c>
      <c r="H1248" s="149">
        <v>2.73</v>
      </c>
      <c r="I1248" s="150">
        <v>10.92</v>
      </c>
    </row>
    <row r="1249" spans="1:9" ht="15.6" x14ac:dyDescent="0.25">
      <c r="A1249" s="145"/>
      <c r="B1249" s="146">
        <v>4644751</v>
      </c>
      <c r="C1249" s="147"/>
      <c r="D1249" s="148" t="s">
        <v>849</v>
      </c>
      <c r="E1249" s="149">
        <v>0</v>
      </c>
      <c r="F1249" s="149">
        <v>0</v>
      </c>
      <c r="G1249" s="149">
        <v>0</v>
      </c>
      <c r="H1249" s="149">
        <v>2.73</v>
      </c>
      <c r="I1249" s="150">
        <v>2.73</v>
      </c>
    </row>
    <row r="1250" spans="1:9" ht="15.6" x14ac:dyDescent="0.25">
      <c r="A1250" s="145"/>
      <c r="B1250" s="146">
        <v>4646052</v>
      </c>
      <c r="C1250" s="147"/>
      <c r="D1250" s="148" t="s">
        <v>782</v>
      </c>
      <c r="E1250" s="149">
        <v>5.31</v>
      </c>
      <c r="F1250" s="149">
        <v>2.88</v>
      </c>
      <c r="G1250" s="149">
        <v>0</v>
      </c>
      <c r="H1250" s="149">
        <v>2.73</v>
      </c>
      <c r="I1250" s="150">
        <v>10.92</v>
      </c>
    </row>
    <row r="1251" spans="1:9" ht="15.6" x14ac:dyDescent="0.25">
      <c r="A1251" s="145"/>
      <c r="B1251" s="146">
        <v>4646109</v>
      </c>
      <c r="C1251" s="147"/>
      <c r="D1251" s="148" t="s">
        <v>851</v>
      </c>
      <c r="E1251" s="149">
        <v>5.31</v>
      </c>
      <c r="F1251" s="149">
        <v>2.88</v>
      </c>
      <c r="G1251" s="149">
        <v>22.66</v>
      </c>
      <c r="H1251" s="149">
        <v>2.73</v>
      </c>
      <c r="I1251" s="150">
        <v>33.58</v>
      </c>
    </row>
    <row r="1252" spans="1:9" ht="15.6" x14ac:dyDescent="0.25">
      <c r="A1252" s="145"/>
      <c r="B1252" s="146">
        <v>4649781</v>
      </c>
      <c r="C1252" s="147"/>
      <c r="D1252" s="148" t="s">
        <v>891</v>
      </c>
      <c r="E1252" s="149">
        <v>5.31</v>
      </c>
      <c r="F1252" s="149">
        <v>2.88</v>
      </c>
      <c r="G1252" s="149">
        <v>0</v>
      </c>
      <c r="H1252" s="149">
        <v>2.73</v>
      </c>
      <c r="I1252" s="150">
        <v>10.92</v>
      </c>
    </row>
    <row r="1253" spans="1:9" ht="15.6" x14ac:dyDescent="0.25">
      <c r="A1253" s="145"/>
      <c r="B1253" s="146">
        <v>4650838</v>
      </c>
      <c r="C1253" s="147"/>
      <c r="D1253" s="148" t="s">
        <v>865</v>
      </c>
      <c r="E1253" s="149">
        <v>5.31</v>
      </c>
      <c r="F1253" s="149">
        <v>2.88</v>
      </c>
      <c r="G1253" s="149">
        <v>0</v>
      </c>
      <c r="H1253" s="149">
        <v>2.73</v>
      </c>
      <c r="I1253" s="150">
        <v>10.92</v>
      </c>
    </row>
    <row r="1254" spans="1:9" ht="15.6" x14ac:dyDescent="0.25">
      <c r="A1254" s="145"/>
      <c r="B1254" s="146">
        <v>4653242</v>
      </c>
      <c r="C1254" s="147"/>
      <c r="D1254" s="148" t="s">
        <v>918</v>
      </c>
      <c r="E1254" s="149">
        <v>0</v>
      </c>
      <c r="F1254" s="149">
        <v>0</v>
      </c>
      <c r="G1254" s="149">
        <v>0</v>
      </c>
      <c r="H1254" s="149">
        <v>0</v>
      </c>
      <c r="I1254" s="150">
        <v>0</v>
      </c>
    </row>
    <row r="1255" spans="1:9" ht="15.6" x14ac:dyDescent="0.25">
      <c r="A1255" s="145"/>
      <c r="B1255" s="146">
        <v>4656593</v>
      </c>
      <c r="C1255" s="147"/>
      <c r="D1255" s="148" t="s">
        <v>779</v>
      </c>
      <c r="E1255" s="149">
        <v>5.31</v>
      </c>
      <c r="F1255" s="149">
        <v>2.88</v>
      </c>
      <c r="G1255" s="149">
        <v>0</v>
      </c>
      <c r="H1255" s="149">
        <v>2.73</v>
      </c>
      <c r="I1255" s="150">
        <v>10.92</v>
      </c>
    </row>
    <row r="1256" spans="1:9" ht="15.6" x14ac:dyDescent="0.25">
      <c r="A1256" s="145"/>
      <c r="B1256" s="146">
        <v>4659604</v>
      </c>
      <c r="C1256" s="147"/>
      <c r="D1256" s="148" t="s">
        <v>747</v>
      </c>
      <c r="E1256" s="149">
        <v>5.31</v>
      </c>
      <c r="F1256" s="149">
        <v>2.88</v>
      </c>
      <c r="G1256" s="149">
        <v>0</v>
      </c>
      <c r="H1256" s="149">
        <v>2.73</v>
      </c>
      <c r="I1256" s="150">
        <v>10.92</v>
      </c>
    </row>
    <row r="1257" spans="1:9" ht="15.6" x14ac:dyDescent="0.25">
      <c r="A1257" s="145"/>
      <c r="B1257" s="146">
        <v>4659627</v>
      </c>
      <c r="C1257" s="147"/>
      <c r="D1257" s="148" t="s">
        <v>938</v>
      </c>
      <c r="E1257" s="149">
        <v>0</v>
      </c>
      <c r="F1257" s="149">
        <v>2.88</v>
      </c>
      <c r="G1257" s="149">
        <v>0</v>
      </c>
      <c r="H1257" s="149">
        <v>2.73</v>
      </c>
      <c r="I1257" s="150">
        <v>5.6099999999999994</v>
      </c>
    </row>
    <row r="1258" spans="1:9" ht="15.6" x14ac:dyDescent="0.25">
      <c r="A1258" s="145"/>
      <c r="B1258" s="146">
        <v>4660243</v>
      </c>
      <c r="C1258" s="147"/>
      <c r="D1258" s="148" t="s">
        <v>955</v>
      </c>
      <c r="E1258" s="149">
        <v>0</v>
      </c>
      <c r="F1258" s="149">
        <v>2.88</v>
      </c>
      <c r="G1258" s="149">
        <v>0</v>
      </c>
      <c r="H1258" s="149">
        <v>2.73</v>
      </c>
      <c r="I1258" s="150">
        <v>5.6099999999999994</v>
      </c>
    </row>
    <row r="1259" spans="1:9" ht="15.6" x14ac:dyDescent="0.25">
      <c r="A1259" s="145"/>
      <c r="B1259" s="146">
        <v>4660444</v>
      </c>
      <c r="C1259" s="147"/>
      <c r="D1259" s="148" t="s">
        <v>815</v>
      </c>
      <c r="E1259" s="149">
        <v>0</v>
      </c>
      <c r="F1259" s="149">
        <v>0</v>
      </c>
      <c r="G1259" s="149">
        <v>0</v>
      </c>
      <c r="H1259" s="149">
        <v>0</v>
      </c>
      <c r="I1259" s="150">
        <v>0</v>
      </c>
    </row>
    <row r="1260" spans="1:9" ht="15.6" x14ac:dyDescent="0.25">
      <c r="A1260" s="145"/>
      <c r="B1260" s="146">
        <v>4660798</v>
      </c>
      <c r="C1260" s="147"/>
      <c r="D1260" s="148" t="s">
        <v>919</v>
      </c>
      <c r="E1260" s="149">
        <v>5.31</v>
      </c>
      <c r="F1260" s="149">
        <v>2.88</v>
      </c>
      <c r="G1260" s="149">
        <v>0</v>
      </c>
      <c r="H1260" s="149">
        <v>2.73</v>
      </c>
      <c r="I1260" s="150">
        <v>10.92</v>
      </c>
    </row>
    <row r="1261" spans="1:9" ht="15.6" x14ac:dyDescent="0.25">
      <c r="A1261" s="145"/>
      <c r="B1261" s="146">
        <v>4663632</v>
      </c>
      <c r="C1261" s="147"/>
      <c r="D1261" s="148" t="s">
        <v>868</v>
      </c>
      <c r="E1261" s="149">
        <v>5.31</v>
      </c>
      <c r="F1261" s="149">
        <v>2.88</v>
      </c>
      <c r="G1261" s="149">
        <v>0</v>
      </c>
      <c r="H1261" s="149">
        <v>2.73</v>
      </c>
      <c r="I1261" s="150">
        <v>10.92</v>
      </c>
    </row>
    <row r="1262" spans="1:9" ht="15.6" x14ac:dyDescent="0.25">
      <c r="A1262" s="145"/>
      <c r="B1262" s="146">
        <v>4668544</v>
      </c>
      <c r="C1262" s="147"/>
      <c r="D1262" s="148" t="s">
        <v>829</v>
      </c>
      <c r="E1262" s="149">
        <v>5.31</v>
      </c>
      <c r="F1262" s="149">
        <v>2.88</v>
      </c>
      <c r="G1262" s="149">
        <v>0</v>
      </c>
      <c r="H1262" s="149">
        <v>2.73</v>
      </c>
      <c r="I1262" s="150">
        <v>10.92</v>
      </c>
    </row>
    <row r="1263" spans="1:9" ht="15.6" x14ac:dyDescent="0.25">
      <c r="A1263" s="145"/>
      <c r="B1263" s="146">
        <v>4679036</v>
      </c>
      <c r="C1263" s="147"/>
      <c r="D1263" s="148" t="s">
        <v>868</v>
      </c>
      <c r="E1263" s="149">
        <v>5.31</v>
      </c>
      <c r="F1263" s="149">
        <v>2.88</v>
      </c>
      <c r="G1263" s="149">
        <v>0</v>
      </c>
      <c r="H1263" s="149">
        <v>2.73</v>
      </c>
      <c r="I1263" s="150">
        <v>10.92</v>
      </c>
    </row>
    <row r="1264" spans="1:9" ht="15.6" x14ac:dyDescent="0.25">
      <c r="A1264" s="145"/>
      <c r="B1264" s="146">
        <v>4679995</v>
      </c>
      <c r="C1264" s="147"/>
      <c r="D1264" s="148" t="s">
        <v>851</v>
      </c>
      <c r="E1264" s="149">
        <v>5.31</v>
      </c>
      <c r="F1264" s="149">
        <v>2.88</v>
      </c>
      <c r="G1264" s="149">
        <v>22.66</v>
      </c>
      <c r="H1264" s="149">
        <v>2.73</v>
      </c>
      <c r="I1264" s="150">
        <v>33.58</v>
      </c>
    </row>
    <row r="1265" spans="1:9" ht="15.6" x14ac:dyDescent="0.25">
      <c r="A1265" s="145"/>
      <c r="B1265" s="146">
        <v>4680925</v>
      </c>
      <c r="C1265" s="147"/>
      <c r="D1265" s="148" t="s">
        <v>960</v>
      </c>
      <c r="E1265" s="149">
        <v>0</v>
      </c>
      <c r="F1265" s="149">
        <v>2.88</v>
      </c>
      <c r="G1265" s="149">
        <v>0</v>
      </c>
      <c r="H1265" s="149">
        <v>2.73</v>
      </c>
      <c r="I1265" s="150">
        <v>5.6099999999999994</v>
      </c>
    </row>
    <row r="1266" spans="1:9" ht="15.6" x14ac:dyDescent="0.25">
      <c r="A1266" s="145"/>
      <c r="B1266" s="146">
        <v>4682349</v>
      </c>
      <c r="C1266" s="147"/>
      <c r="D1266" s="148" t="s">
        <v>779</v>
      </c>
      <c r="E1266" s="149">
        <v>5.31</v>
      </c>
      <c r="F1266" s="149">
        <v>2.88</v>
      </c>
      <c r="G1266" s="149">
        <v>0</v>
      </c>
      <c r="H1266" s="149">
        <v>2.73</v>
      </c>
      <c r="I1266" s="150">
        <v>10.92</v>
      </c>
    </row>
    <row r="1267" spans="1:9" ht="15.6" x14ac:dyDescent="0.25">
      <c r="A1267" s="145"/>
      <c r="B1267" s="146">
        <v>4683426</v>
      </c>
      <c r="C1267" s="147"/>
      <c r="D1267" s="148" t="s">
        <v>936</v>
      </c>
      <c r="E1267" s="149">
        <v>5.31</v>
      </c>
      <c r="F1267" s="149">
        <v>2.88</v>
      </c>
      <c r="G1267" s="149">
        <v>0</v>
      </c>
      <c r="H1267" s="149">
        <v>2.73</v>
      </c>
      <c r="I1267" s="150">
        <v>10.92</v>
      </c>
    </row>
    <row r="1268" spans="1:9" ht="15.6" x14ac:dyDescent="0.25">
      <c r="A1268" s="145"/>
      <c r="B1268" s="146">
        <v>4683971</v>
      </c>
      <c r="C1268" s="147"/>
      <c r="D1268" s="148" t="s">
        <v>819</v>
      </c>
      <c r="E1268" s="149">
        <v>5.31</v>
      </c>
      <c r="F1268" s="149">
        <v>2.88</v>
      </c>
      <c r="G1268" s="149">
        <v>0</v>
      </c>
      <c r="H1268" s="149">
        <v>2.73</v>
      </c>
      <c r="I1268" s="150">
        <v>10.92</v>
      </c>
    </row>
    <row r="1269" spans="1:9" ht="15.6" x14ac:dyDescent="0.25">
      <c r="A1269" s="145"/>
      <c r="B1269" s="146">
        <v>4686141</v>
      </c>
      <c r="C1269" s="147"/>
      <c r="D1269" s="148" t="s">
        <v>919</v>
      </c>
      <c r="E1269" s="149">
        <v>5.31</v>
      </c>
      <c r="F1269" s="149">
        <v>2.88</v>
      </c>
      <c r="G1269" s="149">
        <v>0</v>
      </c>
      <c r="H1269" s="149">
        <v>2.73</v>
      </c>
      <c r="I1269" s="150">
        <v>10.92</v>
      </c>
    </row>
    <row r="1270" spans="1:9" ht="15.6" x14ac:dyDescent="0.25">
      <c r="A1270" s="145"/>
      <c r="B1270" s="146">
        <v>4686417</v>
      </c>
      <c r="C1270" s="147"/>
      <c r="D1270" s="148" t="s">
        <v>868</v>
      </c>
      <c r="E1270" s="149">
        <v>5.31</v>
      </c>
      <c r="F1270" s="149">
        <v>2.88</v>
      </c>
      <c r="G1270" s="149">
        <v>0</v>
      </c>
      <c r="H1270" s="149">
        <v>2.73</v>
      </c>
      <c r="I1270" s="150">
        <v>10.92</v>
      </c>
    </row>
    <row r="1271" spans="1:9" ht="15.6" x14ac:dyDescent="0.25">
      <c r="A1271" s="145"/>
      <c r="B1271" s="146">
        <v>4690262</v>
      </c>
      <c r="C1271" s="147"/>
      <c r="D1271" s="148" t="s">
        <v>883</v>
      </c>
      <c r="E1271" s="149">
        <v>5.31</v>
      </c>
      <c r="F1271" s="149">
        <v>2.88</v>
      </c>
      <c r="G1271" s="149">
        <v>0</v>
      </c>
      <c r="H1271" s="149">
        <v>2.73</v>
      </c>
      <c r="I1271" s="150">
        <v>10.92</v>
      </c>
    </row>
    <row r="1272" spans="1:9" ht="15.6" x14ac:dyDescent="0.25">
      <c r="A1272" s="145"/>
      <c r="B1272" s="146">
        <v>4692494</v>
      </c>
      <c r="C1272" s="147"/>
      <c r="D1272" s="148" t="s">
        <v>849</v>
      </c>
      <c r="E1272" s="149">
        <v>0</v>
      </c>
      <c r="F1272" s="149">
        <v>0</v>
      </c>
      <c r="G1272" s="149">
        <v>0</v>
      </c>
      <c r="H1272" s="149">
        <v>2.73</v>
      </c>
      <c r="I1272" s="150">
        <v>2.73</v>
      </c>
    </row>
    <row r="1273" spans="1:9" ht="15.6" x14ac:dyDescent="0.25">
      <c r="A1273" s="145"/>
      <c r="B1273" s="146">
        <v>4708676</v>
      </c>
      <c r="C1273" s="147"/>
      <c r="D1273" s="148" t="s">
        <v>894</v>
      </c>
      <c r="E1273" s="149">
        <v>5.31</v>
      </c>
      <c r="F1273" s="149">
        <v>2.88</v>
      </c>
      <c r="G1273" s="149">
        <v>0</v>
      </c>
      <c r="H1273" s="149">
        <v>2.73</v>
      </c>
      <c r="I1273" s="150">
        <v>10.92</v>
      </c>
    </row>
    <row r="1274" spans="1:9" ht="15.6" x14ac:dyDescent="0.25">
      <c r="A1274" s="145"/>
      <c r="B1274" s="146">
        <v>4717916</v>
      </c>
      <c r="C1274" s="147"/>
      <c r="D1274" s="148" t="s">
        <v>761</v>
      </c>
      <c r="E1274" s="149">
        <v>0</v>
      </c>
      <c r="F1274" s="149">
        <v>0</v>
      </c>
      <c r="G1274" s="149">
        <v>0</v>
      </c>
      <c r="H1274" s="149">
        <v>2.73</v>
      </c>
      <c r="I1274" s="150">
        <v>2.73</v>
      </c>
    </row>
    <row r="1275" spans="1:9" ht="15.6" x14ac:dyDescent="0.25">
      <c r="A1275" s="145"/>
      <c r="B1275" s="146">
        <v>4718233</v>
      </c>
      <c r="C1275" s="147"/>
      <c r="D1275" s="148" t="s">
        <v>917</v>
      </c>
      <c r="E1275" s="149">
        <v>0</v>
      </c>
      <c r="F1275" s="149">
        <v>0</v>
      </c>
      <c r="G1275" s="149">
        <v>0</v>
      </c>
      <c r="H1275" s="149">
        <v>0</v>
      </c>
      <c r="I1275" s="150">
        <v>0</v>
      </c>
    </row>
    <row r="1276" spans="1:9" ht="15.6" x14ac:dyDescent="0.25">
      <c r="A1276" s="145"/>
      <c r="B1276" s="146">
        <v>4733252</v>
      </c>
      <c r="C1276" s="147"/>
      <c r="D1276" s="148" t="s">
        <v>859</v>
      </c>
      <c r="E1276" s="149">
        <v>5.31</v>
      </c>
      <c r="F1276" s="149">
        <v>2.88</v>
      </c>
      <c r="G1276" s="149">
        <v>0</v>
      </c>
      <c r="H1276" s="149">
        <v>2.73</v>
      </c>
      <c r="I1276" s="150">
        <v>10.92</v>
      </c>
    </row>
    <row r="1277" spans="1:9" ht="15.6" x14ac:dyDescent="0.25">
      <c r="A1277" s="145"/>
      <c r="B1277" s="146">
        <v>4734548</v>
      </c>
      <c r="C1277" s="147"/>
      <c r="D1277" s="148" t="s">
        <v>822</v>
      </c>
      <c r="E1277" s="149">
        <v>5.31</v>
      </c>
      <c r="F1277" s="149">
        <v>2.88</v>
      </c>
      <c r="G1277" s="149">
        <v>0</v>
      </c>
      <c r="H1277" s="149">
        <v>2.73</v>
      </c>
      <c r="I1277" s="150">
        <v>10.92</v>
      </c>
    </row>
    <row r="1278" spans="1:9" ht="15.6" x14ac:dyDescent="0.25">
      <c r="A1278" s="145"/>
      <c r="B1278" s="146">
        <v>4737266</v>
      </c>
      <c r="C1278" s="147"/>
      <c r="D1278" s="148" t="s">
        <v>851</v>
      </c>
      <c r="E1278" s="149">
        <v>5.31</v>
      </c>
      <c r="F1278" s="149">
        <v>2.88</v>
      </c>
      <c r="G1278" s="149">
        <v>22.66</v>
      </c>
      <c r="H1278" s="149">
        <v>2.73</v>
      </c>
      <c r="I1278" s="150">
        <v>33.58</v>
      </c>
    </row>
    <row r="1279" spans="1:9" ht="15.6" x14ac:dyDescent="0.25">
      <c r="A1279" s="145"/>
      <c r="B1279" s="146">
        <v>4737434</v>
      </c>
      <c r="C1279" s="147"/>
      <c r="D1279" s="148" t="s">
        <v>764</v>
      </c>
      <c r="E1279" s="149">
        <v>5.31</v>
      </c>
      <c r="F1279" s="149">
        <v>2.88</v>
      </c>
      <c r="G1279" s="149">
        <v>0</v>
      </c>
      <c r="H1279" s="149">
        <v>2.73</v>
      </c>
      <c r="I1279" s="150">
        <v>10.92</v>
      </c>
    </row>
    <row r="1280" spans="1:9" ht="15.6" x14ac:dyDescent="0.25">
      <c r="A1280" s="145"/>
      <c r="B1280" s="146">
        <v>4738990</v>
      </c>
      <c r="C1280" s="147"/>
      <c r="D1280" s="148" t="s">
        <v>855</v>
      </c>
      <c r="E1280" s="149">
        <v>5.31</v>
      </c>
      <c r="F1280" s="149">
        <v>2.88</v>
      </c>
      <c r="G1280" s="149">
        <v>0</v>
      </c>
      <c r="H1280" s="149">
        <v>2.73</v>
      </c>
      <c r="I1280" s="150">
        <v>10.92</v>
      </c>
    </row>
    <row r="1281" spans="1:9" ht="15.6" x14ac:dyDescent="0.25">
      <c r="A1281" s="145"/>
      <c r="B1281" s="146">
        <v>4750995</v>
      </c>
      <c r="C1281" s="147"/>
      <c r="D1281" s="148" t="s">
        <v>789</v>
      </c>
      <c r="E1281" s="149">
        <v>5.31</v>
      </c>
      <c r="F1281" s="149">
        <v>2.88</v>
      </c>
      <c r="G1281" s="149">
        <v>24.03</v>
      </c>
      <c r="H1281" s="149">
        <v>2.73</v>
      </c>
      <c r="I1281" s="150">
        <v>34.949999999999996</v>
      </c>
    </row>
    <row r="1282" spans="1:9" ht="15.6" x14ac:dyDescent="0.25">
      <c r="A1282" s="145"/>
      <c r="B1282" s="146">
        <v>4752099</v>
      </c>
      <c r="C1282" s="147"/>
      <c r="D1282" s="148" t="s">
        <v>918</v>
      </c>
      <c r="E1282" s="149">
        <v>5.31</v>
      </c>
      <c r="F1282" s="149">
        <v>2.88</v>
      </c>
      <c r="G1282" s="149">
        <v>0</v>
      </c>
      <c r="H1282" s="149">
        <v>0</v>
      </c>
      <c r="I1282" s="150">
        <v>8.19</v>
      </c>
    </row>
    <row r="1283" spans="1:9" ht="15.6" x14ac:dyDescent="0.25">
      <c r="A1283" s="145"/>
      <c r="B1283" s="146">
        <v>4753011</v>
      </c>
      <c r="C1283" s="147"/>
      <c r="D1283" s="148" t="s">
        <v>780</v>
      </c>
      <c r="E1283" s="149">
        <v>5.31</v>
      </c>
      <c r="F1283" s="149">
        <v>2.88</v>
      </c>
      <c r="G1283" s="149">
        <v>36.39</v>
      </c>
      <c r="H1283" s="149">
        <v>2.73</v>
      </c>
      <c r="I1283" s="150">
        <v>47.309999999999995</v>
      </c>
    </row>
    <row r="1284" spans="1:9" ht="15.6" x14ac:dyDescent="0.25">
      <c r="A1284" s="145"/>
      <c r="B1284" s="146">
        <v>4754665</v>
      </c>
      <c r="C1284" s="147"/>
      <c r="D1284" s="148" t="s">
        <v>799</v>
      </c>
      <c r="E1284" s="149">
        <v>0</v>
      </c>
      <c r="F1284" s="149">
        <v>0</v>
      </c>
      <c r="G1284" s="149">
        <v>0</v>
      </c>
      <c r="H1284" s="149">
        <v>0</v>
      </c>
      <c r="I1284" s="150">
        <v>0</v>
      </c>
    </row>
    <row r="1285" spans="1:9" ht="15.6" x14ac:dyDescent="0.25">
      <c r="A1285" s="145"/>
      <c r="B1285" s="146">
        <v>4761995</v>
      </c>
      <c r="C1285" s="147"/>
      <c r="D1285" s="148" t="s">
        <v>790</v>
      </c>
      <c r="E1285" s="149">
        <v>5.31</v>
      </c>
      <c r="F1285" s="149">
        <v>2.88</v>
      </c>
      <c r="G1285" s="149">
        <v>24.03</v>
      </c>
      <c r="H1285" s="149">
        <v>2.73</v>
      </c>
      <c r="I1285" s="150">
        <v>34.949999999999996</v>
      </c>
    </row>
    <row r="1286" spans="1:9" ht="15.6" x14ac:dyDescent="0.25">
      <c r="A1286" s="145"/>
      <c r="B1286" s="146">
        <v>4772395</v>
      </c>
      <c r="C1286" s="147"/>
      <c r="D1286" s="148" t="s">
        <v>893</v>
      </c>
      <c r="E1286" s="149">
        <v>5.31</v>
      </c>
      <c r="F1286" s="149">
        <v>2.88</v>
      </c>
      <c r="G1286" s="149">
        <v>0</v>
      </c>
      <c r="H1286" s="149">
        <v>2.73</v>
      </c>
      <c r="I1286" s="150">
        <v>10.92</v>
      </c>
    </row>
    <row r="1287" spans="1:9" ht="15.6" x14ac:dyDescent="0.25">
      <c r="A1287" s="145"/>
      <c r="B1287" s="146">
        <v>4774069</v>
      </c>
      <c r="C1287" s="147"/>
      <c r="D1287" s="148" t="s">
        <v>751</v>
      </c>
      <c r="E1287" s="149">
        <v>0</v>
      </c>
      <c r="F1287" s="149">
        <v>0</v>
      </c>
      <c r="G1287" s="149">
        <v>0</v>
      </c>
      <c r="H1287" s="149">
        <v>0</v>
      </c>
      <c r="I1287" s="150">
        <v>0</v>
      </c>
    </row>
    <row r="1288" spans="1:9" ht="15.6" x14ac:dyDescent="0.25">
      <c r="A1288" s="145"/>
      <c r="B1288" s="146">
        <v>4778686</v>
      </c>
      <c r="C1288" s="147"/>
      <c r="D1288" s="148" t="s">
        <v>815</v>
      </c>
      <c r="E1288" s="149">
        <v>0</v>
      </c>
      <c r="F1288" s="149">
        <v>0</v>
      </c>
      <c r="G1288" s="149">
        <v>0</v>
      </c>
      <c r="H1288" s="149">
        <v>0</v>
      </c>
      <c r="I1288" s="150">
        <v>0</v>
      </c>
    </row>
    <row r="1289" spans="1:9" ht="15.6" x14ac:dyDescent="0.25">
      <c r="A1289" s="145"/>
      <c r="B1289" s="146">
        <v>4779832</v>
      </c>
      <c r="C1289" s="147"/>
      <c r="D1289" s="148" t="s">
        <v>844</v>
      </c>
      <c r="E1289" s="149">
        <v>5.31</v>
      </c>
      <c r="F1289" s="149">
        <v>2.88</v>
      </c>
      <c r="G1289" s="149">
        <v>0</v>
      </c>
      <c r="H1289" s="149">
        <v>2.73</v>
      </c>
      <c r="I1289" s="150">
        <v>10.92</v>
      </c>
    </row>
    <row r="1290" spans="1:9" ht="15.6" x14ac:dyDescent="0.25">
      <c r="A1290" s="145"/>
      <c r="B1290" s="146">
        <v>4785023</v>
      </c>
      <c r="C1290" s="147"/>
      <c r="D1290" s="148" t="s">
        <v>858</v>
      </c>
      <c r="E1290" s="149">
        <v>0</v>
      </c>
      <c r="F1290" s="149">
        <v>0</v>
      </c>
      <c r="G1290" s="149">
        <v>0</v>
      </c>
      <c r="H1290" s="149">
        <v>2.73</v>
      </c>
      <c r="I1290" s="150">
        <v>2.73</v>
      </c>
    </row>
    <row r="1291" spans="1:9" ht="15.6" x14ac:dyDescent="0.25">
      <c r="A1291" s="145"/>
      <c r="B1291" s="146">
        <v>4785101</v>
      </c>
      <c r="C1291" s="147"/>
      <c r="D1291" s="148" t="s">
        <v>816</v>
      </c>
      <c r="E1291" s="149">
        <v>5.31</v>
      </c>
      <c r="F1291" s="149">
        <v>2.88</v>
      </c>
      <c r="G1291" s="149">
        <v>0</v>
      </c>
      <c r="H1291" s="149">
        <v>2.73</v>
      </c>
      <c r="I1291" s="150">
        <v>10.92</v>
      </c>
    </row>
    <row r="1292" spans="1:9" ht="15.6" x14ac:dyDescent="0.25">
      <c r="A1292" s="145"/>
      <c r="B1292" s="146">
        <v>4789418</v>
      </c>
      <c r="C1292" s="147"/>
      <c r="D1292" s="148" t="s">
        <v>815</v>
      </c>
      <c r="E1292" s="149">
        <v>0</v>
      </c>
      <c r="F1292" s="149">
        <v>0</v>
      </c>
      <c r="G1292" s="149">
        <v>0</v>
      </c>
      <c r="H1292" s="149">
        <v>0</v>
      </c>
      <c r="I1292" s="150">
        <v>0</v>
      </c>
    </row>
    <row r="1293" spans="1:9" ht="15.6" x14ac:dyDescent="0.25">
      <c r="A1293" s="145"/>
      <c r="B1293" s="146">
        <v>4796234</v>
      </c>
      <c r="C1293" s="147"/>
      <c r="D1293" s="148" t="s">
        <v>868</v>
      </c>
      <c r="E1293" s="149">
        <v>5.31</v>
      </c>
      <c r="F1293" s="149">
        <v>2.88</v>
      </c>
      <c r="G1293" s="149">
        <v>0</v>
      </c>
      <c r="H1293" s="149">
        <v>2.73</v>
      </c>
      <c r="I1293" s="150">
        <v>10.92</v>
      </c>
    </row>
    <row r="1294" spans="1:9" ht="15.6" x14ac:dyDescent="0.25">
      <c r="A1294" s="145"/>
      <c r="B1294" s="146">
        <v>4797693</v>
      </c>
      <c r="C1294" s="147"/>
      <c r="D1294" s="148" t="s">
        <v>769</v>
      </c>
      <c r="E1294" s="149">
        <v>0</v>
      </c>
      <c r="F1294" s="149">
        <v>0</v>
      </c>
      <c r="G1294" s="149">
        <v>0</v>
      </c>
      <c r="H1294" s="149">
        <v>0</v>
      </c>
      <c r="I1294" s="150">
        <v>0</v>
      </c>
    </row>
    <row r="1295" spans="1:9" ht="15.6" x14ac:dyDescent="0.25">
      <c r="A1295" s="145"/>
      <c r="B1295" s="146">
        <v>4799460</v>
      </c>
      <c r="C1295" s="147"/>
      <c r="D1295" s="148" t="s">
        <v>801</v>
      </c>
      <c r="E1295" s="149">
        <v>0</v>
      </c>
      <c r="F1295" s="149">
        <v>0</v>
      </c>
      <c r="G1295" s="149">
        <v>0</v>
      </c>
      <c r="H1295" s="149">
        <v>0</v>
      </c>
      <c r="I1295" s="150">
        <v>0</v>
      </c>
    </row>
    <row r="1296" spans="1:9" ht="15.6" x14ac:dyDescent="0.25">
      <c r="A1296" s="145"/>
      <c r="B1296" s="146">
        <v>4804311</v>
      </c>
      <c r="C1296" s="147"/>
      <c r="D1296" s="148" t="s">
        <v>898</v>
      </c>
      <c r="E1296" s="149">
        <v>5.31</v>
      </c>
      <c r="F1296" s="149">
        <v>2.88</v>
      </c>
      <c r="G1296" s="149">
        <v>0</v>
      </c>
      <c r="H1296" s="149">
        <v>2.73</v>
      </c>
      <c r="I1296" s="150">
        <v>10.92</v>
      </c>
    </row>
    <row r="1297" spans="1:9" ht="15.6" x14ac:dyDescent="0.25">
      <c r="A1297" s="145"/>
      <c r="B1297" s="146">
        <v>4804713</v>
      </c>
      <c r="C1297" s="147"/>
      <c r="D1297" s="148" t="s">
        <v>851</v>
      </c>
      <c r="E1297" s="149">
        <v>5.31</v>
      </c>
      <c r="F1297" s="149">
        <v>2.88</v>
      </c>
      <c r="G1297" s="149">
        <v>22.66</v>
      </c>
      <c r="H1297" s="149">
        <v>2.73</v>
      </c>
      <c r="I1297" s="150">
        <v>33.58</v>
      </c>
    </row>
    <row r="1298" spans="1:9" ht="15.6" x14ac:dyDescent="0.25">
      <c r="A1298" s="145"/>
      <c r="B1298" s="146">
        <v>4806651</v>
      </c>
      <c r="C1298" s="147"/>
      <c r="D1298" s="148" t="s">
        <v>777</v>
      </c>
      <c r="E1298" s="149">
        <v>5.31</v>
      </c>
      <c r="F1298" s="149">
        <v>2.88</v>
      </c>
      <c r="G1298" s="149">
        <v>0</v>
      </c>
      <c r="H1298" s="149">
        <v>2.73</v>
      </c>
      <c r="I1298" s="150">
        <v>10.92</v>
      </c>
    </row>
    <row r="1299" spans="1:9" ht="15.6" x14ac:dyDescent="0.25">
      <c r="A1299" s="145"/>
      <c r="B1299" s="146">
        <v>4808916</v>
      </c>
      <c r="C1299" s="147"/>
      <c r="D1299" s="148" t="s">
        <v>868</v>
      </c>
      <c r="E1299" s="149">
        <v>5.31</v>
      </c>
      <c r="F1299" s="149">
        <v>2.88</v>
      </c>
      <c r="G1299" s="149">
        <v>0</v>
      </c>
      <c r="H1299" s="149">
        <v>2.73</v>
      </c>
      <c r="I1299" s="150">
        <v>10.92</v>
      </c>
    </row>
    <row r="1300" spans="1:9" ht="15.6" x14ac:dyDescent="0.25">
      <c r="A1300" s="145"/>
      <c r="B1300" s="146">
        <v>4815449</v>
      </c>
      <c r="C1300" s="147"/>
      <c r="D1300" s="148" t="s">
        <v>851</v>
      </c>
      <c r="E1300" s="149">
        <v>5.31</v>
      </c>
      <c r="F1300" s="149">
        <v>2.88</v>
      </c>
      <c r="G1300" s="149">
        <v>22.66</v>
      </c>
      <c r="H1300" s="149">
        <v>2.73</v>
      </c>
      <c r="I1300" s="150">
        <v>33.58</v>
      </c>
    </row>
    <row r="1301" spans="1:9" ht="15.6" x14ac:dyDescent="0.25">
      <c r="A1301" s="145"/>
      <c r="B1301" s="146">
        <v>4816712</v>
      </c>
      <c r="C1301" s="147"/>
      <c r="D1301" s="148" t="s">
        <v>828</v>
      </c>
      <c r="E1301" s="149">
        <v>5.31</v>
      </c>
      <c r="F1301" s="149">
        <v>2.88</v>
      </c>
      <c r="G1301" s="149">
        <v>0</v>
      </c>
      <c r="H1301" s="149">
        <v>2.73</v>
      </c>
      <c r="I1301" s="150">
        <v>10.92</v>
      </c>
    </row>
    <row r="1302" spans="1:9" ht="15.6" x14ac:dyDescent="0.25">
      <c r="A1302" s="145"/>
      <c r="B1302" s="146">
        <v>4820015</v>
      </c>
      <c r="C1302" s="147"/>
      <c r="D1302" s="148" t="s">
        <v>899</v>
      </c>
      <c r="E1302" s="149">
        <v>0</v>
      </c>
      <c r="F1302" s="149">
        <v>2.88</v>
      </c>
      <c r="G1302" s="149">
        <v>0</v>
      </c>
      <c r="H1302" s="149">
        <v>2.73</v>
      </c>
      <c r="I1302" s="150">
        <v>5.6099999999999994</v>
      </c>
    </row>
    <row r="1303" spans="1:9" ht="15.6" x14ac:dyDescent="0.25">
      <c r="A1303" s="145"/>
      <c r="B1303" s="146">
        <v>4821321</v>
      </c>
      <c r="C1303" s="147"/>
      <c r="D1303" s="148" t="s">
        <v>967</v>
      </c>
      <c r="E1303" s="149">
        <v>5.31</v>
      </c>
      <c r="F1303" s="149">
        <v>2.88</v>
      </c>
      <c r="G1303" s="149">
        <v>0</v>
      </c>
      <c r="H1303" s="149">
        <v>2.73</v>
      </c>
      <c r="I1303" s="150">
        <v>10.92</v>
      </c>
    </row>
    <row r="1304" spans="1:9" ht="15.6" x14ac:dyDescent="0.25">
      <c r="A1304" s="145"/>
      <c r="B1304" s="146">
        <v>4824333</v>
      </c>
      <c r="C1304" s="147"/>
      <c r="D1304" s="148" t="s">
        <v>888</v>
      </c>
      <c r="E1304" s="149">
        <v>0</v>
      </c>
      <c r="F1304" s="149">
        <v>0</v>
      </c>
      <c r="G1304" s="149">
        <v>0</v>
      </c>
      <c r="H1304" s="149">
        <v>0</v>
      </c>
      <c r="I1304" s="150">
        <v>0</v>
      </c>
    </row>
    <row r="1305" spans="1:9" ht="15.6" x14ac:dyDescent="0.25">
      <c r="A1305" s="145"/>
      <c r="B1305" s="146">
        <v>4829686</v>
      </c>
      <c r="C1305" s="147"/>
      <c r="D1305" s="148" t="s">
        <v>764</v>
      </c>
      <c r="E1305" s="149">
        <v>5.31</v>
      </c>
      <c r="F1305" s="149">
        <v>2.88</v>
      </c>
      <c r="G1305" s="149">
        <v>0</v>
      </c>
      <c r="H1305" s="149">
        <v>2.73</v>
      </c>
      <c r="I1305" s="150">
        <v>10.92</v>
      </c>
    </row>
    <row r="1306" spans="1:9" ht="15.6" x14ac:dyDescent="0.25">
      <c r="A1306" s="145"/>
      <c r="B1306" s="146">
        <v>4839274</v>
      </c>
      <c r="C1306" s="147"/>
      <c r="D1306" s="148" t="s">
        <v>886</v>
      </c>
      <c r="E1306" s="149">
        <v>5.31</v>
      </c>
      <c r="F1306" s="149">
        <v>2.88</v>
      </c>
      <c r="G1306" s="149">
        <v>0</v>
      </c>
      <c r="H1306" s="149">
        <v>2.73</v>
      </c>
      <c r="I1306" s="150">
        <v>10.92</v>
      </c>
    </row>
    <row r="1307" spans="1:9" ht="15.6" x14ac:dyDescent="0.25">
      <c r="A1307" s="145"/>
      <c r="B1307" s="146">
        <v>4842214</v>
      </c>
      <c r="C1307" s="147"/>
      <c r="D1307" s="148" t="s">
        <v>797</v>
      </c>
      <c r="E1307" s="149">
        <v>0</v>
      </c>
      <c r="F1307" s="149">
        <v>0</v>
      </c>
      <c r="G1307" s="149">
        <v>0</v>
      </c>
      <c r="H1307" s="149">
        <v>0</v>
      </c>
      <c r="I1307" s="150">
        <v>0</v>
      </c>
    </row>
    <row r="1308" spans="1:9" ht="15.6" x14ac:dyDescent="0.25">
      <c r="A1308" s="145"/>
      <c r="B1308" s="146">
        <v>4852875</v>
      </c>
      <c r="C1308" s="147"/>
      <c r="D1308" s="148" t="s">
        <v>867</v>
      </c>
      <c r="E1308" s="149">
        <v>5.31</v>
      </c>
      <c r="F1308" s="149">
        <v>2.88</v>
      </c>
      <c r="G1308" s="149">
        <v>0</v>
      </c>
      <c r="H1308" s="149">
        <v>2.73</v>
      </c>
      <c r="I1308" s="150">
        <v>10.92</v>
      </c>
    </row>
    <row r="1309" spans="1:9" ht="15.6" x14ac:dyDescent="0.25">
      <c r="A1309" s="145"/>
      <c r="B1309" s="146">
        <v>4853408</v>
      </c>
      <c r="C1309" s="147"/>
      <c r="D1309" s="148" t="s">
        <v>931</v>
      </c>
      <c r="E1309" s="149">
        <v>5.31</v>
      </c>
      <c r="F1309" s="149">
        <v>2.88</v>
      </c>
      <c r="G1309" s="149">
        <v>0</v>
      </c>
      <c r="H1309" s="149">
        <v>2.73</v>
      </c>
      <c r="I1309" s="150">
        <v>10.92</v>
      </c>
    </row>
    <row r="1310" spans="1:9" ht="15.6" x14ac:dyDescent="0.25">
      <c r="A1310" s="145"/>
      <c r="B1310" s="146">
        <v>4854476</v>
      </c>
      <c r="C1310" s="147"/>
      <c r="D1310" s="148" t="s">
        <v>779</v>
      </c>
      <c r="E1310" s="149">
        <v>5.31</v>
      </c>
      <c r="F1310" s="149">
        <v>2.88</v>
      </c>
      <c r="G1310" s="149">
        <v>0</v>
      </c>
      <c r="H1310" s="149">
        <v>2.73</v>
      </c>
      <c r="I1310" s="150">
        <v>10.92</v>
      </c>
    </row>
    <row r="1311" spans="1:9" ht="15.6" x14ac:dyDescent="0.25">
      <c r="A1311" s="145"/>
      <c r="B1311" s="146">
        <v>4866055</v>
      </c>
      <c r="C1311" s="147"/>
      <c r="D1311" s="148" t="s">
        <v>925</v>
      </c>
      <c r="E1311" s="149">
        <v>5.31</v>
      </c>
      <c r="F1311" s="149">
        <v>2.88</v>
      </c>
      <c r="G1311" s="149">
        <v>0</v>
      </c>
      <c r="H1311" s="149">
        <v>0</v>
      </c>
      <c r="I1311" s="150">
        <v>8.19</v>
      </c>
    </row>
    <row r="1312" spans="1:9" ht="15.6" x14ac:dyDescent="0.25">
      <c r="A1312" s="145"/>
      <c r="B1312" s="146">
        <v>4868879</v>
      </c>
      <c r="C1312" s="147"/>
      <c r="D1312" s="148" t="s">
        <v>868</v>
      </c>
      <c r="E1312" s="149">
        <v>5.31</v>
      </c>
      <c r="F1312" s="149">
        <v>2.88</v>
      </c>
      <c r="G1312" s="149">
        <v>0</v>
      </c>
      <c r="H1312" s="149">
        <v>2.73</v>
      </c>
      <c r="I1312" s="150">
        <v>10.92</v>
      </c>
    </row>
    <row r="1313" spans="1:9" ht="15.6" x14ac:dyDescent="0.25">
      <c r="A1313" s="145"/>
      <c r="B1313" s="146">
        <v>4878866</v>
      </c>
      <c r="C1313" s="147"/>
      <c r="D1313" s="148" t="s">
        <v>911</v>
      </c>
      <c r="E1313" s="149">
        <v>5.31</v>
      </c>
      <c r="F1313" s="149">
        <v>0</v>
      </c>
      <c r="G1313" s="149">
        <v>0</v>
      </c>
      <c r="H1313" s="149">
        <v>2.73</v>
      </c>
      <c r="I1313" s="150">
        <v>8.0399999999999991</v>
      </c>
    </row>
    <row r="1314" spans="1:9" ht="15.6" x14ac:dyDescent="0.25">
      <c r="A1314" s="145"/>
      <c r="B1314" s="146">
        <v>4890213</v>
      </c>
      <c r="C1314" s="147"/>
      <c r="D1314" s="148" t="s">
        <v>835</v>
      </c>
      <c r="E1314" s="149">
        <v>5.31</v>
      </c>
      <c r="F1314" s="149">
        <v>2.88</v>
      </c>
      <c r="G1314" s="149">
        <v>0</v>
      </c>
      <c r="H1314" s="149">
        <v>2.73</v>
      </c>
      <c r="I1314" s="150">
        <v>10.92</v>
      </c>
    </row>
    <row r="1315" spans="1:9" ht="15.6" x14ac:dyDescent="0.25">
      <c r="A1315" s="145"/>
      <c r="B1315" s="146">
        <v>4898148</v>
      </c>
      <c r="C1315" s="147"/>
      <c r="D1315" s="148" t="s">
        <v>859</v>
      </c>
      <c r="E1315" s="149">
        <v>5.31</v>
      </c>
      <c r="F1315" s="149">
        <v>2.88</v>
      </c>
      <c r="G1315" s="149">
        <v>0</v>
      </c>
      <c r="H1315" s="149">
        <v>2.73</v>
      </c>
      <c r="I1315" s="150">
        <v>10.92</v>
      </c>
    </row>
    <row r="1316" spans="1:9" ht="15.6" x14ac:dyDescent="0.25">
      <c r="A1316" s="145"/>
      <c r="B1316" s="146">
        <v>4899214</v>
      </c>
      <c r="C1316" s="147"/>
      <c r="D1316" s="148" t="s">
        <v>743</v>
      </c>
      <c r="E1316" s="149">
        <v>0</v>
      </c>
      <c r="F1316" s="149">
        <v>0</v>
      </c>
      <c r="G1316" s="149">
        <v>0</v>
      </c>
      <c r="H1316" s="149">
        <v>0</v>
      </c>
      <c r="I1316" s="150">
        <v>0</v>
      </c>
    </row>
    <row r="1317" spans="1:9" ht="15.6" x14ac:dyDescent="0.25">
      <c r="A1317" s="145"/>
      <c r="B1317" s="146">
        <v>4903041</v>
      </c>
      <c r="C1317" s="147"/>
      <c r="D1317" s="148" t="s">
        <v>921</v>
      </c>
      <c r="E1317" s="149">
        <v>5.31</v>
      </c>
      <c r="F1317" s="149">
        <v>2.88</v>
      </c>
      <c r="G1317" s="149">
        <v>0</v>
      </c>
      <c r="H1317" s="149">
        <v>2.73</v>
      </c>
      <c r="I1317" s="150">
        <v>10.92</v>
      </c>
    </row>
    <row r="1318" spans="1:9" ht="15.6" x14ac:dyDescent="0.25">
      <c r="A1318" s="145"/>
      <c r="B1318" s="146">
        <v>4906173</v>
      </c>
      <c r="C1318" s="147"/>
      <c r="D1318" s="148" t="s">
        <v>851</v>
      </c>
      <c r="E1318" s="149">
        <v>5.31</v>
      </c>
      <c r="F1318" s="149">
        <v>2.88</v>
      </c>
      <c r="G1318" s="149">
        <v>22.66</v>
      </c>
      <c r="H1318" s="149">
        <v>2.73</v>
      </c>
      <c r="I1318" s="150">
        <v>33.58</v>
      </c>
    </row>
    <row r="1319" spans="1:9" ht="15.6" x14ac:dyDescent="0.25">
      <c r="A1319" s="145"/>
      <c r="B1319" s="146">
        <v>4908841</v>
      </c>
      <c r="C1319" s="147"/>
      <c r="D1319" s="148" t="s">
        <v>739</v>
      </c>
      <c r="E1319" s="149">
        <v>5.31</v>
      </c>
      <c r="F1319" s="149">
        <v>2.88</v>
      </c>
      <c r="G1319" s="149">
        <v>0</v>
      </c>
      <c r="H1319" s="149">
        <v>2.73</v>
      </c>
      <c r="I1319" s="150">
        <v>10.92</v>
      </c>
    </row>
    <row r="1320" spans="1:9" ht="15.6" x14ac:dyDescent="0.25">
      <c r="A1320" s="145"/>
      <c r="B1320" s="146">
        <v>4909802</v>
      </c>
      <c r="C1320" s="147"/>
      <c r="D1320" s="148" t="s">
        <v>771</v>
      </c>
      <c r="E1320" s="149">
        <v>5.31</v>
      </c>
      <c r="F1320" s="149">
        <v>2.88</v>
      </c>
      <c r="G1320" s="149">
        <v>0</v>
      </c>
      <c r="H1320" s="149">
        <v>2.73</v>
      </c>
      <c r="I1320" s="150">
        <v>10.92</v>
      </c>
    </row>
    <row r="1321" spans="1:9" ht="15.6" x14ac:dyDescent="0.25">
      <c r="A1321" s="145"/>
      <c r="B1321" s="146">
        <v>4913688</v>
      </c>
      <c r="C1321" s="147"/>
      <c r="D1321" s="148" t="s">
        <v>851</v>
      </c>
      <c r="E1321" s="149">
        <v>5.31</v>
      </c>
      <c r="F1321" s="149">
        <v>2.88</v>
      </c>
      <c r="G1321" s="149">
        <v>22.66</v>
      </c>
      <c r="H1321" s="149">
        <v>2.73</v>
      </c>
      <c r="I1321" s="150">
        <v>33.58</v>
      </c>
    </row>
    <row r="1322" spans="1:9" ht="15.6" x14ac:dyDescent="0.25">
      <c r="A1322" s="145"/>
      <c r="B1322" s="146">
        <v>4918423</v>
      </c>
      <c r="C1322" s="147"/>
      <c r="D1322" s="148" t="s">
        <v>868</v>
      </c>
      <c r="E1322" s="149">
        <v>5.31</v>
      </c>
      <c r="F1322" s="149">
        <v>2.88</v>
      </c>
      <c r="G1322" s="149">
        <v>0</v>
      </c>
      <c r="H1322" s="149">
        <v>2.73</v>
      </c>
      <c r="I1322" s="150">
        <v>10.92</v>
      </c>
    </row>
    <row r="1323" spans="1:9" ht="15.6" x14ac:dyDescent="0.25">
      <c r="A1323" s="145"/>
      <c r="B1323" s="146">
        <v>4921950</v>
      </c>
      <c r="C1323" s="147"/>
      <c r="D1323" s="148" t="s">
        <v>878</v>
      </c>
      <c r="E1323" s="149">
        <v>5.31</v>
      </c>
      <c r="F1323" s="149">
        <v>2.88</v>
      </c>
      <c r="G1323" s="149">
        <v>0</v>
      </c>
      <c r="H1323" s="149">
        <v>2.73</v>
      </c>
      <c r="I1323" s="150">
        <v>10.92</v>
      </c>
    </row>
    <row r="1324" spans="1:9" ht="15.6" x14ac:dyDescent="0.25">
      <c r="A1324" s="145"/>
      <c r="B1324" s="146">
        <v>4922956</v>
      </c>
      <c r="C1324" s="147"/>
      <c r="D1324" s="148" t="s">
        <v>868</v>
      </c>
      <c r="E1324" s="149">
        <v>5.31</v>
      </c>
      <c r="F1324" s="149">
        <v>2.88</v>
      </c>
      <c r="G1324" s="149">
        <v>0</v>
      </c>
      <c r="H1324" s="149">
        <v>2.73</v>
      </c>
      <c r="I1324" s="150">
        <v>10.92</v>
      </c>
    </row>
    <row r="1325" spans="1:9" ht="15.6" x14ac:dyDescent="0.25">
      <c r="A1325" s="145"/>
      <c r="B1325" s="146">
        <v>4931993</v>
      </c>
      <c r="C1325" s="147"/>
      <c r="D1325" s="148" t="s">
        <v>915</v>
      </c>
      <c r="E1325" s="149">
        <v>5.31</v>
      </c>
      <c r="F1325" s="149">
        <v>2.88</v>
      </c>
      <c r="G1325" s="149">
        <v>0</v>
      </c>
      <c r="H1325" s="149">
        <v>2.73</v>
      </c>
      <c r="I1325" s="150">
        <v>10.92</v>
      </c>
    </row>
    <row r="1326" spans="1:9" ht="15.6" x14ac:dyDescent="0.25">
      <c r="A1326" s="145"/>
      <c r="B1326" s="146">
        <v>4940008</v>
      </c>
      <c r="C1326" s="147"/>
      <c r="D1326" s="148" t="s">
        <v>821</v>
      </c>
      <c r="E1326" s="149">
        <v>5.31</v>
      </c>
      <c r="F1326" s="149">
        <v>2.88</v>
      </c>
      <c r="G1326" s="149">
        <v>0</v>
      </c>
      <c r="H1326" s="149">
        <v>2.73</v>
      </c>
      <c r="I1326" s="150">
        <v>10.92</v>
      </c>
    </row>
    <row r="1327" spans="1:9" ht="15.6" x14ac:dyDescent="0.25">
      <c r="A1327" s="145"/>
      <c r="B1327" s="146">
        <v>4940023</v>
      </c>
      <c r="C1327" s="147"/>
      <c r="D1327" s="148" t="s">
        <v>780</v>
      </c>
      <c r="E1327" s="149">
        <v>5.31</v>
      </c>
      <c r="F1327" s="149">
        <v>2.88</v>
      </c>
      <c r="G1327" s="149">
        <v>0</v>
      </c>
      <c r="H1327" s="149">
        <v>2.73</v>
      </c>
      <c r="I1327" s="150">
        <v>10.92</v>
      </c>
    </row>
    <row r="1328" spans="1:9" ht="15.6" x14ac:dyDescent="0.25">
      <c r="A1328" s="145"/>
      <c r="B1328" s="146">
        <v>4940046</v>
      </c>
      <c r="C1328" s="147"/>
      <c r="D1328" s="148" t="s">
        <v>907</v>
      </c>
      <c r="E1328" s="149">
        <v>0</v>
      </c>
      <c r="F1328" s="149">
        <v>0</v>
      </c>
      <c r="G1328" s="149">
        <v>0</v>
      </c>
      <c r="H1328" s="149">
        <v>0</v>
      </c>
      <c r="I1328" s="150">
        <v>0</v>
      </c>
    </row>
    <row r="1329" spans="1:9" ht="15.6" x14ac:dyDescent="0.25">
      <c r="A1329" s="145"/>
      <c r="B1329" s="146">
        <v>4955849</v>
      </c>
      <c r="C1329" s="147"/>
      <c r="D1329" s="148" t="s">
        <v>832</v>
      </c>
      <c r="E1329" s="149">
        <v>5.31</v>
      </c>
      <c r="F1329" s="149">
        <v>2.88</v>
      </c>
      <c r="G1329" s="149">
        <v>0</v>
      </c>
      <c r="H1329" s="149">
        <v>2.73</v>
      </c>
      <c r="I1329" s="150">
        <v>10.92</v>
      </c>
    </row>
    <row r="1330" spans="1:9" ht="15.6" x14ac:dyDescent="0.25">
      <c r="A1330" s="145"/>
      <c r="B1330" s="146">
        <v>4957574</v>
      </c>
      <c r="C1330" s="147"/>
      <c r="D1330" s="148" t="s">
        <v>851</v>
      </c>
      <c r="E1330" s="149">
        <v>5.31</v>
      </c>
      <c r="F1330" s="149">
        <v>2.88</v>
      </c>
      <c r="G1330" s="149">
        <v>22.66</v>
      </c>
      <c r="H1330" s="149">
        <v>2.73</v>
      </c>
      <c r="I1330" s="150">
        <v>33.58</v>
      </c>
    </row>
    <row r="1331" spans="1:9" ht="15.6" x14ac:dyDescent="0.25">
      <c r="A1331" s="145"/>
      <c r="B1331" s="146">
        <v>4961594</v>
      </c>
      <c r="C1331" s="147"/>
      <c r="D1331" s="148" t="s">
        <v>868</v>
      </c>
      <c r="E1331" s="149">
        <v>5.31</v>
      </c>
      <c r="F1331" s="149">
        <v>2.88</v>
      </c>
      <c r="G1331" s="149">
        <v>0</v>
      </c>
      <c r="H1331" s="149">
        <v>2.73</v>
      </c>
      <c r="I1331" s="150">
        <v>10.92</v>
      </c>
    </row>
    <row r="1332" spans="1:9" ht="15.6" x14ac:dyDescent="0.25">
      <c r="A1332" s="145"/>
      <c r="B1332" s="146">
        <v>4965839</v>
      </c>
      <c r="C1332" s="147"/>
      <c r="D1332" s="148" t="s">
        <v>897</v>
      </c>
      <c r="E1332" s="149">
        <v>5.31</v>
      </c>
      <c r="F1332" s="149">
        <v>2.88</v>
      </c>
      <c r="G1332" s="149">
        <v>0</v>
      </c>
      <c r="H1332" s="149">
        <v>2.73</v>
      </c>
      <c r="I1332" s="150">
        <v>10.92</v>
      </c>
    </row>
    <row r="1333" spans="1:9" ht="15.6" x14ac:dyDescent="0.25">
      <c r="A1333" s="145"/>
      <c r="B1333" s="146">
        <v>4970341</v>
      </c>
      <c r="C1333" s="147"/>
      <c r="D1333" s="148" t="s">
        <v>862</v>
      </c>
      <c r="E1333" s="149">
        <v>5.31</v>
      </c>
      <c r="F1333" s="149">
        <v>2.88</v>
      </c>
      <c r="G1333" s="149">
        <v>0</v>
      </c>
      <c r="H1333" s="149">
        <v>2.73</v>
      </c>
      <c r="I1333" s="150">
        <v>10.92</v>
      </c>
    </row>
    <row r="1334" spans="1:9" ht="15.6" x14ac:dyDescent="0.25">
      <c r="A1334" s="145"/>
      <c r="B1334" s="146">
        <v>4971599</v>
      </c>
      <c r="C1334" s="147"/>
      <c r="D1334" s="148" t="s">
        <v>751</v>
      </c>
      <c r="E1334" s="149">
        <v>0</v>
      </c>
      <c r="F1334" s="149">
        <v>0</v>
      </c>
      <c r="G1334" s="149">
        <v>0</v>
      </c>
      <c r="H1334" s="149">
        <v>0</v>
      </c>
      <c r="I1334" s="150">
        <v>0</v>
      </c>
    </row>
    <row r="1335" spans="1:9" ht="15.6" x14ac:dyDescent="0.25">
      <c r="A1335" s="145"/>
      <c r="B1335" s="146">
        <v>4977544</v>
      </c>
      <c r="C1335" s="147"/>
      <c r="D1335" s="148" t="s">
        <v>786</v>
      </c>
      <c r="E1335" s="149">
        <v>0</v>
      </c>
      <c r="F1335" s="149">
        <v>0</v>
      </c>
      <c r="G1335" s="149">
        <v>0</v>
      </c>
      <c r="H1335" s="149">
        <v>0</v>
      </c>
      <c r="I1335" s="150">
        <v>0</v>
      </c>
    </row>
    <row r="1336" spans="1:9" ht="15.6" x14ac:dyDescent="0.25">
      <c r="A1336" s="145"/>
      <c r="B1336" s="146">
        <v>4988187</v>
      </c>
      <c r="C1336" s="147"/>
      <c r="D1336" s="148" t="s">
        <v>894</v>
      </c>
      <c r="E1336" s="149">
        <v>5.31</v>
      </c>
      <c r="F1336" s="149">
        <v>2.88</v>
      </c>
      <c r="G1336" s="149">
        <v>0</v>
      </c>
      <c r="H1336" s="149">
        <v>2.73</v>
      </c>
      <c r="I1336" s="150">
        <v>10.92</v>
      </c>
    </row>
    <row r="1337" spans="1:9" ht="15.6" x14ac:dyDescent="0.25">
      <c r="A1337" s="145"/>
      <c r="B1337" s="146">
        <v>4993318</v>
      </c>
      <c r="C1337" s="147"/>
      <c r="D1337" s="148" t="s">
        <v>875</v>
      </c>
      <c r="E1337" s="149">
        <v>5.31</v>
      </c>
      <c r="F1337" s="149">
        <v>2.88</v>
      </c>
      <c r="G1337" s="149">
        <v>0</v>
      </c>
      <c r="H1337" s="149">
        <v>0</v>
      </c>
      <c r="I1337" s="150">
        <v>8.19</v>
      </c>
    </row>
    <row r="1338" spans="1:9" ht="15.6" x14ac:dyDescent="0.25">
      <c r="A1338" s="145"/>
      <c r="B1338" s="146">
        <v>4996304</v>
      </c>
      <c r="C1338" s="147"/>
      <c r="D1338" s="148" t="s">
        <v>861</v>
      </c>
      <c r="E1338" s="149">
        <v>5.31</v>
      </c>
      <c r="F1338" s="149">
        <v>2.88</v>
      </c>
      <c r="G1338" s="149">
        <v>0</v>
      </c>
      <c r="H1338" s="149">
        <v>2.73</v>
      </c>
      <c r="I1338" s="150">
        <v>10.92</v>
      </c>
    </row>
    <row r="1339" spans="1:9" ht="15.6" x14ac:dyDescent="0.25">
      <c r="A1339" s="145"/>
      <c r="B1339" s="146">
        <v>4997597</v>
      </c>
      <c r="C1339" s="147"/>
      <c r="D1339" s="148" t="s">
        <v>856</v>
      </c>
      <c r="E1339" s="149">
        <v>5.31</v>
      </c>
      <c r="F1339" s="149">
        <v>2.88</v>
      </c>
      <c r="G1339" s="149">
        <v>0</v>
      </c>
      <c r="H1339" s="149">
        <v>2.73</v>
      </c>
      <c r="I1339" s="150">
        <v>10.92</v>
      </c>
    </row>
    <row r="1340" spans="1:9" ht="15.6" x14ac:dyDescent="0.25">
      <c r="A1340" s="145"/>
      <c r="B1340" s="146">
        <v>4999298</v>
      </c>
      <c r="C1340" s="147"/>
      <c r="D1340" s="148" t="s">
        <v>931</v>
      </c>
      <c r="E1340" s="149">
        <v>5.31</v>
      </c>
      <c r="F1340" s="149">
        <v>2.88</v>
      </c>
      <c r="G1340" s="149">
        <v>0</v>
      </c>
      <c r="H1340" s="149">
        <v>2.73</v>
      </c>
      <c r="I1340" s="150">
        <v>10.92</v>
      </c>
    </row>
    <row r="1341" spans="1:9" ht="15.6" x14ac:dyDescent="0.25">
      <c r="A1341" s="145"/>
      <c r="B1341" s="146">
        <v>4999883</v>
      </c>
      <c r="C1341" s="147"/>
      <c r="D1341" s="148" t="s">
        <v>790</v>
      </c>
      <c r="E1341" s="149">
        <v>5.31</v>
      </c>
      <c r="F1341" s="149">
        <v>2.88</v>
      </c>
      <c r="G1341" s="149">
        <v>18.260000000000002</v>
      </c>
      <c r="H1341" s="149">
        <v>2.73</v>
      </c>
      <c r="I1341" s="150">
        <v>29.180000000000003</v>
      </c>
    </row>
    <row r="1342" spans="1:9" ht="15.6" x14ac:dyDescent="0.25">
      <c r="A1342" s="145"/>
      <c r="B1342" s="146">
        <v>5002020</v>
      </c>
      <c r="C1342" s="147"/>
      <c r="D1342" s="148" t="s">
        <v>751</v>
      </c>
      <c r="E1342" s="149">
        <v>0</v>
      </c>
      <c r="F1342" s="149">
        <v>0</v>
      </c>
      <c r="G1342" s="149">
        <v>0</v>
      </c>
      <c r="H1342" s="149">
        <v>0</v>
      </c>
      <c r="I1342" s="150">
        <v>0</v>
      </c>
    </row>
    <row r="1343" spans="1:9" ht="15.6" x14ac:dyDescent="0.25">
      <c r="A1343" s="145"/>
      <c r="B1343" s="146">
        <v>5003892</v>
      </c>
      <c r="C1343" s="147"/>
      <c r="D1343" s="148" t="s">
        <v>868</v>
      </c>
      <c r="E1343" s="149">
        <v>5.31</v>
      </c>
      <c r="F1343" s="149">
        <v>2.88</v>
      </c>
      <c r="G1343" s="149">
        <v>0</v>
      </c>
      <c r="H1343" s="149">
        <v>2.73</v>
      </c>
      <c r="I1343" s="150">
        <v>10.92</v>
      </c>
    </row>
    <row r="1344" spans="1:9" ht="15.6" x14ac:dyDescent="0.25">
      <c r="A1344" s="145"/>
      <c r="B1344" s="146">
        <v>5006362</v>
      </c>
      <c r="C1344" s="147"/>
      <c r="D1344" s="148" t="s">
        <v>861</v>
      </c>
      <c r="E1344" s="149">
        <v>0</v>
      </c>
      <c r="F1344" s="149">
        <v>0</v>
      </c>
      <c r="G1344" s="149">
        <v>0</v>
      </c>
      <c r="H1344" s="149">
        <v>0</v>
      </c>
      <c r="I1344" s="150">
        <v>0</v>
      </c>
    </row>
    <row r="1345" spans="1:9" ht="15.6" x14ac:dyDescent="0.25">
      <c r="A1345" s="145"/>
      <c r="B1345" s="146">
        <v>5006525</v>
      </c>
      <c r="C1345" s="147"/>
      <c r="D1345" s="148" t="s">
        <v>883</v>
      </c>
      <c r="E1345" s="149">
        <v>5.31</v>
      </c>
      <c r="F1345" s="149">
        <v>2.88</v>
      </c>
      <c r="G1345" s="149">
        <v>0</v>
      </c>
      <c r="H1345" s="149">
        <v>2.73</v>
      </c>
      <c r="I1345" s="150">
        <v>10.92</v>
      </c>
    </row>
    <row r="1346" spans="1:9" ht="15.6" x14ac:dyDescent="0.25">
      <c r="A1346" s="145"/>
      <c r="B1346" s="146">
        <v>5008188</v>
      </c>
      <c r="C1346" s="147"/>
      <c r="D1346" s="148" t="s">
        <v>851</v>
      </c>
      <c r="E1346" s="149">
        <v>5.31</v>
      </c>
      <c r="F1346" s="149">
        <v>2.88</v>
      </c>
      <c r="G1346" s="149">
        <v>28.61</v>
      </c>
      <c r="H1346" s="149">
        <v>2.73</v>
      </c>
      <c r="I1346" s="150">
        <v>39.529999999999994</v>
      </c>
    </row>
    <row r="1347" spans="1:9" ht="15.6" x14ac:dyDescent="0.25">
      <c r="A1347" s="145"/>
      <c r="B1347" s="146">
        <v>5016126</v>
      </c>
      <c r="C1347" s="147"/>
      <c r="D1347" s="148" t="s">
        <v>894</v>
      </c>
      <c r="E1347" s="149">
        <v>5.31</v>
      </c>
      <c r="F1347" s="149">
        <v>2.88</v>
      </c>
      <c r="G1347" s="149">
        <v>0</v>
      </c>
      <c r="H1347" s="149">
        <v>2.73</v>
      </c>
      <c r="I1347" s="150">
        <v>10.92</v>
      </c>
    </row>
    <row r="1348" spans="1:9" ht="15.6" x14ac:dyDescent="0.25">
      <c r="A1348" s="145"/>
      <c r="B1348" s="146">
        <v>5018826</v>
      </c>
      <c r="C1348" s="147"/>
      <c r="D1348" s="148" t="s">
        <v>937</v>
      </c>
      <c r="E1348" s="149">
        <v>0</v>
      </c>
      <c r="F1348" s="149">
        <v>0</v>
      </c>
      <c r="G1348" s="149">
        <v>0</v>
      </c>
      <c r="H1348" s="149">
        <v>2.73</v>
      </c>
      <c r="I1348" s="150">
        <v>2.73</v>
      </c>
    </row>
    <row r="1349" spans="1:9" ht="15.6" x14ac:dyDescent="0.25">
      <c r="A1349" s="145"/>
      <c r="B1349" s="146">
        <v>5019503</v>
      </c>
      <c r="C1349" s="147"/>
      <c r="D1349" s="148" t="s">
        <v>739</v>
      </c>
      <c r="E1349" s="149">
        <v>5.31</v>
      </c>
      <c r="F1349" s="149">
        <v>2.88</v>
      </c>
      <c r="G1349" s="149">
        <v>0</v>
      </c>
      <c r="H1349" s="149">
        <v>2.73</v>
      </c>
      <c r="I1349" s="150">
        <v>10.92</v>
      </c>
    </row>
    <row r="1350" spans="1:9" ht="15.6" x14ac:dyDescent="0.25">
      <c r="A1350" s="145"/>
      <c r="B1350" s="146">
        <v>5026044</v>
      </c>
      <c r="C1350" s="147"/>
      <c r="D1350" s="148" t="s">
        <v>851</v>
      </c>
      <c r="E1350" s="149">
        <v>5.31</v>
      </c>
      <c r="F1350" s="149">
        <v>2.88</v>
      </c>
      <c r="G1350" s="149">
        <v>22.66</v>
      </c>
      <c r="H1350" s="149">
        <v>2.73</v>
      </c>
      <c r="I1350" s="150">
        <v>33.58</v>
      </c>
    </row>
    <row r="1351" spans="1:9" ht="15.6" x14ac:dyDescent="0.25">
      <c r="A1351" s="145"/>
      <c r="B1351" s="146">
        <v>5026829</v>
      </c>
      <c r="C1351" s="147"/>
      <c r="D1351" s="148" t="s">
        <v>762</v>
      </c>
      <c r="E1351" s="149">
        <v>0</v>
      </c>
      <c r="F1351" s="149">
        <v>0</v>
      </c>
      <c r="G1351" s="149">
        <v>0</v>
      </c>
      <c r="H1351" s="149">
        <v>0</v>
      </c>
      <c r="I1351" s="150">
        <v>0</v>
      </c>
    </row>
    <row r="1352" spans="1:9" ht="15.6" x14ac:dyDescent="0.25">
      <c r="A1352" s="145"/>
      <c r="B1352" s="146">
        <v>5036426</v>
      </c>
      <c r="C1352" s="147"/>
      <c r="D1352" s="148" t="s">
        <v>851</v>
      </c>
      <c r="E1352" s="149">
        <v>5.31</v>
      </c>
      <c r="F1352" s="149">
        <v>2.88</v>
      </c>
      <c r="G1352" s="149">
        <v>28.61</v>
      </c>
      <c r="H1352" s="149">
        <v>2.73</v>
      </c>
      <c r="I1352" s="150">
        <v>39.529999999999994</v>
      </c>
    </row>
    <row r="1353" spans="1:9" ht="15.6" x14ac:dyDescent="0.25">
      <c r="A1353" s="145"/>
      <c r="B1353" s="146">
        <v>5039877</v>
      </c>
      <c r="C1353" s="147"/>
      <c r="D1353" s="148" t="s">
        <v>851</v>
      </c>
      <c r="E1353" s="149">
        <v>5.31</v>
      </c>
      <c r="F1353" s="149">
        <v>2.88</v>
      </c>
      <c r="G1353" s="149">
        <v>22.66</v>
      </c>
      <c r="H1353" s="149">
        <v>2.73</v>
      </c>
      <c r="I1353" s="150">
        <v>33.58</v>
      </c>
    </row>
    <row r="1354" spans="1:9" ht="15.6" x14ac:dyDescent="0.25">
      <c r="A1354" s="145"/>
      <c r="B1354" s="146">
        <v>5040286</v>
      </c>
      <c r="C1354" s="147"/>
      <c r="D1354" s="148" t="s">
        <v>868</v>
      </c>
      <c r="E1354" s="149">
        <v>5.31</v>
      </c>
      <c r="F1354" s="149">
        <v>2.88</v>
      </c>
      <c r="G1354" s="149">
        <v>0</v>
      </c>
      <c r="H1354" s="149">
        <v>2.73</v>
      </c>
      <c r="I1354" s="150">
        <v>10.92</v>
      </c>
    </row>
    <row r="1355" spans="1:9" ht="15.6" x14ac:dyDescent="0.25">
      <c r="A1355" s="145"/>
      <c r="B1355" s="146">
        <v>5041383</v>
      </c>
      <c r="C1355" s="147"/>
      <c r="D1355" s="148" t="s">
        <v>851</v>
      </c>
      <c r="E1355" s="149">
        <v>5.31</v>
      </c>
      <c r="F1355" s="149">
        <v>2.88</v>
      </c>
      <c r="G1355" s="149">
        <v>22.66</v>
      </c>
      <c r="H1355" s="149">
        <v>2.73</v>
      </c>
      <c r="I1355" s="150">
        <v>33.58</v>
      </c>
    </row>
    <row r="1356" spans="1:9" ht="15.6" x14ac:dyDescent="0.25">
      <c r="A1356" s="145"/>
      <c r="B1356" s="146">
        <v>5042109</v>
      </c>
      <c r="C1356" s="147"/>
      <c r="D1356" s="148" t="s">
        <v>868</v>
      </c>
      <c r="E1356" s="149">
        <v>5.31</v>
      </c>
      <c r="F1356" s="149">
        <v>2.88</v>
      </c>
      <c r="G1356" s="149">
        <v>0</v>
      </c>
      <c r="H1356" s="149">
        <v>2.73</v>
      </c>
      <c r="I1356" s="150">
        <v>10.92</v>
      </c>
    </row>
    <row r="1357" spans="1:9" ht="15.6" x14ac:dyDescent="0.25">
      <c r="A1357" s="145"/>
      <c r="B1357" s="146">
        <v>5044603</v>
      </c>
      <c r="C1357" s="147"/>
      <c r="D1357" s="148" t="s">
        <v>894</v>
      </c>
      <c r="E1357" s="149">
        <v>0</v>
      </c>
      <c r="F1357" s="149">
        <v>0</v>
      </c>
      <c r="G1357" s="149">
        <v>0</v>
      </c>
      <c r="H1357" s="149">
        <v>0</v>
      </c>
      <c r="I1357" s="150">
        <v>0</v>
      </c>
    </row>
    <row r="1358" spans="1:9" ht="15.6" x14ac:dyDescent="0.25">
      <c r="A1358" s="145"/>
      <c r="B1358" s="146">
        <v>5056636</v>
      </c>
      <c r="C1358" s="147"/>
      <c r="D1358" s="148" t="s">
        <v>730</v>
      </c>
      <c r="E1358" s="149">
        <v>0</v>
      </c>
      <c r="F1358" s="149">
        <v>0</v>
      </c>
      <c r="G1358" s="149">
        <v>0</v>
      </c>
      <c r="H1358" s="149">
        <v>0</v>
      </c>
      <c r="I1358" s="150">
        <v>0</v>
      </c>
    </row>
    <row r="1359" spans="1:9" ht="15.6" x14ac:dyDescent="0.25">
      <c r="A1359" s="145"/>
      <c r="B1359" s="146">
        <v>5056663</v>
      </c>
      <c r="C1359" s="147"/>
      <c r="D1359" s="148" t="s">
        <v>828</v>
      </c>
      <c r="E1359" s="149">
        <v>5.31</v>
      </c>
      <c r="F1359" s="149">
        <v>2.88</v>
      </c>
      <c r="G1359" s="149">
        <v>0</v>
      </c>
      <c r="H1359" s="149">
        <v>2.73</v>
      </c>
      <c r="I1359" s="150">
        <v>10.92</v>
      </c>
    </row>
    <row r="1360" spans="1:9" ht="15.6" x14ac:dyDescent="0.25">
      <c r="A1360" s="145"/>
      <c r="B1360" s="146">
        <v>5056967</v>
      </c>
      <c r="C1360" s="147"/>
      <c r="D1360" s="148" t="s">
        <v>864</v>
      </c>
      <c r="E1360" s="149">
        <v>5.31</v>
      </c>
      <c r="F1360" s="149">
        <v>2.88</v>
      </c>
      <c r="G1360" s="149">
        <v>0</v>
      </c>
      <c r="H1360" s="149">
        <v>2.73</v>
      </c>
      <c r="I1360" s="150">
        <v>10.92</v>
      </c>
    </row>
    <row r="1361" spans="1:9" ht="15.6" x14ac:dyDescent="0.25">
      <c r="A1361" s="145"/>
      <c r="B1361" s="146">
        <v>5062271</v>
      </c>
      <c r="C1361" s="147"/>
      <c r="D1361" s="148" t="s">
        <v>789</v>
      </c>
      <c r="E1361" s="149">
        <v>5.31</v>
      </c>
      <c r="F1361" s="149">
        <v>2.88</v>
      </c>
      <c r="G1361" s="149">
        <v>24.03</v>
      </c>
      <c r="H1361" s="149">
        <v>2.73</v>
      </c>
      <c r="I1361" s="150">
        <v>34.949999999999996</v>
      </c>
    </row>
    <row r="1362" spans="1:9" ht="15.6" x14ac:dyDescent="0.25">
      <c r="A1362" s="145"/>
      <c r="B1362" s="146">
        <v>5068444</v>
      </c>
      <c r="C1362" s="147"/>
      <c r="D1362" s="148" t="s">
        <v>873</v>
      </c>
      <c r="E1362" s="149">
        <v>5.31</v>
      </c>
      <c r="F1362" s="149">
        <v>2.88</v>
      </c>
      <c r="G1362" s="149">
        <v>0</v>
      </c>
      <c r="H1362" s="149">
        <v>2.73</v>
      </c>
      <c r="I1362" s="150">
        <v>10.92</v>
      </c>
    </row>
    <row r="1363" spans="1:9" ht="15.6" x14ac:dyDescent="0.25">
      <c r="A1363" s="145"/>
      <c r="B1363" s="146">
        <v>5076510</v>
      </c>
      <c r="C1363" s="147"/>
      <c r="D1363" s="148" t="s">
        <v>907</v>
      </c>
      <c r="E1363" s="149">
        <v>0</v>
      </c>
      <c r="F1363" s="149">
        <v>0</v>
      </c>
      <c r="G1363" s="149">
        <v>0</v>
      </c>
      <c r="H1363" s="149">
        <v>0</v>
      </c>
      <c r="I1363" s="150">
        <v>0</v>
      </c>
    </row>
    <row r="1364" spans="1:9" ht="15.6" x14ac:dyDescent="0.25">
      <c r="A1364" s="145"/>
      <c r="B1364" s="146">
        <v>5077369</v>
      </c>
      <c r="C1364" s="147"/>
      <c r="D1364" s="148" t="s">
        <v>829</v>
      </c>
      <c r="E1364" s="149">
        <v>5.31</v>
      </c>
      <c r="F1364" s="149">
        <v>2.88</v>
      </c>
      <c r="G1364" s="149">
        <v>0</v>
      </c>
      <c r="H1364" s="149">
        <v>2.73</v>
      </c>
      <c r="I1364" s="150">
        <v>10.92</v>
      </c>
    </row>
    <row r="1365" spans="1:9" ht="15.6" x14ac:dyDescent="0.25">
      <c r="A1365" s="145"/>
      <c r="B1365" s="146">
        <v>5083352</v>
      </c>
      <c r="C1365" s="147"/>
      <c r="D1365" s="148" t="s">
        <v>772</v>
      </c>
      <c r="E1365" s="149">
        <v>0</v>
      </c>
      <c r="F1365" s="149">
        <v>0</v>
      </c>
      <c r="G1365" s="149">
        <v>45.49</v>
      </c>
      <c r="H1365" s="149">
        <v>0</v>
      </c>
      <c r="I1365" s="150">
        <v>45.49</v>
      </c>
    </row>
    <row r="1366" spans="1:9" ht="15.6" x14ac:dyDescent="0.25">
      <c r="A1366" s="145"/>
      <c r="B1366" s="146">
        <v>5088604</v>
      </c>
      <c r="C1366" s="147"/>
      <c r="D1366" s="148" t="s">
        <v>911</v>
      </c>
      <c r="E1366" s="149">
        <v>5.31</v>
      </c>
      <c r="F1366" s="149">
        <v>0</v>
      </c>
      <c r="G1366" s="149">
        <v>0</v>
      </c>
      <c r="H1366" s="149">
        <v>2.73</v>
      </c>
      <c r="I1366" s="150">
        <v>8.0399999999999991</v>
      </c>
    </row>
    <row r="1367" spans="1:9" ht="15.6" x14ac:dyDescent="0.25">
      <c r="A1367" s="145"/>
      <c r="B1367" s="146">
        <v>5090193</v>
      </c>
      <c r="C1367" s="147"/>
      <c r="D1367" s="148" t="s">
        <v>833</v>
      </c>
      <c r="E1367" s="149">
        <v>5.31</v>
      </c>
      <c r="F1367" s="149">
        <v>2.88</v>
      </c>
      <c r="G1367" s="149">
        <v>0</v>
      </c>
      <c r="H1367" s="149">
        <v>2.73</v>
      </c>
      <c r="I1367" s="150">
        <v>10.92</v>
      </c>
    </row>
    <row r="1368" spans="1:9" ht="15.6" x14ac:dyDescent="0.25">
      <c r="A1368" s="145"/>
      <c r="B1368" s="146">
        <v>5099976</v>
      </c>
      <c r="C1368" s="147"/>
      <c r="D1368" s="148" t="s">
        <v>965</v>
      </c>
      <c r="E1368" s="149">
        <v>5.31</v>
      </c>
      <c r="F1368" s="149">
        <v>0</v>
      </c>
      <c r="G1368" s="149">
        <v>0</v>
      </c>
      <c r="H1368" s="149">
        <v>0</v>
      </c>
      <c r="I1368" s="150">
        <v>5.31</v>
      </c>
    </row>
    <row r="1369" spans="1:9" ht="15.6" x14ac:dyDescent="0.25">
      <c r="A1369" s="145"/>
      <c r="B1369" s="146">
        <v>5112803</v>
      </c>
      <c r="C1369" s="147"/>
      <c r="D1369" s="148" t="s">
        <v>732</v>
      </c>
      <c r="E1369" s="149">
        <v>0</v>
      </c>
      <c r="F1369" s="149">
        <v>0</v>
      </c>
      <c r="G1369" s="149">
        <v>0</v>
      </c>
      <c r="H1369" s="149">
        <v>2.73</v>
      </c>
      <c r="I1369" s="150">
        <v>2.73</v>
      </c>
    </row>
    <row r="1370" spans="1:9" ht="15.6" x14ac:dyDescent="0.25">
      <c r="A1370" s="145"/>
      <c r="B1370" s="146">
        <v>5113594</v>
      </c>
      <c r="C1370" s="147"/>
      <c r="D1370" s="148" t="s">
        <v>762</v>
      </c>
      <c r="E1370" s="149">
        <v>0</v>
      </c>
      <c r="F1370" s="149">
        <v>0</v>
      </c>
      <c r="G1370" s="149">
        <v>0</v>
      </c>
      <c r="H1370" s="149">
        <v>0</v>
      </c>
      <c r="I1370" s="150">
        <v>0</v>
      </c>
    </row>
    <row r="1371" spans="1:9" ht="15.6" x14ac:dyDescent="0.25">
      <c r="A1371" s="145"/>
      <c r="B1371" s="146">
        <v>5119290</v>
      </c>
      <c r="C1371" s="147"/>
      <c r="D1371" s="148" t="s">
        <v>862</v>
      </c>
      <c r="E1371" s="149">
        <v>5.31</v>
      </c>
      <c r="F1371" s="149">
        <v>2.88</v>
      </c>
      <c r="G1371" s="149">
        <v>0</v>
      </c>
      <c r="H1371" s="149">
        <v>2.73</v>
      </c>
      <c r="I1371" s="150">
        <v>10.92</v>
      </c>
    </row>
    <row r="1372" spans="1:9" ht="15.6" x14ac:dyDescent="0.25">
      <c r="A1372" s="145"/>
      <c r="B1372" s="146">
        <v>5119769</v>
      </c>
      <c r="C1372" s="147"/>
      <c r="D1372" s="148" t="s">
        <v>887</v>
      </c>
      <c r="E1372" s="149">
        <v>5.31</v>
      </c>
      <c r="F1372" s="149">
        <v>2.88</v>
      </c>
      <c r="G1372" s="149">
        <v>0</v>
      </c>
      <c r="H1372" s="149">
        <v>2.73</v>
      </c>
      <c r="I1372" s="150">
        <v>10.92</v>
      </c>
    </row>
    <row r="1373" spans="1:9" ht="15.6" x14ac:dyDescent="0.25">
      <c r="A1373" s="145"/>
      <c r="B1373" s="146">
        <v>5129089</v>
      </c>
      <c r="C1373" s="147"/>
      <c r="D1373" s="148" t="s">
        <v>862</v>
      </c>
      <c r="E1373" s="149">
        <v>5.31</v>
      </c>
      <c r="F1373" s="149">
        <v>2.88</v>
      </c>
      <c r="G1373" s="149">
        <v>0</v>
      </c>
      <c r="H1373" s="149">
        <v>2.73</v>
      </c>
      <c r="I1373" s="150">
        <v>10.92</v>
      </c>
    </row>
    <row r="1374" spans="1:9" ht="15.6" x14ac:dyDescent="0.25">
      <c r="A1374" s="145"/>
      <c r="B1374" s="146">
        <v>5136629</v>
      </c>
      <c r="C1374" s="147"/>
      <c r="D1374" s="148" t="s">
        <v>730</v>
      </c>
      <c r="E1374" s="149">
        <v>0</v>
      </c>
      <c r="F1374" s="149">
        <v>0</v>
      </c>
      <c r="G1374" s="149">
        <v>0</v>
      </c>
      <c r="H1374" s="149">
        <v>0</v>
      </c>
      <c r="I1374" s="150">
        <v>0</v>
      </c>
    </row>
    <row r="1375" spans="1:9" ht="15.6" x14ac:dyDescent="0.25">
      <c r="A1375" s="145"/>
      <c r="B1375" s="146">
        <v>5137470</v>
      </c>
      <c r="C1375" s="147"/>
      <c r="D1375" s="148" t="s">
        <v>824</v>
      </c>
      <c r="E1375" s="149">
        <v>0</v>
      </c>
      <c r="F1375" s="149">
        <v>0</v>
      </c>
      <c r="G1375" s="149">
        <v>0</v>
      </c>
      <c r="H1375" s="149">
        <v>0</v>
      </c>
      <c r="I1375" s="150">
        <v>0</v>
      </c>
    </row>
    <row r="1376" spans="1:9" ht="15.6" x14ac:dyDescent="0.25">
      <c r="A1376" s="145"/>
      <c r="B1376" s="146">
        <v>5144876</v>
      </c>
      <c r="C1376" s="147"/>
      <c r="D1376" s="148" t="s">
        <v>935</v>
      </c>
      <c r="E1376" s="149">
        <v>5.31</v>
      </c>
      <c r="F1376" s="149">
        <v>2.88</v>
      </c>
      <c r="G1376" s="149">
        <v>0</v>
      </c>
      <c r="H1376" s="149">
        <v>2.73</v>
      </c>
      <c r="I1376" s="150">
        <v>10.92</v>
      </c>
    </row>
    <row r="1377" spans="1:9" ht="15.6" x14ac:dyDescent="0.25">
      <c r="A1377" s="145"/>
      <c r="B1377" s="146">
        <v>5146266</v>
      </c>
      <c r="C1377" s="147"/>
      <c r="D1377" s="148" t="s">
        <v>835</v>
      </c>
      <c r="E1377" s="149">
        <v>5.31</v>
      </c>
      <c r="F1377" s="149">
        <v>2.88</v>
      </c>
      <c r="G1377" s="149">
        <v>0</v>
      </c>
      <c r="H1377" s="149">
        <v>2.73</v>
      </c>
      <c r="I1377" s="150">
        <v>10.92</v>
      </c>
    </row>
    <row r="1378" spans="1:9" ht="15.6" x14ac:dyDescent="0.25">
      <c r="A1378" s="145"/>
      <c r="B1378" s="146">
        <v>5150792</v>
      </c>
      <c r="C1378" s="147"/>
      <c r="D1378" s="148" t="s">
        <v>851</v>
      </c>
      <c r="E1378" s="149">
        <v>5.31</v>
      </c>
      <c r="F1378" s="149">
        <v>2.88</v>
      </c>
      <c r="G1378" s="149">
        <v>22.66</v>
      </c>
      <c r="H1378" s="149">
        <v>2.73</v>
      </c>
      <c r="I1378" s="150">
        <v>33.58</v>
      </c>
    </row>
    <row r="1379" spans="1:9" ht="15.6" x14ac:dyDescent="0.25">
      <c r="A1379" s="145"/>
      <c r="B1379" s="146">
        <v>5153765</v>
      </c>
      <c r="C1379" s="147"/>
      <c r="D1379" s="148" t="s">
        <v>851</v>
      </c>
      <c r="E1379" s="149">
        <v>5.31</v>
      </c>
      <c r="F1379" s="149">
        <v>2.88</v>
      </c>
      <c r="G1379" s="149">
        <v>22.66</v>
      </c>
      <c r="H1379" s="149">
        <v>2.73</v>
      </c>
      <c r="I1379" s="150">
        <v>33.58</v>
      </c>
    </row>
    <row r="1380" spans="1:9" ht="15.6" x14ac:dyDescent="0.25">
      <c r="A1380" s="145"/>
      <c r="B1380" s="146">
        <v>5155405</v>
      </c>
      <c r="C1380" s="147"/>
      <c r="D1380" s="148" t="s">
        <v>919</v>
      </c>
      <c r="E1380" s="149">
        <v>5.31</v>
      </c>
      <c r="F1380" s="149">
        <v>2.88</v>
      </c>
      <c r="G1380" s="149">
        <v>0</v>
      </c>
      <c r="H1380" s="149">
        <v>2.73</v>
      </c>
      <c r="I1380" s="150">
        <v>10.92</v>
      </c>
    </row>
    <row r="1381" spans="1:9" ht="15.6" x14ac:dyDescent="0.25">
      <c r="A1381" s="145"/>
      <c r="B1381" s="146">
        <v>5156291</v>
      </c>
      <c r="C1381" s="147"/>
      <c r="D1381" s="148" t="s">
        <v>751</v>
      </c>
      <c r="E1381" s="149">
        <v>0</v>
      </c>
      <c r="F1381" s="149">
        <v>0</v>
      </c>
      <c r="G1381" s="149">
        <v>0</v>
      </c>
      <c r="H1381" s="149">
        <v>0</v>
      </c>
      <c r="I1381" s="150">
        <v>0</v>
      </c>
    </row>
    <row r="1382" spans="1:9" ht="15.6" x14ac:dyDescent="0.25">
      <c r="A1382" s="145"/>
      <c r="B1382" s="146">
        <v>5162899</v>
      </c>
      <c r="C1382" s="147"/>
      <c r="D1382" s="148" t="s">
        <v>868</v>
      </c>
      <c r="E1382" s="149">
        <v>5.31</v>
      </c>
      <c r="F1382" s="149">
        <v>2.88</v>
      </c>
      <c r="G1382" s="149">
        <v>0</v>
      </c>
      <c r="H1382" s="149">
        <v>2.73</v>
      </c>
      <c r="I1382" s="150">
        <v>10.92</v>
      </c>
    </row>
    <row r="1383" spans="1:9" ht="15.6" x14ac:dyDescent="0.25">
      <c r="A1383" s="145"/>
      <c r="B1383" s="146">
        <v>5165184</v>
      </c>
      <c r="C1383" s="147"/>
      <c r="D1383" s="148" t="s">
        <v>869</v>
      </c>
      <c r="E1383" s="149">
        <v>5.31</v>
      </c>
      <c r="F1383" s="149">
        <v>2.88</v>
      </c>
      <c r="G1383" s="149">
        <v>0</v>
      </c>
      <c r="H1383" s="149">
        <v>2.73</v>
      </c>
      <c r="I1383" s="150">
        <v>10.92</v>
      </c>
    </row>
    <row r="1384" spans="1:9" ht="15.6" x14ac:dyDescent="0.25">
      <c r="A1384" s="145"/>
      <c r="B1384" s="146">
        <v>5165895</v>
      </c>
      <c r="C1384" s="147"/>
      <c r="D1384" s="148" t="s">
        <v>868</v>
      </c>
      <c r="E1384" s="149">
        <v>5.31</v>
      </c>
      <c r="F1384" s="149">
        <v>2.88</v>
      </c>
      <c r="G1384" s="149">
        <v>0</v>
      </c>
      <c r="H1384" s="149">
        <v>2.73</v>
      </c>
      <c r="I1384" s="150">
        <v>10.92</v>
      </c>
    </row>
    <row r="1385" spans="1:9" ht="15.6" x14ac:dyDescent="0.25">
      <c r="A1385" s="145"/>
      <c r="B1385" s="146">
        <v>5166499</v>
      </c>
      <c r="C1385" s="147"/>
      <c r="D1385" s="148" t="s">
        <v>911</v>
      </c>
      <c r="E1385" s="149">
        <v>5.31</v>
      </c>
      <c r="F1385" s="149">
        <v>0</v>
      </c>
      <c r="G1385" s="149">
        <v>0</v>
      </c>
      <c r="H1385" s="149">
        <v>2.73</v>
      </c>
      <c r="I1385" s="150">
        <v>8.0399999999999991</v>
      </c>
    </row>
    <row r="1386" spans="1:9" ht="15.6" x14ac:dyDescent="0.25">
      <c r="A1386" s="145"/>
      <c r="B1386" s="146">
        <v>5171126</v>
      </c>
      <c r="C1386" s="147"/>
      <c r="D1386" s="148" t="s">
        <v>871</v>
      </c>
      <c r="E1386" s="149">
        <v>5.31</v>
      </c>
      <c r="F1386" s="149">
        <v>2.88</v>
      </c>
      <c r="G1386" s="149">
        <v>0</v>
      </c>
      <c r="H1386" s="149">
        <v>2.73</v>
      </c>
      <c r="I1386" s="150">
        <v>10.92</v>
      </c>
    </row>
    <row r="1387" spans="1:9" ht="15.6" x14ac:dyDescent="0.25">
      <c r="A1387" s="145"/>
      <c r="B1387" s="146">
        <v>5171870</v>
      </c>
      <c r="C1387" s="147"/>
      <c r="D1387" s="148" t="s">
        <v>841</v>
      </c>
      <c r="E1387" s="149">
        <v>5.31</v>
      </c>
      <c r="F1387" s="149">
        <v>2.88</v>
      </c>
      <c r="G1387" s="149">
        <v>0</v>
      </c>
      <c r="H1387" s="149">
        <v>2.73</v>
      </c>
      <c r="I1387" s="150">
        <v>10.92</v>
      </c>
    </row>
    <row r="1388" spans="1:9" ht="15.6" x14ac:dyDescent="0.25">
      <c r="A1388" s="145"/>
      <c r="B1388" s="146">
        <v>5173856</v>
      </c>
      <c r="C1388" s="147"/>
      <c r="D1388" s="148" t="s">
        <v>865</v>
      </c>
      <c r="E1388" s="149">
        <v>5.31</v>
      </c>
      <c r="F1388" s="149">
        <v>2.88</v>
      </c>
      <c r="G1388" s="149">
        <v>0</v>
      </c>
      <c r="H1388" s="149">
        <v>2.73</v>
      </c>
      <c r="I1388" s="150">
        <v>10.92</v>
      </c>
    </row>
    <row r="1389" spans="1:9" ht="15.6" x14ac:dyDescent="0.25">
      <c r="A1389" s="145"/>
      <c r="B1389" s="146">
        <v>5174018</v>
      </c>
      <c r="C1389" s="147"/>
      <c r="D1389" s="148" t="s">
        <v>883</v>
      </c>
      <c r="E1389" s="149">
        <v>5.31</v>
      </c>
      <c r="F1389" s="149">
        <v>2.88</v>
      </c>
      <c r="G1389" s="149">
        <v>0</v>
      </c>
      <c r="H1389" s="149">
        <v>2.73</v>
      </c>
      <c r="I1389" s="150">
        <v>10.92</v>
      </c>
    </row>
    <row r="1390" spans="1:9" ht="15.6" x14ac:dyDescent="0.25">
      <c r="A1390" s="145"/>
      <c r="B1390" s="146">
        <v>5176022</v>
      </c>
      <c r="C1390" s="147"/>
      <c r="D1390" s="148" t="s">
        <v>934</v>
      </c>
      <c r="E1390" s="149">
        <v>5.31</v>
      </c>
      <c r="F1390" s="149">
        <v>2.88</v>
      </c>
      <c r="G1390" s="149">
        <v>0</v>
      </c>
      <c r="H1390" s="149">
        <v>2.73</v>
      </c>
      <c r="I1390" s="150">
        <v>10.92</v>
      </c>
    </row>
    <row r="1391" spans="1:9" ht="15.6" x14ac:dyDescent="0.25">
      <c r="A1391" s="145"/>
      <c r="B1391" s="146">
        <v>5182206</v>
      </c>
      <c r="C1391" s="147"/>
      <c r="D1391" s="148" t="s">
        <v>779</v>
      </c>
      <c r="E1391" s="149">
        <v>5.31</v>
      </c>
      <c r="F1391" s="149">
        <v>2.88</v>
      </c>
      <c r="G1391" s="149">
        <v>0</v>
      </c>
      <c r="H1391" s="149">
        <v>2.73</v>
      </c>
      <c r="I1391" s="150">
        <v>10.92</v>
      </c>
    </row>
    <row r="1392" spans="1:9" ht="15.6" x14ac:dyDescent="0.25">
      <c r="A1392" s="145"/>
      <c r="B1392" s="146">
        <v>5199373</v>
      </c>
      <c r="C1392" s="147"/>
      <c r="D1392" s="148" t="s">
        <v>868</v>
      </c>
      <c r="E1392" s="149">
        <v>5.31</v>
      </c>
      <c r="F1392" s="149">
        <v>2.88</v>
      </c>
      <c r="G1392" s="149">
        <v>0</v>
      </c>
      <c r="H1392" s="149">
        <v>2.73</v>
      </c>
      <c r="I1392" s="150">
        <v>10.92</v>
      </c>
    </row>
    <row r="1393" spans="1:9" ht="15.6" x14ac:dyDescent="0.25">
      <c r="A1393" s="145"/>
      <c r="B1393" s="146">
        <v>5202240</v>
      </c>
      <c r="C1393" s="147"/>
      <c r="D1393" s="148" t="s">
        <v>893</v>
      </c>
      <c r="E1393" s="149">
        <v>5.31</v>
      </c>
      <c r="F1393" s="149">
        <v>2.88</v>
      </c>
      <c r="G1393" s="149">
        <v>0</v>
      </c>
      <c r="H1393" s="149">
        <v>2.73</v>
      </c>
      <c r="I1393" s="150">
        <v>10.92</v>
      </c>
    </row>
    <row r="1394" spans="1:9" ht="15.6" x14ac:dyDescent="0.25">
      <c r="A1394" s="145"/>
      <c r="B1394" s="146">
        <v>5205704</v>
      </c>
      <c r="C1394" s="147"/>
      <c r="D1394" s="148" t="s">
        <v>851</v>
      </c>
      <c r="E1394" s="149">
        <v>5.31</v>
      </c>
      <c r="F1394" s="149">
        <v>2.88</v>
      </c>
      <c r="G1394" s="149">
        <v>22.66</v>
      </c>
      <c r="H1394" s="149">
        <v>2.73</v>
      </c>
      <c r="I1394" s="150">
        <v>33.58</v>
      </c>
    </row>
    <row r="1395" spans="1:9" ht="15.6" x14ac:dyDescent="0.25">
      <c r="A1395" s="145"/>
      <c r="B1395" s="146">
        <v>5210360</v>
      </c>
      <c r="C1395" s="147"/>
      <c r="D1395" s="148" t="s">
        <v>739</v>
      </c>
      <c r="E1395" s="149">
        <v>5.31</v>
      </c>
      <c r="F1395" s="149">
        <v>2.88</v>
      </c>
      <c r="G1395" s="149">
        <v>0</v>
      </c>
      <c r="H1395" s="149">
        <v>2.73</v>
      </c>
      <c r="I1395" s="150">
        <v>10.92</v>
      </c>
    </row>
    <row r="1396" spans="1:9" ht="15.6" x14ac:dyDescent="0.25">
      <c r="A1396" s="145"/>
      <c r="B1396" s="146">
        <v>5226107</v>
      </c>
      <c r="C1396" s="147"/>
      <c r="D1396" s="148" t="s">
        <v>819</v>
      </c>
      <c r="E1396" s="149">
        <v>5.31</v>
      </c>
      <c r="F1396" s="149">
        <v>2.88</v>
      </c>
      <c r="G1396" s="149">
        <v>0</v>
      </c>
      <c r="H1396" s="149">
        <v>2.73</v>
      </c>
      <c r="I1396" s="150">
        <v>10.92</v>
      </c>
    </row>
    <row r="1397" spans="1:9" ht="15.6" x14ac:dyDescent="0.25">
      <c r="A1397" s="145"/>
      <c r="B1397" s="146">
        <v>5228006</v>
      </c>
      <c r="C1397" s="147"/>
      <c r="D1397" s="148" t="s">
        <v>919</v>
      </c>
      <c r="E1397" s="149">
        <v>0</v>
      </c>
      <c r="F1397" s="149">
        <v>0</v>
      </c>
      <c r="G1397" s="149">
        <v>0</v>
      </c>
      <c r="H1397" s="149">
        <v>0</v>
      </c>
      <c r="I1397" s="150">
        <v>0</v>
      </c>
    </row>
    <row r="1398" spans="1:9" ht="15.6" x14ac:dyDescent="0.25">
      <c r="A1398" s="145"/>
      <c r="B1398" s="146">
        <v>5236580</v>
      </c>
      <c r="C1398" s="147"/>
      <c r="D1398" s="148" t="s">
        <v>773</v>
      </c>
      <c r="E1398" s="149">
        <v>5.31</v>
      </c>
      <c r="F1398" s="149">
        <v>0</v>
      </c>
      <c r="G1398" s="149">
        <v>0</v>
      </c>
      <c r="H1398" s="149">
        <v>0</v>
      </c>
      <c r="I1398" s="150">
        <v>5.31</v>
      </c>
    </row>
    <row r="1399" spans="1:9" ht="15.6" x14ac:dyDescent="0.25">
      <c r="A1399" s="145"/>
      <c r="B1399" s="146">
        <v>5261449</v>
      </c>
      <c r="C1399" s="147"/>
      <c r="D1399" s="148" t="s">
        <v>887</v>
      </c>
      <c r="E1399" s="149">
        <v>0</v>
      </c>
      <c r="F1399" s="149">
        <v>0</v>
      </c>
      <c r="G1399" s="149">
        <v>0</v>
      </c>
      <c r="H1399" s="149">
        <v>2.73</v>
      </c>
      <c r="I1399" s="150">
        <v>2.73</v>
      </c>
    </row>
    <row r="1400" spans="1:9" ht="15.6" x14ac:dyDescent="0.25">
      <c r="A1400" s="145"/>
      <c r="B1400" s="146">
        <v>5261681</v>
      </c>
      <c r="C1400" s="147"/>
      <c r="D1400" s="148" t="s">
        <v>867</v>
      </c>
      <c r="E1400" s="149">
        <v>5.31</v>
      </c>
      <c r="F1400" s="149">
        <v>2.88</v>
      </c>
      <c r="G1400" s="149">
        <v>0</v>
      </c>
      <c r="H1400" s="149">
        <v>2.73</v>
      </c>
      <c r="I1400" s="150">
        <v>10.92</v>
      </c>
    </row>
    <row r="1401" spans="1:9" ht="15.6" x14ac:dyDescent="0.25">
      <c r="A1401" s="145"/>
      <c r="B1401" s="146">
        <v>5266893</v>
      </c>
      <c r="C1401" s="147"/>
      <c r="D1401" s="148" t="s">
        <v>747</v>
      </c>
      <c r="E1401" s="149">
        <v>5.31</v>
      </c>
      <c r="F1401" s="149">
        <v>2.88</v>
      </c>
      <c r="G1401" s="149">
        <v>0</v>
      </c>
      <c r="H1401" s="149">
        <v>2.73</v>
      </c>
      <c r="I1401" s="150">
        <v>10.92</v>
      </c>
    </row>
    <row r="1402" spans="1:9" ht="15.6" x14ac:dyDescent="0.25">
      <c r="A1402" s="145"/>
      <c r="B1402" s="146">
        <v>5269034</v>
      </c>
      <c r="C1402" s="147"/>
      <c r="D1402" s="148" t="s">
        <v>918</v>
      </c>
      <c r="E1402" s="149">
        <v>0</v>
      </c>
      <c r="F1402" s="149">
        <v>0</v>
      </c>
      <c r="G1402" s="149">
        <v>0</v>
      </c>
      <c r="H1402" s="149">
        <v>0</v>
      </c>
      <c r="I1402" s="150">
        <v>0</v>
      </c>
    </row>
    <row r="1403" spans="1:9" ht="15.6" x14ac:dyDescent="0.25">
      <c r="A1403" s="145"/>
      <c r="B1403" s="146">
        <v>5270870</v>
      </c>
      <c r="C1403" s="147"/>
      <c r="D1403" s="148" t="s">
        <v>871</v>
      </c>
      <c r="E1403" s="149">
        <v>0</v>
      </c>
      <c r="F1403" s="149">
        <v>0</v>
      </c>
      <c r="G1403" s="149">
        <v>0</v>
      </c>
      <c r="H1403" s="149">
        <v>2.73</v>
      </c>
      <c r="I1403" s="150">
        <v>2.73</v>
      </c>
    </row>
    <row r="1404" spans="1:9" ht="15.6" x14ac:dyDescent="0.25">
      <c r="A1404" s="145"/>
      <c r="B1404" s="146">
        <v>5271401</v>
      </c>
      <c r="C1404" s="147"/>
      <c r="D1404" s="148" t="s">
        <v>780</v>
      </c>
      <c r="E1404" s="149">
        <v>5.31</v>
      </c>
      <c r="F1404" s="149">
        <v>2.88</v>
      </c>
      <c r="G1404" s="149">
        <v>0</v>
      </c>
      <c r="H1404" s="149">
        <v>2.73</v>
      </c>
      <c r="I1404" s="150">
        <v>10.92</v>
      </c>
    </row>
    <row r="1405" spans="1:9" ht="15.6" x14ac:dyDescent="0.25">
      <c r="A1405" s="145"/>
      <c r="B1405" s="146">
        <v>5278539</v>
      </c>
      <c r="C1405" s="147"/>
      <c r="D1405" s="148" t="s">
        <v>871</v>
      </c>
      <c r="E1405" s="149">
        <v>5.31</v>
      </c>
      <c r="F1405" s="149">
        <v>2.88</v>
      </c>
      <c r="G1405" s="149">
        <v>0</v>
      </c>
      <c r="H1405" s="149">
        <v>2.73</v>
      </c>
      <c r="I1405" s="150">
        <v>10.92</v>
      </c>
    </row>
    <row r="1406" spans="1:9" ht="15.6" x14ac:dyDescent="0.25">
      <c r="A1406" s="145"/>
      <c r="B1406" s="146">
        <v>5281430</v>
      </c>
      <c r="C1406" s="147"/>
      <c r="D1406" s="148" t="s">
        <v>830</v>
      </c>
      <c r="E1406" s="149">
        <v>5.31</v>
      </c>
      <c r="F1406" s="149">
        <v>2.88</v>
      </c>
      <c r="G1406" s="149">
        <v>0</v>
      </c>
      <c r="H1406" s="149">
        <v>2.73</v>
      </c>
      <c r="I1406" s="150">
        <v>10.92</v>
      </c>
    </row>
    <row r="1407" spans="1:9" ht="15.6" x14ac:dyDescent="0.25">
      <c r="A1407" s="145"/>
      <c r="B1407" s="146">
        <v>5287319</v>
      </c>
      <c r="C1407" s="147"/>
      <c r="D1407" s="148" t="s">
        <v>770</v>
      </c>
      <c r="E1407" s="149">
        <v>5.31</v>
      </c>
      <c r="F1407" s="149">
        <v>2.88</v>
      </c>
      <c r="G1407" s="149">
        <v>0</v>
      </c>
      <c r="H1407" s="149">
        <v>0</v>
      </c>
      <c r="I1407" s="150">
        <v>8.19</v>
      </c>
    </row>
    <row r="1408" spans="1:9" ht="15.6" x14ac:dyDescent="0.25">
      <c r="A1408" s="145"/>
      <c r="B1408" s="146">
        <v>5287502</v>
      </c>
      <c r="C1408" s="147"/>
      <c r="D1408" s="148" t="s">
        <v>872</v>
      </c>
      <c r="E1408" s="149">
        <v>5.31</v>
      </c>
      <c r="F1408" s="149">
        <v>2.88</v>
      </c>
      <c r="G1408" s="149">
        <v>0</v>
      </c>
      <c r="H1408" s="149">
        <v>2.73</v>
      </c>
      <c r="I1408" s="150">
        <v>10.92</v>
      </c>
    </row>
    <row r="1409" spans="1:9" ht="15.6" x14ac:dyDescent="0.25">
      <c r="A1409" s="145"/>
      <c r="B1409" s="146">
        <v>5288710</v>
      </c>
      <c r="C1409" s="147"/>
      <c r="D1409" s="148" t="s">
        <v>917</v>
      </c>
      <c r="E1409" s="149">
        <v>5.31</v>
      </c>
      <c r="F1409" s="149">
        <v>2.88</v>
      </c>
      <c r="G1409" s="149">
        <v>0</v>
      </c>
      <c r="H1409" s="149">
        <v>2.73</v>
      </c>
      <c r="I1409" s="150">
        <v>10.92</v>
      </c>
    </row>
    <row r="1410" spans="1:9" ht="15.6" x14ac:dyDescent="0.25">
      <c r="A1410" s="145"/>
      <c r="B1410" s="146">
        <v>5295196</v>
      </c>
      <c r="C1410" s="147"/>
      <c r="D1410" s="148" t="s">
        <v>919</v>
      </c>
      <c r="E1410" s="149">
        <v>0</v>
      </c>
      <c r="F1410" s="149">
        <v>0</v>
      </c>
      <c r="G1410" s="149">
        <v>0</v>
      </c>
      <c r="H1410" s="149">
        <v>0</v>
      </c>
      <c r="I1410" s="150">
        <v>0</v>
      </c>
    </row>
    <row r="1411" spans="1:9" ht="15.6" x14ac:dyDescent="0.25">
      <c r="A1411" s="145"/>
      <c r="B1411" s="146">
        <v>5295284</v>
      </c>
      <c r="C1411" s="147"/>
      <c r="D1411" s="148" t="s">
        <v>918</v>
      </c>
      <c r="E1411" s="149">
        <v>0</v>
      </c>
      <c r="F1411" s="149">
        <v>0</v>
      </c>
      <c r="G1411" s="149">
        <v>0</v>
      </c>
      <c r="H1411" s="149">
        <v>0</v>
      </c>
      <c r="I1411" s="150">
        <v>0</v>
      </c>
    </row>
    <row r="1412" spans="1:9" ht="15.6" x14ac:dyDescent="0.25">
      <c r="A1412" s="145"/>
      <c r="B1412" s="146">
        <v>5298576</v>
      </c>
      <c r="C1412" s="147"/>
      <c r="D1412" s="148" t="s">
        <v>919</v>
      </c>
      <c r="E1412" s="149">
        <v>0</v>
      </c>
      <c r="F1412" s="149">
        <v>0</v>
      </c>
      <c r="G1412" s="149">
        <v>0</v>
      </c>
      <c r="H1412" s="149">
        <v>0</v>
      </c>
      <c r="I1412" s="150">
        <v>0</v>
      </c>
    </row>
    <row r="1413" spans="1:9" ht="15.6" x14ac:dyDescent="0.25">
      <c r="A1413" s="145"/>
      <c r="B1413" s="146">
        <v>5301471</v>
      </c>
      <c r="C1413" s="147"/>
      <c r="D1413" s="148" t="s">
        <v>813</v>
      </c>
      <c r="E1413" s="149">
        <v>0</v>
      </c>
      <c r="F1413" s="149">
        <v>0</v>
      </c>
      <c r="G1413" s="149">
        <v>0</v>
      </c>
      <c r="H1413" s="149">
        <v>0</v>
      </c>
      <c r="I1413" s="150">
        <v>0</v>
      </c>
    </row>
    <row r="1414" spans="1:9" ht="15.6" x14ac:dyDescent="0.25">
      <c r="A1414" s="145"/>
      <c r="B1414" s="146">
        <v>5305409</v>
      </c>
      <c r="C1414" s="147"/>
      <c r="D1414" s="148" t="s">
        <v>925</v>
      </c>
      <c r="E1414" s="149">
        <v>5.31</v>
      </c>
      <c r="F1414" s="149">
        <v>2.88</v>
      </c>
      <c r="G1414" s="149">
        <v>0</v>
      </c>
      <c r="H1414" s="149">
        <v>0</v>
      </c>
      <c r="I1414" s="150">
        <v>8.19</v>
      </c>
    </row>
    <row r="1415" spans="1:9" ht="15.6" x14ac:dyDescent="0.25">
      <c r="A1415" s="145"/>
      <c r="B1415" s="146">
        <v>5313156</v>
      </c>
      <c r="C1415" s="147"/>
      <c r="D1415" s="148" t="s">
        <v>734</v>
      </c>
      <c r="E1415" s="149">
        <v>0</v>
      </c>
      <c r="F1415" s="149">
        <v>0</v>
      </c>
      <c r="G1415" s="149">
        <v>0</v>
      </c>
      <c r="H1415" s="149">
        <v>0</v>
      </c>
      <c r="I1415" s="150">
        <v>0</v>
      </c>
    </row>
    <row r="1416" spans="1:9" ht="15.6" x14ac:dyDescent="0.25">
      <c r="A1416" s="145"/>
      <c r="B1416" s="146">
        <v>5316889</v>
      </c>
      <c r="C1416" s="147"/>
      <c r="D1416" s="148" t="s">
        <v>868</v>
      </c>
      <c r="E1416" s="149">
        <v>5.31</v>
      </c>
      <c r="F1416" s="149">
        <v>2.88</v>
      </c>
      <c r="G1416" s="149">
        <v>0</v>
      </c>
      <c r="H1416" s="149">
        <v>2.73</v>
      </c>
      <c r="I1416" s="150">
        <v>10.92</v>
      </c>
    </row>
    <row r="1417" spans="1:9" ht="15.6" x14ac:dyDescent="0.25">
      <c r="A1417" s="145"/>
      <c r="B1417" s="146">
        <v>5318339</v>
      </c>
      <c r="C1417" s="147"/>
      <c r="D1417" s="148" t="s">
        <v>911</v>
      </c>
      <c r="E1417" s="149">
        <v>5.31</v>
      </c>
      <c r="F1417" s="149">
        <v>0</v>
      </c>
      <c r="G1417" s="149">
        <v>0</v>
      </c>
      <c r="H1417" s="149">
        <v>2.73</v>
      </c>
      <c r="I1417" s="150">
        <v>8.0399999999999991</v>
      </c>
    </row>
    <row r="1418" spans="1:9" ht="15.6" x14ac:dyDescent="0.25">
      <c r="A1418" s="145"/>
      <c r="B1418" s="146">
        <v>5322699</v>
      </c>
      <c r="C1418" s="147"/>
      <c r="D1418" s="148" t="s">
        <v>853</v>
      </c>
      <c r="E1418" s="149">
        <v>5.31</v>
      </c>
      <c r="F1418" s="149">
        <v>2.88</v>
      </c>
      <c r="G1418" s="149">
        <v>0</v>
      </c>
      <c r="H1418" s="149">
        <v>2.73</v>
      </c>
      <c r="I1418" s="150">
        <v>10.92</v>
      </c>
    </row>
    <row r="1419" spans="1:9" ht="15.6" x14ac:dyDescent="0.25">
      <c r="A1419" s="145"/>
      <c r="B1419" s="146">
        <v>5327739</v>
      </c>
      <c r="C1419" s="147"/>
      <c r="D1419" s="148" t="s">
        <v>851</v>
      </c>
      <c r="E1419" s="149">
        <v>5.31</v>
      </c>
      <c r="F1419" s="149">
        <v>2.88</v>
      </c>
      <c r="G1419" s="149">
        <v>22.66</v>
      </c>
      <c r="H1419" s="149">
        <v>2.73</v>
      </c>
      <c r="I1419" s="150">
        <v>33.58</v>
      </c>
    </row>
    <row r="1420" spans="1:9" ht="15.6" x14ac:dyDescent="0.25">
      <c r="A1420" s="145"/>
      <c r="B1420" s="146">
        <v>5327846</v>
      </c>
      <c r="C1420" s="147"/>
      <c r="D1420" s="148" t="s">
        <v>791</v>
      </c>
      <c r="E1420" s="149">
        <v>5.31</v>
      </c>
      <c r="F1420" s="149">
        <v>2.88</v>
      </c>
      <c r="G1420" s="149">
        <v>0</v>
      </c>
      <c r="H1420" s="149">
        <v>2.73</v>
      </c>
      <c r="I1420" s="150">
        <v>10.92</v>
      </c>
    </row>
    <row r="1421" spans="1:9" ht="15.6" x14ac:dyDescent="0.25">
      <c r="A1421" s="145"/>
      <c r="B1421" s="146">
        <v>5330322</v>
      </c>
      <c r="C1421" s="147"/>
      <c r="D1421" s="148" t="s">
        <v>792</v>
      </c>
      <c r="E1421" s="149">
        <v>5.31</v>
      </c>
      <c r="F1421" s="149">
        <v>2.88</v>
      </c>
      <c r="G1421" s="149">
        <v>0</v>
      </c>
      <c r="H1421" s="149">
        <v>2.73</v>
      </c>
      <c r="I1421" s="150">
        <v>10.92</v>
      </c>
    </row>
    <row r="1422" spans="1:9" ht="15.6" x14ac:dyDescent="0.25">
      <c r="A1422" s="145"/>
      <c r="B1422" s="146">
        <v>5348456</v>
      </c>
      <c r="C1422" s="147"/>
      <c r="D1422" s="148" t="s">
        <v>789</v>
      </c>
      <c r="E1422" s="149">
        <v>5.31</v>
      </c>
      <c r="F1422" s="149">
        <v>2.88</v>
      </c>
      <c r="G1422" s="149">
        <v>18.260000000000002</v>
      </c>
      <c r="H1422" s="149">
        <v>2.73</v>
      </c>
      <c r="I1422" s="150">
        <v>29.180000000000003</v>
      </c>
    </row>
    <row r="1423" spans="1:9" ht="15.6" x14ac:dyDescent="0.25">
      <c r="A1423" s="145"/>
      <c r="B1423" s="146">
        <v>5349302</v>
      </c>
      <c r="C1423" s="147"/>
      <c r="D1423" s="148" t="s">
        <v>851</v>
      </c>
      <c r="E1423" s="149">
        <v>5.31</v>
      </c>
      <c r="F1423" s="149">
        <v>2.88</v>
      </c>
      <c r="G1423" s="149">
        <v>22.66</v>
      </c>
      <c r="H1423" s="149">
        <v>2.73</v>
      </c>
      <c r="I1423" s="150">
        <v>33.58</v>
      </c>
    </row>
    <row r="1424" spans="1:9" ht="15.6" x14ac:dyDescent="0.25">
      <c r="A1424" s="145"/>
      <c r="B1424" s="146">
        <v>5357717</v>
      </c>
      <c r="C1424" s="147"/>
      <c r="D1424" s="148" t="s">
        <v>810</v>
      </c>
      <c r="E1424" s="149">
        <v>0</v>
      </c>
      <c r="F1424" s="149">
        <v>0</v>
      </c>
      <c r="G1424" s="149">
        <v>0</v>
      </c>
      <c r="H1424" s="149">
        <v>0</v>
      </c>
      <c r="I1424" s="150">
        <v>0</v>
      </c>
    </row>
    <row r="1425" spans="1:9" ht="15.6" x14ac:dyDescent="0.25">
      <c r="A1425" s="145"/>
      <c r="B1425" s="146">
        <v>5365564</v>
      </c>
      <c r="C1425" s="147"/>
      <c r="D1425" s="148" t="s">
        <v>865</v>
      </c>
      <c r="E1425" s="149">
        <v>5.31</v>
      </c>
      <c r="F1425" s="149">
        <v>2.88</v>
      </c>
      <c r="G1425" s="149">
        <v>0</v>
      </c>
      <c r="H1425" s="149">
        <v>2.73</v>
      </c>
      <c r="I1425" s="150">
        <v>10.92</v>
      </c>
    </row>
    <row r="1426" spans="1:9" ht="15.6" x14ac:dyDescent="0.25">
      <c r="A1426" s="145"/>
      <c r="B1426" s="146">
        <v>5365847</v>
      </c>
      <c r="C1426" s="147"/>
      <c r="D1426" s="148" t="s">
        <v>747</v>
      </c>
      <c r="E1426" s="149">
        <v>5.31</v>
      </c>
      <c r="F1426" s="149">
        <v>2.88</v>
      </c>
      <c r="G1426" s="149">
        <v>0</v>
      </c>
      <c r="H1426" s="149">
        <v>2.73</v>
      </c>
      <c r="I1426" s="150">
        <v>10.92</v>
      </c>
    </row>
    <row r="1427" spans="1:9" ht="15.6" x14ac:dyDescent="0.25">
      <c r="A1427" s="145"/>
      <c r="B1427" s="146">
        <v>5366103</v>
      </c>
      <c r="C1427" s="147"/>
      <c r="D1427" s="148" t="s">
        <v>739</v>
      </c>
      <c r="E1427" s="149">
        <v>5.31</v>
      </c>
      <c r="F1427" s="149">
        <v>2.88</v>
      </c>
      <c r="G1427" s="149">
        <v>0</v>
      </c>
      <c r="H1427" s="149">
        <v>2.73</v>
      </c>
      <c r="I1427" s="150">
        <v>10.92</v>
      </c>
    </row>
    <row r="1428" spans="1:9" ht="15.6" x14ac:dyDescent="0.25">
      <c r="A1428" s="145"/>
      <c r="B1428" s="146">
        <v>5373325</v>
      </c>
      <c r="C1428" s="147"/>
      <c r="D1428" s="148" t="s">
        <v>894</v>
      </c>
      <c r="E1428" s="149">
        <v>5.31</v>
      </c>
      <c r="F1428" s="149">
        <v>2.88</v>
      </c>
      <c r="G1428" s="149">
        <v>0</v>
      </c>
      <c r="H1428" s="149">
        <v>0</v>
      </c>
      <c r="I1428" s="150">
        <v>8.19</v>
      </c>
    </row>
    <row r="1429" spans="1:9" ht="15.6" x14ac:dyDescent="0.25">
      <c r="A1429" s="145"/>
      <c r="B1429" s="146">
        <v>5373975</v>
      </c>
      <c r="C1429" s="147"/>
      <c r="D1429" s="148" t="s">
        <v>857</v>
      </c>
      <c r="E1429" s="149">
        <v>5.31</v>
      </c>
      <c r="F1429" s="149">
        <v>2.88</v>
      </c>
      <c r="G1429" s="149">
        <v>0</v>
      </c>
      <c r="H1429" s="149">
        <v>2.73</v>
      </c>
      <c r="I1429" s="150">
        <v>10.92</v>
      </c>
    </row>
    <row r="1430" spans="1:9" ht="15.6" x14ac:dyDescent="0.25">
      <c r="A1430" s="145"/>
      <c r="B1430" s="146">
        <v>5380816</v>
      </c>
      <c r="C1430" s="147"/>
      <c r="D1430" s="148" t="s">
        <v>758</v>
      </c>
      <c r="E1430" s="149">
        <v>0</v>
      </c>
      <c r="F1430" s="149">
        <v>0</v>
      </c>
      <c r="G1430" s="149">
        <v>0</v>
      </c>
      <c r="H1430" s="149">
        <v>2.73</v>
      </c>
      <c r="I1430" s="150">
        <v>2.73</v>
      </c>
    </row>
    <row r="1431" spans="1:9" ht="15.6" x14ac:dyDescent="0.25">
      <c r="A1431" s="145"/>
      <c r="B1431" s="146">
        <v>5381712</v>
      </c>
      <c r="C1431" s="147"/>
      <c r="D1431" s="148" t="s">
        <v>780</v>
      </c>
      <c r="E1431" s="149">
        <v>5.31</v>
      </c>
      <c r="F1431" s="149">
        <v>2.88</v>
      </c>
      <c r="G1431" s="149">
        <v>0</v>
      </c>
      <c r="H1431" s="149">
        <v>2.73</v>
      </c>
      <c r="I1431" s="150">
        <v>10.92</v>
      </c>
    </row>
    <row r="1432" spans="1:9" ht="15.6" x14ac:dyDescent="0.25">
      <c r="A1432" s="145"/>
      <c r="B1432" s="146">
        <v>5388169</v>
      </c>
      <c r="C1432" s="147"/>
      <c r="D1432" s="148" t="s">
        <v>751</v>
      </c>
      <c r="E1432" s="149">
        <v>0</v>
      </c>
      <c r="F1432" s="149">
        <v>0</v>
      </c>
      <c r="G1432" s="149">
        <v>0</v>
      </c>
      <c r="H1432" s="149">
        <v>0</v>
      </c>
      <c r="I1432" s="150">
        <v>0</v>
      </c>
    </row>
    <row r="1433" spans="1:9" ht="15.6" x14ac:dyDescent="0.25">
      <c r="A1433" s="145"/>
      <c r="B1433" s="146">
        <v>5394013</v>
      </c>
      <c r="C1433" s="147"/>
      <c r="D1433" s="148" t="s">
        <v>919</v>
      </c>
      <c r="E1433" s="149">
        <v>5.31</v>
      </c>
      <c r="F1433" s="149">
        <v>2.88</v>
      </c>
      <c r="G1433" s="149">
        <v>0</v>
      </c>
      <c r="H1433" s="149">
        <v>2.73</v>
      </c>
      <c r="I1433" s="150">
        <v>10.92</v>
      </c>
    </row>
    <row r="1434" spans="1:9" ht="15.6" x14ac:dyDescent="0.25">
      <c r="A1434" s="145"/>
      <c r="B1434" s="146">
        <v>5404490</v>
      </c>
      <c r="C1434" s="147"/>
      <c r="D1434" s="148" t="s">
        <v>851</v>
      </c>
      <c r="E1434" s="149">
        <v>5.31</v>
      </c>
      <c r="F1434" s="149">
        <v>2.88</v>
      </c>
      <c r="G1434" s="149">
        <v>22.66</v>
      </c>
      <c r="H1434" s="149">
        <v>2.73</v>
      </c>
      <c r="I1434" s="150">
        <v>33.58</v>
      </c>
    </row>
    <row r="1435" spans="1:9" ht="15.6" x14ac:dyDescent="0.25">
      <c r="A1435" s="145"/>
      <c r="B1435" s="146">
        <v>5418255</v>
      </c>
      <c r="C1435" s="147"/>
      <c r="D1435" s="148" t="s">
        <v>919</v>
      </c>
      <c r="E1435" s="149">
        <v>0</v>
      </c>
      <c r="F1435" s="149">
        <v>0</v>
      </c>
      <c r="G1435" s="149">
        <v>0</v>
      </c>
      <c r="H1435" s="149">
        <v>0</v>
      </c>
      <c r="I1435" s="150">
        <v>0</v>
      </c>
    </row>
    <row r="1436" spans="1:9" ht="15.6" x14ac:dyDescent="0.25">
      <c r="A1436" s="145"/>
      <c r="B1436" s="146">
        <v>5422561</v>
      </c>
      <c r="C1436" s="147"/>
      <c r="D1436" s="148" t="s">
        <v>869</v>
      </c>
      <c r="E1436" s="149">
        <v>5.31</v>
      </c>
      <c r="F1436" s="149">
        <v>2.88</v>
      </c>
      <c r="G1436" s="149">
        <v>0</v>
      </c>
      <c r="H1436" s="149">
        <v>2.73</v>
      </c>
      <c r="I1436" s="150">
        <v>10.92</v>
      </c>
    </row>
    <row r="1437" spans="1:9" ht="15.6" x14ac:dyDescent="0.25">
      <c r="A1437" s="145"/>
      <c r="B1437" s="146">
        <v>5422816</v>
      </c>
      <c r="C1437" s="147"/>
      <c r="D1437" s="148" t="s">
        <v>886</v>
      </c>
      <c r="E1437" s="149">
        <v>5.31</v>
      </c>
      <c r="F1437" s="149">
        <v>2.88</v>
      </c>
      <c r="G1437" s="149">
        <v>0</v>
      </c>
      <c r="H1437" s="149">
        <v>2.73</v>
      </c>
      <c r="I1437" s="150">
        <v>10.92</v>
      </c>
    </row>
    <row r="1438" spans="1:9" ht="15.6" x14ac:dyDescent="0.25">
      <c r="A1438" s="145"/>
      <c r="B1438" s="146">
        <v>5429381</v>
      </c>
      <c r="C1438" s="147"/>
      <c r="D1438" s="148" t="s">
        <v>743</v>
      </c>
      <c r="E1438" s="149">
        <v>0</v>
      </c>
      <c r="F1438" s="149">
        <v>0</v>
      </c>
      <c r="G1438" s="149">
        <v>0</v>
      </c>
      <c r="H1438" s="149">
        <v>0</v>
      </c>
      <c r="I1438" s="150">
        <v>0</v>
      </c>
    </row>
    <row r="1439" spans="1:9" ht="15.6" x14ac:dyDescent="0.25">
      <c r="A1439" s="145"/>
      <c r="B1439" s="146">
        <v>5431933</v>
      </c>
      <c r="C1439" s="147"/>
      <c r="D1439" s="148" t="s">
        <v>787</v>
      </c>
      <c r="E1439" s="149">
        <v>5.31</v>
      </c>
      <c r="F1439" s="149">
        <v>2.88</v>
      </c>
      <c r="G1439" s="149">
        <v>24.03</v>
      </c>
      <c r="H1439" s="149">
        <v>2.73</v>
      </c>
      <c r="I1439" s="150">
        <v>34.949999999999996</v>
      </c>
    </row>
    <row r="1440" spans="1:9" ht="15.6" x14ac:dyDescent="0.25">
      <c r="A1440" s="145"/>
      <c r="B1440" s="146">
        <v>5444663</v>
      </c>
      <c r="C1440" s="147"/>
      <c r="D1440" s="148" t="s">
        <v>776</v>
      </c>
      <c r="E1440" s="149">
        <v>5.31</v>
      </c>
      <c r="F1440" s="149">
        <v>2.88</v>
      </c>
      <c r="G1440" s="149">
        <v>0</v>
      </c>
      <c r="H1440" s="149">
        <v>2.73</v>
      </c>
      <c r="I1440" s="150">
        <v>10.92</v>
      </c>
    </row>
    <row r="1441" spans="1:9" ht="15.6" x14ac:dyDescent="0.25">
      <c r="A1441" s="145"/>
      <c r="B1441" s="146">
        <v>5449189</v>
      </c>
      <c r="C1441" s="147"/>
      <c r="D1441" s="148" t="s">
        <v>945</v>
      </c>
      <c r="E1441" s="149">
        <v>0</v>
      </c>
      <c r="F1441" s="149">
        <v>0</v>
      </c>
      <c r="G1441" s="149">
        <v>0</v>
      </c>
      <c r="H1441" s="149">
        <v>0</v>
      </c>
      <c r="I1441" s="150">
        <v>0</v>
      </c>
    </row>
    <row r="1442" spans="1:9" ht="15.6" x14ac:dyDescent="0.25">
      <c r="A1442" s="145"/>
      <c r="B1442" s="146">
        <v>5451120</v>
      </c>
      <c r="C1442" s="147"/>
      <c r="D1442" s="148" t="s">
        <v>787</v>
      </c>
      <c r="E1442" s="149">
        <v>5.31</v>
      </c>
      <c r="F1442" s="149">
        <v>2.88</v>
      </c>
      <c r="G1442" s="149">
        <v>24.03</v>
      </c>
      <c r="H1442" s="149">
        <v>2.73</v>
      </c>
      <c r="I1442" s="150">
        <v>34.949999999999996</v>
      </c>
    </row>
    <row r="1443" spans="1:9" ht="15.6" x14ac:dyDescent="0.25">
      <c r="A1443" s="145"/>
      <c r="B1443" s="146">
        <v>5456574</v>
      </c>
      <c r="C1443" s="147"/>
      <c r="D1443" s="148" t="s">
        <v>832</v>
      </c>
      <c r="E1443" s="149">
        <v>5.31</v>
      </c>
      <c r="F1443" s="149">
        <v>2.88</v>
      </c>
      <c r="G1443" s="149">
        <v>0</v>
      </c>
      <c r="H1443" s="149">
        <v>2.73</v>
      </c>
      <c r="I1443" s="150">
        <v>10.92</v>
      </c>
    </row>
    <row r="1444" spans="1:9" ht="15.6" x14ac:dyDescent="0.25">
      <c r="A1444" s="145"/>
      <c r="B1444" s="146">
        <v>5456794</v>
      </c>
      <c r="C1444" s="147"/>
      <c r="D1444" s="148" t="s">
        <v>874</v>
      </c>
      <c r="E1444" s="149">
        <v>5.31</v>
      </c>
      <c r="F1444" s="149">
        <v>2.88</v>
      </c>
      <c r="G1444" s="149">
        <v>0</v>
      </c>
      <c r="H1444" s="149">
        <v>2.73</v>
      </c>
      <c r="I1444" s="150">
        <v>10.92</v>
      </c>
    </row>
    <row r="1445" spans="1:9" ht="15.6" x14ac:dyDescent="0.25">
      <c r="A1445" s="145"/>
      <c r="B1445" s="146">
        <v>5459945</v>
      </c>
      <c r="C1445" s="147"/>
      <c r="D1445" s="148" t="s">
        <v>934</v>
      </c>
      <c r="E1445" s="149">
        <v>5.31</v>
      </c>
      <c r="F1445" s="149">
        <v>2.88</v>
      </c>
      <c r="G1445" s="149">
        <v>0</v>
      </c>
      <c r="H1445" s="149">
        <v>2.73</v>
      </c>
      <c r="I1445" s="150">
        <v>10.92</v>
      </c>
    </row>
    <row r="1446" spans="1:9" ht="15.6" x14ac:dyDescent="0.25">
      <c r="A1446" s="145"/>
      <c r="B1446" s="146">
        <v>5471418</v>
      </c>
      <c r="C1446" s="147"/>
      <c r="D1446" s="148" t="s">
        <v>911</v>
      </c>
      <c r="E1446" s="149">
        <v>5.31</v>
      </c>
      <c r="F1446" s="149">
        <v>0</v>
      </c>
      <c r="G1446" s="149">
        <v>0</v>
      </c>
      <c r="H1446" s="149">
        <v>2.73</v>
      </c>
      <c r="I1446" s="150">
        <v>8.0399999999999991</v>
      </c>
    </row>
    <row r="1447" spans="1:9" ht="15.6" x14ac:dyDescent="0.25">
      <c r="A1447" s="145"/>
      <c r="B1447" s="146">
        <v>5474431</v>
      </c>
      <c r="C1447" s="147"/>
      <c r="D1447" s="148" t="s">
        <v>883</v>
      </c>
      <c r="E1447" s="149">
        <v>5.31</v>
      </c>
      <c r="F1447" s="149">
        <v>2.88</v>
      </c>
      <c r="G1447" s="149">
        <v>0</v>
      </c>
      <c r="H1447" s="149">
        <v>2.73</v>
      </c>
      <c r="I1447" s="150">
        <v>10.92</v>
      </c>
    </row>
    <row r="1448" spans="1:9" ht="15.6" x14ac:dyDescent="0.25">
      <c r="A1448" s="145"/>
      <c r="B1448" s="146">
        <v>5476997</v>
      </c>
      <c r="C1448" s="147"/>
      <c r="D1448" s="148" t="s">
        <v>936</v>
      </c>
      <c r="E1448" s="149">
        <v>5.31</v>
      </c>
      <c r="F1448" s="149">
        <v>2.88</v>
      </c>
      <c r="G1448" s="149">
        <v>0</v>
      </c>
      <c r="H1448" s="149">
        <v>2.73</v>
      </c>
      <c r="I1448" s="150">
        <v>10.92</v>
      </c>
    </row>
    <row r="1449" spans="1:9" ht="15.6" x14ac:dyDescent="0.25">
      <c r="A1449" s="145"/>
      <c r="B1449" s="146">
        <v>5477837</v>
      </c>
      <c r="C1449" s="147"/>
      <c r="D1449" s="148" t="s">
        <v>735</v>
      </c>
      <c r="E1449" s="149">
        <v>5.31</v>
      </c>
      <c r="F1449" s="149">
        <v>2.88</v>
      </c>
      <c r="G1449" s="149">
        <v>0</v>
      </c>
      <c r="H1449" s="149">
        <v>2.73</v>
      </c>
      <c r="I1449" s="150">
        <v>10.92</v>
      </c>
    </row>
    <row r="1450" spans="1:9" ht="15.6" x14ac:dyDescent="0.25">
      <c r="A1450" s="145"/>
      <c r="B1450" s="146">
        <v>5496922</v>
      </c>
      <c r="C1450" s="147"/>
      <c r="D1450" s="148" t="s">
        <v>851</v>
      </c>
      <c r="E1450" s="149">
        <v>5.31</v>
      </c>
      <c r="F1450" s="149">
        <v>2.88</v>
      </c>
      <c r="G1450" s="149">
        <v>22.66</v>
      </c>
      <c r="H1450" s="149">
        <v>2.73</v>
      </c>
      <c r="I1450" s="150">
        <v>33.58</v>
      </c>
    </row>
    <row r="1451" spans="1:9" ht="15.6" x14ac:dyDescent="0.25">
      <c r="A1451" s="145"/>
      <c r="B1451" s="146">
        <v>5497901</v>
      </c>
      <c r="C1451" s="147"/>
      <c r="D1451" s="148" t="s">
        <v>751</v>
      </c>
      <c r="E1451" s="149">
        <v>0</v>
      </c>
      <c r="F1451" s="149">
        <v>0</v>
      </c>
      <c r="G1451" s="149">
        <v>0</v>
      </c>
      <c r="H1451" s="149">
        <v>0</v>
      </c>
      <c r="I1451" s="150">
        <v>0</v>
      </c>
    </row>
    <row r="1452" spans="1:9" ht="15.6" x14ac:dyDescent="0.25">
      <c r="A1452" s="145"/>
      <c r="B1452" s="146">
        <v>5498280</v>
      </c>
      <c r="C1452" s="147"/>
      <c r="D1452" s="148" t="s">
        <v>857</v>
      </c>
      <c r="E1452" s="149">
        <v>0</v>
      </c>
      <c r="F1452" s="149">
        <v>0</v>
      </c>
      <c r="G1452" s="149">
        <v>0</v>
      </c>
      <c r="H1452" s="149">
        <v>0</v>
      </c>
      <c r="I1452" s="150">
        <v>0</v>
      </c>
    </row>
    <row r="1453" spans="1:9" ht="15.6" x14ac:dyDescent="0.25">
      <c r="A1453" s="145"/>
      <c r="B1453" s="146">
        <v>5504203</v>
      </c>
      <c r="C1453" s="147"/>
      <c r="D1453" s="148" t="s">
        <v>857</v>
      </c>
      <c r="E1453" s="149">
        <v>0</v>
      </c>
      <c r="F1453" s="149">
        <v>0</v>
      </c>
      <c r="G1453" s="149">
        <v>0</v>
      </c>
      <c r="H1453" s="149">
        <v>0</v>
      </c>
      <c r="I1453" s="150">
        <v>0</v>
      </c>
    </row>
    <row r="1454" spans="1:9" ht="15.6" x14ac:dyDescent="0.25">
      <c r="A1454" s="145"/>
      <c r="B1454" s="146">
        <v>5505363</v>
      </c>
      <c r="C1454" s="147"/>
      <c r="D1454" s="148" t="s">
        <v>778</v>
      </c>
      <c r="E1454" s="149">
        <v>5.31</v>
      </c>
      <c r="F1454" s="149">
        <v>2.88</v>
      </c>
      <c r="G1454" s="149">
        <v>0</v>
      </c>
      <c r="H1454" s="149">
        <v>2.73</v>
      </c>
      <c r="I1454" s="150">
        <v>10.92</v>
      </c>
    </row>
    <row r="1455" spans="1:9" ht="15.6" x14ac:dyDescent="0.25">
      <c r="A1455" s="145"/>
      <c r="B1455" s="146">
        <v>5508462</v>
      </c>
      <c r="C1455" s="147"/>
      <c r="D1455" s="148" t="s">
        <v>907</v>
      </c>
      <c r="E1455" s="149">
        <v>0</v>
      </c>
      <c r="F1455" s="149">
        <v>0</v>
      </c>
      <c r="G1455" s="149">
        <v>0</v>
      </c>
      <c r="H1455" s="149">
        <v>0</v>
      </c>
      <c r="I1455" s="150">
        <v>0</v>
      </c>
    </row>
    <row r="1456" spans="1:9" ht="15.6" x14ac:dyDescent="0.25">
      <c r="A1456" s="145"/>
      <c r="B1456" s="146">
        <v>5512765</v>
      </c>
      <c r="C1456" s="147"/>
      <c r="D1456" s="148" t="s">
        <v>922</v>
      </c>
      <c r="E1456" s="149">
        <v>5.31</v>
      </c>
      <c r="F1456" s="149">
        <v>2.88</v>
      </c>
      <c r="G1456" s="149">
        <v>0</v>
      </c>
      <c r="H1456" s="149">
        <v>2.73</v>
      </c>
      <c r="I1456" s="150">
        <v>10.92</v>
      </c>
    </row>
    <row r="1457" spans="1:9" ht="15.6" x14ac:dyDescent="0.25">
      <c r="A1457" s="145"/>
      <c r="B1457" s="146">
        <v>5512798</v>
      </c>
      <c r="C1457" s="147"/>
      <c r="D1457" s="148" t="s">
        <v>863</v>
      </c>
      <c r="E1457" s="149">
        <v>5.31</v>
      </c>
      <c r="F1457" s="149">
        <v>2.88</v>
      </c>
      <c r="G1457" s="149">
        <v>0</v>
      </c>
      <c r="H1457" s="149">
        <v>2.73</v>
      </c>
      <c r="I1457" s="150">
        <v>10.92</v>
      </c>
    </row>
    <row r="1458" spans="1:9" ht="15.6" x14ac:dyDescent="0.25">
      <c r="A1458" s="145"/>
      <c r="B1458" s="146">
        <v>5515465</v>
      </c>
      <c r="C1458" s="147"/>
      <c r="D1458" s="148" t="s">
        <v>822</v>
      </c>
      <c r="E1458" s="149">
        <v>5.31</v>
      </c>
      <c r="F1458" s="149">
        <v>2.88</v>
      </c>
      <c r="G1458" s="149">
        <v>0</v>
      </c>
      <c r="H1458" s="149">
        <v>2.73</v>
      </c>
      <c r="I1458" s="150">
        <v>10.92</v>
      </c>
    </row>
    <row r="1459" spans="1:9" ht="15.6" x14ac:dyDescent="0.25">
      <c r="A1459" s="145"/>
      <c r="B1459" s="146">
        <v>5515841</v>
      </c>
      <c r="C1459" s="147"/>
      <c r="D1459" s="148" t="s">
        <v>732</v>
      </c>
      <c r="E1459" s="149">
        <v>0</v>
      </c>
      <c r="F1459" s="149">
        <v>0</v>
      </c>
      <c r="G1459" s="149">
        <v>0</v>
      </c>
      <c r="H1459" s="149">
        <v>0</v>
      </c>
      <c r="I1459" s="150">
        <v>0</v>
      </c>
    </row>
    <row r="1460" spans="1:9" ht="15.6" x14ac:dyDescent="0.25">
      <c r="A1460" s="145"/>
      <c r="B1460" s="146">
        <v>5517066</v>
      </c>
      <c r="C1460" s="147"/>
      <c r="D1460" s="148" t="s">
        <v>927</v>
      </c>
      <c r="E1460" s="149">
        <v>0</v>
      </c>
      <c r="F1460" s="149">
        <v>0</v>
      </c>
      <c r="G1460" s="149">
        <v>0</v>
      </c>
      <c r="H1460" s="149">
        <v>2.73</v>
      </c>
      <c r="I1460" s="150">
        <v>2.73</v>
      </c>
    </row>
    <row r="1461" spans="1:9" ht="15.6" x14ac:dyDescent="0.25">
      <c r="A1461" s="145"/>
      <c r="B1461" s="146">
        <v>5519876</v>
      </c>
      <c r="C1461" s="147"/>
      <c r="D1461" s="148" t="s">
        <v>770</v>
      </c>
      <c r="E1461" s="149">
        <v>5.31</v>
      </c>
      <c r="F1461" s="149">
        <v>2.88</v>
      </c>
      <c r="G1461" s="149">
        <v>0</v>
      </c>
      <c r="H1461" s="149">
        <v>0</v>
      </c>
      <c r="I1461" s="150">
        <v>8.19</v>
      </c>
    </row>
    <row r="1462" spans="1:9" ht="15.6" x14ac:dyDescent="0.25">
      <c r="A1462" s="145"/>
      <c r="B1462" s="146">
        <v>5524403</v>
      </c>
      <c r="C1462" s="147"/>
      <c r="D1462" s="148" t="s">
        <v>924</v>
      </c>
      <c r="E1462" s="149">
        <v>0</v>
      </c>
      <c r="F1462" s="149">
        <v>0</v>
      </c>
      <c r="G1462" s="149">
        <v>0</v>
      </c>
      <c r="H1462" s="149">
        <v>0</v>
      </c>
      <c r="I1462" s="150">
        <v>0</v>
      </c>
    </row>
    <row r="1463" spans="1:9" ht="15.6" x14ac:dyDescent="0.25">
      <c r="A1463" s="145"/>
      <c r="B1463" s="146">
        <v>5531370</v>
      </c>
      <c r="C1463" s="147"/>
      <c r="D1463" s="148" t="s">
        <v>915</v>
      </c>
      <c r="E1463" s="149">
        <v>5.31</v>
      </c>
      <c r="F1463" s="149">
        <v>2.88</v>
      </c>
      <c r="G1463" s="149">
        <v>0</v>
      </c>
      <c r="H1463" s="149">
        <v>2.73</v>
      </c>
      <c r="I1463" s="150">
        <v>10.92</v>
      </c>
    </row>
    <row r="1464" spans="1:9" ht="15.6" x14ac:dyDescent="0.25">
      <c r="A1464" s="145"/>
      <c r="B1464" s="146">
        <v>5546605</v>
      </c>
      <c r="C1464" s="147"/>
      <c r="D1464" s="148" t="s">
        <v>931</v>
      </c>
      <c r="E1464" s="149">
        <v>5.31</v>
      </c>
      <c r="F1464" s="149">
        <v>2.88</v>
      </c>
      <c r="G1464" s="149">
        <v>0</v>
      </c>
      <c r="H1464" s="149">
        <v>2.73</v>
      </c>
      <c r="I1464" s="150">
        <v>10.92</v>
      </c>
    </row>
    <row r="1465" spans="1:9" ht="15.6" x14ac:dyDescent="0.25">
      <c r="A1465" s="145"/>
      <c r="B1465" s="146">
        <v>5547226</v>
      </c>
      <c r="C1465" s="147"/>
      <c r="D1465" s="148" t="s">
        <v>849</v>
      </c>
      <c r="E1465" s="149">
        <v>0</v>
      </c>
      <c r="F1465" s="149">
        <v>0</v>
      </c>
      <c r="G1465" s="149">
        <v>0</v>
      </c>
      <c r="H1465" s="149">
        <v>2.73</v>
      </c>
      <c r="I1465" s="150">
        <v>2.73</v>
      </c>
    </row>
    <row r="1466" spans="1:9" ht="15.6" x14ac:dyDescent="0.25">
      <c r="A1466" s="145"/>
      <c r="B1466" s="146">
        <v>5549652</v>
      </c>
      <c r="C1466" s="147"/>
      <c r="D1466" s="148" t="s">
        <v>753</v>
      </c>
      <c r="E1466" s="149">
        <v>0</v>
      </c>
      <c r="F1466" s="149">
        <v>0</v>
      </c>
      <c r="G1466" s="149">
        <v>0</v>
      </c>
      <c r="H1466" s="149">
        <v>2.73</v>
      </c>
      <c r="I1466" s="150">
        <v>2.73</v>
      </c>
    </row>
    <row r="1467" spans="1:9" ht="15.6" x14ac:dyDescent="0.25">
      <c r="A1467" s="145"/>
      <c r="B1467" s="146">
        <v>5554126</v>
      </c>
      <c r="C1467" s="147"/>
      <c r="D1467" s="148" t="s">
        <v>878</v>
      </c>
      <c r="E1467" s="149">
        <v>5.31</v>
      </c>
      <c r="F1467" s="149">
        <v>2.88</v>
      </c>
      <c r="G1467" s="149">
        <v>0</v>
      </c>
      <c r="H1467" s="149">
        <v>2.73</v>
      </c>
      <c r="I1467" s="150">
        <v>10.92</v>
      </c>
    </row>
    <row r="1468" spans="1:9" ht="15.6" x14ac:dyDescent="0.25">
      <c r="A1468" s="145"/>
      <c r="B1468" s="146">
        <v>5556676</v>
      </c>
      <c r="C1468" s="147"/>
      <c r="D1468" s="148" t="s">
        <v>851</v>
      </c>
      <c r="E1468" s="149">
        <v>5.31</v>
      </c>
      <c r="F1468" s="149">
        <v>2.88</v>
      </c>
      <c r="G1468" s="149">
        <v>22.66</v>
      </c>
      <c r="H1468" s="149">
        <v>2.73</v>
      </c>
      <c r="I1468" s="150">
        <v>33.58</v>
      </c>
    </row>
    <row r="1469" spans="1:9" ht="15.6" x14ac:dyDescent="0.25">
      <c r="A1469" s="145"/>
      <c r="B1469" s="146">
        <v>5559051</v>
      </c>
      <c r="C1469" s="147"/>
      <c r="D1469" s="148" t="s">
        <v>789</v>
      </c>
      <c r="E1469" s="149">
        <v>5.31</v>
      </c>
      <c r="F1469" s="149">
        <v>2.88</v>
      </c>
      <c r="G1469" s="149">
        <v>24.03</v>
      </c>
      <c r="H1469" s="149">
        <v>2.73</v>
      </c>
      <c r="I1469" s="150">
        <v>34.949999999999996</v>
      </c>
    </row>
    <row r="1470" spans="1:9" ht="15.6" x14ac:dyDescent="0.25">
      <c r="A1470" s="145"/>
      <c r="B1470" s="146">
        <v>5559771</v>
      </c>
      <c r="C1470" s="147"/>
      <c r="D1470" s="148" t="s">
        <v>787</v>
      </c>
      <c r="E1470" s="149">
        <v>5.31</v>
      </c>
      <c r="F1470" s="149">
        <v>2.88</v>
      </c>
      <c r="G1470" s="149">
        <v>32.92</v>
      </c>
      <c r="H1470" s="149">
        <v>2.73</v>
      </c>
      <c r="I1470" s="150">
        <v>43.839999999999996</v>
      </c>
    </row>
    <row r="1471" spans="1:9" ht="15.6" x14ac:dyDescent="0.25">
      <c r="A1471" s="145"/>
      <c r="B1471" s="146">
        <v>5560675</v>
      </c>
      <c r="C1471" s="147"/>
      <c r="D1471" s="148" t="s">
        <v>868</v>
      </c>
      <c r="E1471" s="149">
        <v>5.31</v>
      </c>
      <c r="F1471" s="149">
        <v>2.88</v>
      </c>
      <c r="G1471" s="149">
        <v>0</v>
      </c>
      <c r="H1471" s="149">
        <v>2.73</v>
      </c>
      <c r="I1471" s="150">
        <v>10.92</v>
      </c>
    </row>
    <row r="1472" spans="1:9" ht="15.6" x14ac:dyDescent="0.25">
      <c r="A1472" s="145"/>
      <c r="B1472" s="146">
        <v>5568542</v>
      </c>
      <c r="C1472" s="147"/>
      <c r="D1472" s="148" t="s">
        <v>790</v>
      </c>
      <c r="E1472" s="149">
        <v>5.31</v>
      </c>
      <c r="F1472" s="149">
        <v>2.88</v>
      </c>
      <c r="G1472" s="149">
        <v>24.03</v>
      </c>
      <c r="H1472" s="149">
        <v>2.73</v>
      </c>
      <c r="I1472" s="150">
        <v>34.949999999999996</v>
      </c>
    </row>
    <row r="1473" spans="1:9" ht="15.6" x14ac:dyDescent="0.25">
      <c r="A1473" s="145"/>
      <c r="B1473" s="146">
        <v>5571072</v>
      </c>
      <c r="C1473" s="147"/>
      <c r="D1473" s="148" t="s">
        <v>868</v>
      </c>
      <c r="E1473" s="149">
        <v>5.31</v>
      </c>
      <c r="F1473" s="149">
        <v>2.88</v>
      </c>
      <c r="G1473" s="149">
        <v>0</v>
      </c>
      <c r="H1473" s="149">
        <v>2.73</v>
      </c>
      <c r="I1473" s="150">
        <v>10.92</v>
      </c>
    </row>
    <row r="1474" spans="1:9" ht="15.6" x14ac:dyDescent="0.25">
      <c r="A1474" s="145"/>
      <c r="B1474" s="146">
        <v>5573893</v>
      </c>
      <c r="C1474" s="147"/>
      <c r="D1474" s="148" t="s">
        <v>870</v>
      </c>
      <c r="E1474" s="149">
        <v>0</v>
      </c>
      <c r="F1474" s="149">
        <v>0</v>
      </c>
      <c r="G1474" s="149">
        <v>0</v>
      </c>
      <c r="H1474" s="149">
        <v>0</v>
      </c>
      <c r="I1474" s="150">
        <v>0</v>
      </c>
    </row>
    <row r="1475" spans="1:9" ht="15.6" x14ac:dyDescent="0.25">
      <c r="A1475" s="145"/>
      <c r="B1475" s="146">
        <v>5575887</v>
      </c>
      <c r="C1475" s="147"/>
      <c r="D1475" s="148" t="s">
        <v>829</v>
      </c>
      <c r="E1475" s="149">
        <v>5.31</v>
      </c>
      <c r="F1475" s="149">
        <v>2.88</v>
      </c>
      <c r="G1475" s="149">
        <v>0</v>
      </c>
      <c r="H1475" s="149">
        <v>2.73</v>
      </c>
      <c r="I1475" s="150">
        <v>10.92</v>
      </c>
    </row>
    <row r="1476" spans="1:9" ht="15.6" x14ac:dyDescent="0.25">
      <c r="A1476" s="145"/>
      <c r="B1476" s="146">
        <v>5581318</v>
      </c>
      <c r="C1476" s="147"/>
      <c r="D1476" s="148" t="s">
        <v>789</v>
      </c>
      <c r="E1476" s="149">
        <v>5.31</v>
      </c>
      <c r="F1476" s="149">
        <v>2.88</v>
      </c>
      <c r="G1476" s="149">
        <v>18.260000000000002</v>
      </c>
      <c r="H1476" s="149">
        <v>2.73</v>
      </c>
      <c r="I1476" s="150">
        <v>29.180000000000003</v>
      </c>
    </row>
    <row r="1477" spans="1:9" ht="15.6" x14ac:dyDescent="0.25">
      <c r="A1477" s="145"/>
      <c r="B1477" s="146">
        <v>5582597</v>
      </c>
      <c r="C1477" s="147"/>
      <c r="D1477" s="148" t="s">
        <v>745</v>
      </c>
      <c r="E1477" s="149">
        <v>5.31</v>
      </c>
      <c r="F1477" s="149">
        <v>2.88</v>
      </c>
      <c r="G1477" s="149">
        <v>0</v>
      </c>
      <c r="H1477" s="149">
        <v>2.73</v>
      </c>
      <c r="I1477" s="150">
        <v>10.92</v>
      </c>
    </row>
    <row r="1478" spans="1:9" ht="15.6" x14ac:dyDescent="0.25">
      <c r="A1478" s="145"/>
      <c r="B1478" s="146">
        <v>5584888</v>
      </c>
      <c r="C1478" s="147"/>
      <c r="D1478" s="148" t="s">
        <v>894</v>
      </c>
      <c r="E1478" s="149">
        <v>5.31</v>
      </c>
      <c r="F1478" s="149">
        <v>2.88</v>
      </c>
      <c r="G1478" s="149">
        <v>0</v>
      </c>
      <c r="H1478" s="149">
        <v>0</v>
      </c>
      <c r="I1478" s="150">
        <v>8.19</v>
      </c>
    </row>
    <row r="1479" spans="1:9" ht="15.6" x14ac:dyDescent="0.25">
      <c r="A1479" s="145"/>
      <c r="B1479" s="146">
        <v>5590811</v>
      </c>
      <c r="C1479" s="147"/>
      <c r="D1479" s="148" t="s">
        <v>851</v>
      </c>
      <c r="E1479" s="149">
        <v>5.31</v>
      </c>
      <c r="F1479" s="149">
        <v>2.88</v>
      </c>
      <c r="G1479" s="149">
        <v>35.08</v>
      </c>
      <c r="H1479" s="149">
        <v>2.73</v>
      </c>
      <c r="I1479" s="150">
        <v>45.999999999999993</v>
      </c>
    </row>
    <row r="1480" spans="1:9" ht="15.6" x14ac:dyDescent="0.25">
      <c r="A1480" s="145"/>
      <c r="B1480" s="146">
        <v>5591769</v>
      </c>
      <c r="C1480" s="147"/>
      <c r="D1480" s="148" t="s">
        <v>733</v>
      </c>
      <c r="E1480" s="149">
        <v>0</v>
      </c>
      <c r="F1480" s="149">
        <v>0</v>
      </c>
      <c r="G1480" s="149">
        <v>0</v>
      </c>
      <c r="H1480" s="149">
        <v>0</v>
      </c>
      <c r="I1480" s="150">
        <v>0</v>
      </c>
    </row>
    <row r="1481" spans="1:9" ht="15.6" x14ac:dyDescent="0.25">
      <c r="A1481" s="145"/>
      <c r="B1481" s="146">
        <v>5596595</v>
      </c>
      <c r="C1481" s="147"/>
      <c r="D1481" s="148" t="s">
        <v>789</v>
      </c>
      <c r="E1481" s="149">
        <v>5.31</v>
      </c>
      <c r="F1481" s="149">
        <v>2.88</v>
      </c>
      <c r="G1481" s="149">
        <v>24.03</v>
      </c>
      <c r="H1481" s="149">
        <v>2.73</v>
      </c>
      <c r="I1481" s="150">
        <v>34.949999999999996</v>
      </c>
    </row>
    <row r="1482" spans="1:9" ht="15.6" x14ac:dyDescent="0.25">
      <c r="A1482" s="145"/>
      <c r="B1482" s="146">
        <v>5600494</v>
      </c>
      <c r="C1482" s="147"/>
      <c r="D1482" s="148" t="s">
        <v>864</v>
      </c>
      <c r="E1482" s="149">
        <v>5.31</v>
      </c>
      <c r="F1482" s="149">
        <v>2.88</v>
      </c>
      <c r="G1482" s="149">
        <v>0</v>
      </c>
      <c r="H1482" s="149">
        <v>2.73</v>
      </c>
      <c r="I1482" s="150">
        <v>10.92</v>
      </c>
    </row>
    <row r="1483" spans="1:9" ht="15.6" x14ac:dyDescent="0.25">
      <c r="A1483" s="145"/>
      <c r="B1483" s="146">
        <v>5606261</v>
      </c>
      <c r="C1483" s="147"/>
      <c r="D1483" s="148" t="s">
        <v>816</v>
      </c>
      <c r="E1483" s="149">
        <v>5.31</v>
      </c>
      <c r="F1483" s="149">
        <v>2.88</v>
      </c>
      <c r="G1483" s="149">
        <v>0</v>
      </c>
      <c r="H1483" s="149">
        <v>2.73</v>
      </c>
      <c r="I1483" s="150">
        <v>10.92</v>
      </c>
    </row>
    <row r="1484" spans="1:9" ht="15.6" x14ac:dyDescent="0.25">
      <c r="A1484" s="145"/>
      <c r="B1484" s="146">
        <v>5614460</v>
      </c>
      <c r="C1484" s="147"/>
      <c r="D1484" s="148" t="s">
        <v>857</v>
      </c>
      <c r="E1484" s="149">
        <v>0</v>
      </c>
      <c r="F1484" s="149">
        <v>0</v>
      </c>
      <c r="G1484" s="149">
        <v>0</v>
      </c>
      <c r="H1484" s="149">
        <v>0</v>
      </c>
      <c r="I1484" s="150">
        <v>0</v>
      </c>
    </row>
    <row r="1485" spans="1:9" ht="15.6" x14ac:dyDescent="0.25">
      <c r="A1485" s="145"/>
      <c r="B1485" s="146">
        <v>5620694</v>
      </c>
      <c r="C1485" s="147"/>
      <c r="D1485" s="148" t="s">
        <v>868</v>
      </c>
      <c r="E1485" s="149">
        <v>5.31</v>
      </c>
      <c r="F1485" s="149">
        <v>2.88</v>
      </c>
      <c r="G1485" s="149">
        <v>0</v>
      </c>
      <c r="H1485" s="149">
        <v>2.73</v>
      </c>
      <c r="I1485" s="150">
        <v>10.92</v>
      </c>
    </row>
    <row r="1486" spans="1:9" ht="15.6" x14ac:dyDescent="0.25">
      <c r="A1486" s="145"/>
      <c r="B1486" s="146">
        <v>5623141</v>
      </c>
      <c r="C1486" s="147"/>
      <c r="D1486" s="148" t="s">
        <v>881</v>
      </c>
      <c r="E1486" s="149">
        <v>5.31</v>
      </c>
      <c r="F1486" s="149">
        <v>2.88</v>
      </c>
      <c r="G1486" s="149">
        <v>0</v>
      </c>
      <c r="H1486" s="149">
        <v>2.73</v>
      </c>
      <c r="I1486" s="150">
        <v>10.92</v>
      </c>
    </row>
    <row r="1487" spans="1:9" ht="15.6" x14ac:dyDescent="0.25">
      <c r="A1487" s="145"/>
      <c r="B1487" s="146">
        <v>5628386</v>
      </c>
      <c r="C1487" s="147"/>
      <c r="D1487" s="148" t="s">
        <v>871</v>
      </c>
      <c r="E1487" s="149">
        <v>5.31</v>
      </c>
      <c r="F1487" s="149">
        <v>2.88</v>
      </c>
      <c r="G1487" s="149">
        <v>0</v>
      </c>
      <c r="H1487" s="149">
        <v>2.73</v>
      </c>
      <c r="I1487" s="150">
        <v>10.92</v>
      </c>
    </row>
    <row r="1488" spans="1:9" ht="15.6" x14ac:dyDescent="0.25">
      <c r="A1488" s="145"/>
      <c r="B1488" s="146">
        <v>5637885</v>
      </c>
      <c r="C1488" s="147"/>
      <c r="D1488" s="148" t="s">
        <v>933</v>
      </c>
      <c r="E1488" s="149">
        <v>5.31</v>
      </c>
      <c r="F1488" s="149">
        <v>2.88</v>
      </c>
      <c r="G1488" s="149">
        <v>0</v>
      </c>
      <c r="H1488" s="149">
        <v>2.73</v>
      </c>
      <c r="I1488" s="150">
        <v>10.92</v>
      </c>
    </row>
    <row r="1489" spans="1:9" ht="15.6" x14ac:dyDescent="0.25">
      <c r="A1489" s="145"/>
      <c r="B1489" s="146">
        <v>5645193</v>
      </c>
      <c r="C1489" s="147"/>
      <c r="D1489" s="148" t="s">
        <v>908</v>
      </c>
      <c r="E1489" s="149">
        <v>5.31</v>
      </c>
      <c r="F1489" s="149">
        <v>2.88</v>
      </c>
      <c r="G1489" s="149">
        <v>0</v>
      </c>
      <c r="H1489" s="149">
        <v>2.73</v>
      </c>
      <c r="I1489" s="150">
        <v>10.92</v>
      </c>
    </row>
    <row r="1490" spans="1:9" ht="15.6" x14ac:dyDescent="0.25">
      <c r="A1490" s="145"/>
      <c r="B1490" s="146">
        <v>5649623</v>
      </c>
      <c r="C1490" s="147"/>
      <c r="D1490" s="148" t="s">
        <v>871</v>
      </c>
      <c r="E1490" s="149">
        <v>5.31</v>
      </c>
      <c r="F1490" s="149">
        <v>2.88</v>
      </c>
      <c r="G1490" s="149">
        <v>0</v>
      </c>
      <c r="H1490" s="149">
        <v>2.73</v>
      </c>
      <c r="I1490" s="150">
        <v>10.92</v>
      </c>
    </row>
    <row r="1491" spans="1:9" ht="15.6" x14ac:dyDescent="0.25">
      <c r="A1491" s="145"/>
      <c r="B1491" s="146">
        <v>5653068</v>
      </c>
      <c r="C1491" s="147"/>
      <c r="D1491" s="148" t="s">
        <v>908</v>
      </c>
      <c r="E1491" s="149">
        <v>5.31</v>
      </c>
      <c r="F1491" s="149">
        <v>2.88</v>
      </c>
      <c r="G1491" s="149">
        <v>0</v>
      </c>
      <c r="H1491" s="149">
        <v>2.73</v>
      </c>
      <c r="I1491" s="150">
        <v>10.92</v>
      </c>
    </row>
    <row r="1492" spans="1:9" ht="15.6" x14ac:dyDescent="0.25">
      <c r="A1492" s="145"/>
      <c r="B1492" s="146">
        <v>5654006</v>
      </c>
      <c r="C1492" s="147"/>
      <c r="D1492" s="148" t="s">
        <v>919</v>
      </c>
      <c r="E1492" s="149">
        <v>0</v>
      </c>
      <c r="F1492" s="149">
        <v>0</v>
      </c>
      <c r="G1492" s="149">
        <v>0</v>
      </c>
      <c r="H1492" s="149">
        <v>0</v>
      </c>
      <c r="I1492" s="150">
        <v>0</v>
      </c>
    </row>
    <row r="1493" spans="1:9" ht="15.6" x14ac:dyDescent="0.25">
      <c r="A1493" s="145"/>
      <c r="B1493" s="146">
        <v>5654301</v>
      </c>
      <c r="C1493" s="147"/>
      <c r="D1493" s="148" t="s">
        <v>861</v>
      </c>
      <c r="E1493" s="149">
        <v>5.31</v>
      </c>
      <c r="F1493" s="149">
        <v>2.88</v>
      </c>
      <c r="G1493" s="149">
        <v>0</v>
      </c>
      <c r="H1493" s="149">
        <v>2.73</v>
      </c>
      <c r="I1493" s="150">
        <v>10.92</v>
      </c>
    </row>
    <row r="1494" spans="1:9" ht="15.6" x14ac:dyDescent="0.25">
      <c r="A1494" s="145"/>
      <c r="B1494" s="146">
        <v>5655513</v>
      </c>
      <c r="C1494" s="147"/>
      <c r="D1494" s="148" t="s">
        <v>889</v>
      </c>
      <c r="E1494" s="149">
        <v>5.31</v>
      </c>
      <c r="F1494" s="149">
        <v>2.88</v>
      </c>
      <c r="G1494" s="149">
        <v>0</v>
      </c>
      <c r="H1494" s="149">
        <v>2.73</v>
      </c>
      <c r="I1494" s="150">
        <v>10.92</v>
      </c>
    </row>
    <row r="1495" spans="1:9" ht="15.6" x14ac:dyDescent="0.25">
      <c r="A1495" s="145"/>
      <c r="B1495" s="146">
        <v>5657457</v>
      </c>
      <c r="C1495" s="147"/>
      <c r="D1495" s="148" t="s">
        <v>859</v>
      </c>
      <c r="E1495" s="149">
        <v>5.31</v>
      </c>
      <c r="F1495" s="149">
        <v>2.88</v>
      </c>
      <c r="G1495" s="149">
        <v>0</v>
      </c>
      <c r="H1495" s="149">
        <v>0</v>
      </c>
      <c r="I1495" s="150">
        <v>8.19</v>
      </c>
    </row>
    <row r="1496" spans="1:9" ht="15.6" x14ac:dyDescent="0.25">
      <c r="A1496" s="145"/>
      <c r="B1496" s="146">
        <v>5657828</v>
      </c>
      <c r="C1496" s="147"/>
      <c r="D1496" s="148" t="s">
        <v>853</v>
      </c>
      <c r="E1496" s="149">
        <v>5.31</v>
      </c>
      <c r="F1496" s="149">
        <v>2.88</v>
      </c>
      <c r="G1496" s="149">
        <v>0</v>
      </c>
      <c r="H1496" s="149">
        <v>2.73</v>
      </c>
      <c r="I1496" s="150">
        <v>10.92</v>
      </c>
    </row>
    <row r="1497" spans="1:9" ht="15.6" x14ac:dyDescent="0.25">
      <c r="A1497" s="145"/>
      <c r="B1497" s="146">
        <v>5666059</v>
      </c>
      <c r="C1497" s="147"/>
      <c r="D1497" s="148" t="s">
        <v>881</v>
      </c>
      <c r="E1497" s="149">
        <v>5.31</v>
      </c>
      <c r="F1497" s="149">
        <v>2.88</v>
      </c>
      <c r="G1497" s="149">
        <v>0</v>
      </c>
      <c r="H1497" s="149">
        <v>2.73</v>
      </c>
      <c r="I1497" s="150">
        <v>10.92</v>
      </c>
    </row>
    <row r="1498" spans="1:9" ht="15.6" x14ac:dyDescent="0.25">
      <c r="A1498" s="145"/>
      <c r="B1498" s="146">
        <v>5666628</v>
      </c>
      <c r="C1498" s="147"/>
      <c r="D1498" s="148" t="s">
        <v>873</v>
      </c>
      <c r="E1498" s="149">
        <v>5.31</v>
      </c>
      <c r="F1498" s="149">
        <v>2.88</v>
      </c>
      <c r="G1498" s="149">
        <v>0</v>
      </c>
      <c r="H1498" s="149">
        <v>2.73</v>
      </c>
      <c r="I1498" s="150">
        <v>10.92</v>
      </c>
    </row>
    <row r="1499" spans="1:9" ht="15.6" x14ac:dyDescent="0.25">
      <c r="A1499" s="145"/>
      <c r="B1499" s="146">
        <v>5674969</v>
      </c>
      <c r="C1499" s="147"/>
      <c r="D1499" s="148" t="s">
        <v>747</v>
      </c>
      <c r="E1499" s="149">
        <v>5.31</v>
      </c>
      <c r="F1499" s="149">
        <v>2.88</v>
      </c>
      <c r="G1499" s="149">
        <v>0</v>
      </c>
      <c r="H1499" s="149">
        <v>2.73</v>
      </c>
      <c r="I1499" s="150">
        <v>10.92</v>
      </c>
    </row>
    <row r="1500" spans="1:9" ht="15.6" x14ac:dyDescent="0.25">
      <c r="A1500" s="145"/>
      <c r="B1500" s="146">
        <v>5676479</v>
      </c>
      <c r="C1500" s="147"/>
      <c r="D1500" s="148" t="s">
        <v>865</v>
      </c>
      <c r="E1500" s="149">
        <v>5.31</v>
      </c>
      <c r="F1500" s="149">
        <v>2.88</v>
      </c>
      <c r="G1500" s="149">
        <v>0</v>
      </c>
      <c r="H1500" s="149">
        <v>2.73</v>
      </c>
      <c r="I1500" s="150">
        <v>10.92</v>
      </c>
    </row>
    <row r="1501" spans="1:9" ht="15.6" x14ac:dyDescent="0.25">
      <c r="A1501" s="145"/>
      <c r="B1501" s="146">
        <v>5677145</v>
      </c>
      <c r="C1501" s="147"/>
      <c r="D1501" s="148" t="s">
        <v>857</v>
      </c>
      <c r="E1501" s="149">
        <v>5.31</v>
      </c>
      <c r="F1501" s="149">
        <v>2.88</v>
      </c>
      <c r="G1501" s="149">
        <v>0</v>
      </c>
      <c r="H1501" s="149">
        <v>2.73</v>
      </c>
      <c r="I1501" s="150">
        <v>10.92</v>
      </c>
    </row>
    <row r="1502" spans="1:9" ht="15.6" x14ac:dyDescent="0.25">
      <c r="A1502" s="145"/>
      <c r="B1502" s="146">
        <v>5678546</v>
      </c>
      <c r="C1502" s="147"/>
      <c r="D1502" s="148" t="s">
        <v>868</v>
      </c>
      <c r="E1502" s="149">
        <v>5.31</v>
      </c>
      <c r="F1502" s="149">
        <v>2.88</v>
      </c>
      <c r="G1502" s="149">
        <v>0</v>
      </c>
      <c r="H1502" s="149">
        <v>2.73</v>
      </c>
      <c r="I1502" s="150">
        <v>10.92</v>
      </c>
    </row>
    <row r="1503" spans="1:9" ht="15.6" x14ac:dyDescent="0.25">
      <c r="A1503" s="145"/>
      <c r="B1503" s="146">
        <v>5681418</v>
      </c>
      <c r="C1503" s="147"/>
      <c r="D1503" s="148" t="s">
        <v>886</v>
      </c>
      <c r="E1503" s="149">
        <v>5.31</v>
      </c>
      <c r="F1503" s="149">
        <v>2.88</v>
      </c>
      <c r="G1503" s="149">
        <v>0</v>
      </c>
      <c r="H1503" s="149">
        <v>2.73</v>
      </c>
      <c r="I1503" s="150">
        <v>10.92</v>
      </c>
    </row>
    <row r="1504" spans="1:9" ht="15.6" x14ac:dyDescent="0.25">
      <c r="A1504" s="145"/>
      <c r="B1504" s="146">
        <v>5686099</v>
      </c>
      <c r="C1504" s="147"/>
      <c r="D1504" s="148" t="s">
        <v>869</v>
      </c>
      <c r="E1504" s="149">
        <v>5.31</v>
      </c>
      <c r="F1504" s="149">
        <v>2.88</v>
      </c>
      <c r="G1504" s="149">
        <v>0</v>
      </c>
      <c r="H1504" s="149">
        <v>2.73</v>
      </c>
      <c r="I1504" s="150">
        <v>10.92</v>
      </c>
    </row>
    <row r="1505" spans="1:9" ht="15.6" x14ac:dyDescent="0.25">
      <c r="A1505" s="145"/>
      <c r="B1505" s="146">
        <v>5692949</v>
      </c>
      <c r="C1505" s="147"/>
      <c r="D1505" s="148" t="s">
        <v>765</v>
      </c>
      <c r="E1505" s="149">
        <v>0</v>
      </c>
      <c r="F1505" s="149">
        <v>0</v>
      </c>
      <c r="G1505" s="149">
        <v>0</v>
      </c>
      <c r="H1505" s="149">
        <v>0</v>
      </c>
      <c r="I1505" s="150">
        <v>0</v>
      </c>
    </row>
    <row r="1506" spans="1:9" ht="15.6" x14ac:dyDescent="0.25">
      <c r="A1506" s="145"/>
      <c r="B1506" s="146">
        <v>5697822</v>
      </c>
      <c r="C1506" s="147"/>
      <c r="D1506" s="148" t="s">
        <v>779</v>
      </c>
      <c r="E1506" s="149">
        <v>5.31</v>
      </c>
      <c r="F1506" s="149">
        <v>2.88</v>
      </c>
      <c r="G1506" s="149">
        <v>0</v>
      </c>
      <c r="H1506" s="149">
        <v>2.73</v>
      </c>
      <c r="I1506" s="150">
        <v>10.92</v>
      </c>
    </row>
    <row r="1507" spans="1:9" ht="15.6" x14ac:dyDescent="0.25">
      <c r="A1507" s="145"/>
      <c r="B1507" s="146">
        <v>5698506</v>
      </c>
      <c r="C1507" s="147"/>
      <c r="D1507" s="148" t="s">
        <v>919</v>
      </c>
      <c r="E1507" s="149">
        <v>5.31</v>
      </c>
      <c r="F1507" s="149">
        <v>2.88</v>
      </c>
      <c r="G1507" s="149">
        <v>0</v>
      </c>
      <c r="H1507" s="149">
        <v>2.73</v>
      </c>
      <c r="I1507" s="150">
        <v>10.92</v>
      </c>
    </row>
    <row r="1508" spans="1:9" ht="15.6" x14ac:dyDescent="0.25">
      <c r="A1508" s="145"/>
      <c r="B1508" s="146">
        <v>5699673</v>
      </c>
      <c r="C1508" s="147"/>
      <c r="D1508" s="148" t="s">
        <v>866</v>
      </c>
      <c r="E1508" s="149">
        <v>5.31</v>
      </c>
      <c r="F1508" s="149">
        <v>2.88</v>
      </c>
      <c r="G1508" s="149">
        <v>0</v>
      </c>
      <c r="H1508" s="149">
        <v>2.73</v>
      </c>
      <c r="I1508" s="150">
        <v>10.92</v>
      </c>
    </row>
    <row r="1509" spans="1:9" ht="15.6" x14ac:dyDescent="0.25">
      <c r="A1509" s="145"/>
      <c r="B1509" s="146">
        <v>5704214</v>
      </c>
      <c r="C1509" s="147"/>
      <c r="D1509" s="148" t="s">
        <v>849</v>
      </c>
      <c r="E1509" s="149">
        <v>0</v>
      </c>
      <c r="F1509" s="149">
        <v>0</v>
      </c>
      <c r="G1509" s="149">
        <v>0</v>
      </c>
      <c r="H1509" s="149">
        <v>2.73</v>
      </c>
      <c r="I1509" s="150">
        <v>2.73</v>
      </c>
    </row>
    <row r="1510" spans="1:9" ht="15.6" x14ac:dyDescent="0.25">
      <c r="A1510" s="145"/>
      <c r="B1510" s="146">
        <v>5707597</v>
      </c>
      <c r="C1510" s="147"/>
      <c r="D1510" s="148" t="s">
        <v>921</v>
      </c>
      <c r="E1510" s="149">
        <v>0</v>
      </c>
      <c r="F1510" s="149">
        <v>0</v>
      </c>
      <c r="G1510" s="149">
        <v>0</v>
      </c>
      <c r="H1510" s="149">
        <v>0</v>
      </c>
      <c r="I1510" s="150">
        <v>0</v>
      </c>
    </row>
    <row r="1511" spans="1:9" ht="15.6" x14ac:dyDescent="0.25">
      <c r="A1511" s="145"/>
      <c r="B1511" s="146">
        <v>5712029</v>
      </c>
      <c r="C1511" s="147"/>
      <c r="D1511" s="148" t="s">
        <v>717</v>
      </c>
      <c r="E1511" s="149">
        <v>0</v>
      </c>
      <c r="F1511" s="149">
        <v>0</v>
      </c>
      <c r="G1511" s="149">
        <v>0</v>
      </c>
      <c r="H1511" s="149">
        <v>0</v>
      </c>
      <c r="I1511" s="150">
        <v>0</v>
      </c>
    </row>
    <row r="1512" spans="1:9" ht="15.6" x14ac:dyDescent="0.25">
      <c r="A1512" s="145"/>
      <c r="B1512" s="146">
        <v>5714418</v>
      </c>
      <c r="C1512" s="147"/>
      <c r="D1512" s="148" t="s">
        <v>868</v>
      </c>
      <c r="E1512" s="149">
        <v>5.31</v>
      </c>
      <c r="F1512" s="149">
        <v>2.88</v>
      </c>
      <c r="G1512" s="149">
        <v>0</v>
      </c>
      <c r="H1512" s="149">
        <v>2.73</v>
      </c>
      <c r="I1512" s="150">
        <v>10.92</v>
      </c>
    </row>
    <row r="1513" spans="1:9" ht="15.6" x14ac:dyDescent="0.25">
      <c r="A1513" s="145"/>
      <c r="B1513" s="146">
        <v>5719984</v>
      </c>
      <c r="C1513" s="147"/>
      <c r="D1513" s="148" t="s">
        <v>889</v>
      </c>
      <c r="E1513" s="149">
        <v>5.31</v>
      </c>
      <c r="F1513" s="149">
        <v>2.88</v>
      </c>
      <c r="G1513" s="149">
        <v>0</v>
      </c>
      <c r="H1513" s="149">
        <v>2.73</v>
      </c>
      <c r="I1513" s="150">
        <v>10.92</v>
      </c>
    </row>
    <row r="1514" spans="1:9" ht="15.6" x14ac:dyDescent="0.25">
      <c r="A1514" s="145"/>
      <c r="B1514" s="146">
        <v>5725416</v>
      </c>
      <c r="C1514" s="147"/>
      <c r="D1514" s="148" t="s">
        <v>917</v>
      </c>
      <c r="E1514" s="149">
        <v>5.31</v>
      </c>
      <c r="F1514" s="149">
        <v>2.88</v>
      </c>
      <c r="G1514" s="149">
        <v>0</v>
      </c>
      <c r="H1514" s="149">
        <v>2.73</v>
      </c>
      <c r="I1514" s="150">
        <v>10.92</v>
      </c>
    </row>
    <row r="1515" spans="1:9" ht="15.6" x14ac:dyDescent="0.25">
      <c r="A1515" s="145"/>
      <c r="B1515" s="146">
        <v>5727485</v>
      </c>
      <c r="C1515" s="147"/>
      <c r="D1515" s="148" t="s">
        <v>816</v>
      </c>
      <c r="E1515" s="149">
        <v>5.31</v>
      </c>
      <c r="F1515" s="149">
        <v>2.88</v>
      </c>
      <c r="G1515" s="149">
        <v>0</v>
      </c>
      <c r="H1515" s="149">
        <v>2.73</v>
      </c>
      <c r="I1515" s="150">
        <v>10.92</v>
      </c>
    </row>
    <row r="1516" spans="1:9" ht="15.6" x14ac:dyDescent="0.25">
      <c r="A1516" s="145"/>
      <c r="B1516" s="146">
        <v>5729675</v>
      </c>
      <c r="C1516" s="147"/>
      <c r="D1516" s="148" t="s">
        <v>869</v>
      </c>
      <c r="E1516" s="149">
        <v>5.31</v>
      </c>
      <c r="F1516" s="149">
        <v>2.88</v>
      </c>
      <c r="G1516" s="149">
        <v>0</v>
      </c>
      <c r="H1516" s="149">
        <v>2.73</v>
      </c>
      <c r="I1516" s="150">
        <v>10.92</v>
      </c>
    </row>
    <row r="1517" spans="1:9" ht="15.6" x14ac:dyDescent="0.25">
      <c r="A1517" s="145"/>
      <c r="B1517" s="146">
        <v>5733224</v>
      </c>
      <c r="C1517" s="147"/>
      <c r="D1517" s="148" t="s">
        <v>922</v>
      </c>
      <c r="E1517" s="149">
        <v>0</v>
      </c>
      <c r="F1517" s="149">
        <v>0</v>
      </c>
      <c r="G1517" s="149">
        <v>0</v>
      </c>
      <c r="H1517" s="149">
        <v>2.73</v>
      </c>
      <c r="I1517" s="150">
        <v>2.73</v>
      </c>
    </row>
    <row r="1518" spans="1:9" ht="15.6" x14ac:dyDescent="0.25">
      <c r="A1518" s="145"/>
      <c r="B1518" s="146">
        <v>5742878</v>
      </c>
      <c r="C1518" s="147"/>
      <c r="D1518" s="148" t="s">
        <v>821</v>
      </c>
      <c r="E1518" s="149">
        <v>5.31</v>
      </c>
      <c r="F1518" s="149">
        <v>2.88</v>
      </c>
      <c r="G1518" s="149">
        <v>0</v>
      </c>
      <c r="H1518" s="149">
        <v>2.73</v>
      </c>
      <c r="I1518" s="150">
        <v>10.92</v>
      </c>
    </row>
    <row r="1519" spans="1:9" ht="15.6" x14ac:dyDescent="0.25">
      <c r="A1519" s="145"/>
      <c r="B1519" s="146">
        <v>5747818</v>
      </c>
      <c r="C1519" s="147"/>
      <c r="D1519" s="148" t="s">
        <v>779</v>
      </c>
      <c r="E1519" s="149">
        <v>5.31</v>
      </c>
      <c r="F1519" s="149">
        <v>2.88</v>
      </c>
      <c r="G1519" s="149">
        <v>0</v>
      </c>
      <c r="H1519" s="149">
        <v>2.73</v>
      </c>
      <c r="I1519" s="150">
        <v>10.92</v>
      </c>
    </row>
    <row r="1520" spans="1:9" ht="15.6" x14ac:dyDescent="0.25">
      <c r="A1520" s="145"/>
      <c r="B1520" s="146">
        <v>5748170</v>
      </c>
      <c r="C1520" s="147"/>
      <c r="D1520" s="148" t="s">
        <v>886</v>
      </c>
      <c r="E1520" s="149">
        <v>5.31</v>
      </c>
      <c r="F1520" s="149">
        <v>2.88</v>
      </c>
      <c r="G1520" s="149">
        <v>0</v>
      </c>
      <c r="H1520" s="149">
        <v>2.73</v>
      </c>
      <c r="I1520" s="150">
        <v>10.92</v>
      </c>
    </row>
    <row r="1521" spans="1:9" ht="15.6" x14ac:dyDescent="0.25">
      <c r="A1521" s="145"/>
      <c r="B1521" s="146">
        <v>5748908</v>
      </c>
      <c r="C1521" s="147"/>
      <c r="D1521" s="148" t="s">
        <v>866</v>
      </c>
      <c r="E1521" s="149">
        <v>5.31</v>
      </c>
      <c r="F1521" s="149">
        <v>2.88</v>
      </c>
      <c r="G1521" s="149">
        <v>0</v>
      </c>
      <c r="H1521" s="149">
        <v>2.73</v>
      </c>
      <c r="I1521" s="150">
        <v>10.92</v>
      </c>
    </row>
    <row r="1522" spans="1:9" ht="15.6" x14ac:dyDescent="0.25">
      <c r="A1522" s="145"/>
      <c r="B1522" s="146">
        <v>5755228</v>
      </c>
      <c r="C1522" s="147"/>
      <c r="D1522" s="148" t="s">
        <v>865</v>
      </c>
      <c r="E1522" s="149">
        <v>5.31</v>
      </c>
      <c r="F1522" s="149">
        <v>2.88</v>
      </c>
      <c r="G1522" s="149">
        <v>0</v>
      </c>
      <c r="H1522" s="149">
        <v>2.73</v>
      </c>
      <c r="I1522" s="150">
        <v>10.92</v>
      </c>
    </row>
    <row r="1523" spans="1:9" ht="15.6" x14ac:dyDescent="0.25">
      <c r="A1523" s="145"/>
      <c r="B1523" s="146">
        <v>5755510</v>
      </c>
      <c r="C1523" s="147"/>
      <c r="D1523" s="148" t="s">
        <v>871</v>
      </c>
      <c r="E1523" s="149">
        <v>0</v>
      </c>
      <c r="F1523" s="149">
        <v>0</v>
      </c>
      <c r="G1523" s="149">
        <v>0</v>
      </c>
      <c r="H1523" s="149">
        <v>2.73</v>
      </c>
      <c r="I1523" s="150">
        <v>2.73</v>
      </c>
    </row>
    <row r="1524" spans="1:9" ht="15.6" x14ac:dyDescent="0.25">
      <c r="A1524" s="145"/>
      <c r="B1524" s="146">
        <v>5760989</v>
      </c>
      <c r="C1524" s="147"/>
      <c r="D1524" s="148" t="s">
        <v>828</v>
      </c>
      <c r="E1524" s="149">
        <v>5.31</v>
      </c>
      <c r="F1524" s="149">
        <v>2.88</v>
      </c>
      <c r="G1524" s="149">
        <v>0</v>
      </c>
      <c r="H1524" s="149">
        <v>2.73</v>
      </c>
      <c r="I1524" s="150">
        <v>10.92</v>
      </c>
    </row>
    <row r="1525" spans="1:9" ht="15.6" x14ac:dyDescent="0.25">
      <c r="A1525" s="145"/>
      <c r="B1525" s="146">
        <v>5763829</v>
      </c>
      <c r="C1525" s="147"/>
      <c r="D1525" s="148" t="s">
        <v>817</v>
      </c>
      <c r="E1525" s="149">
        <v>5.31</v>
      </c>
      <c r="F1525" s="149">
        <v>2.88</v>
      </c>
      <c r="G1525" s="149">
        <v>0</v>
      </c>
      <c r="H1525" s="149">
        <v>2.73</v>
      </c>
      <c r="I1525" s="150">
        <v>10.92</v>
      </c>
    </row>
    <row r="1526" spans="1:9" ht="15.6" x14ac:dyDescent="0.25">
      <c r="A1526" s="145"/>
      <c r="B1526" s="146">
        <v>5764580</v>
      </c>
      <c r="C1526" s="147"/>
      <c r="D1526" s="148" t="s">
        <v>856</v>
      </c>
      <c r="E1526" s="149">
        <v>5.31</v>
      </c>
      <c r="F1526" s="149">
        <v>2.88</v>
      </c>
      <c r="G1526" s="149">
        <v>0</v>
      </c>
      <c r="H1526" s="149">
        <v>2.73</v>
      </c>
      <c r="I1526" s="150">
        <v>10.92</v>
      </c>
    </row>
    <row r="1527" spans="1:9" ht="15.6" x14ac:dyDescent="0.25">
      <c r="A1527" s="145"/>
      <c r="B1527" s="146">
        <v>5767755</v>
      </c>
      <c r="C1527" s="147"/>
      <c r="D1527" s="148" t="s">
        <v>851</v>
      </c>
      <c r="E1527" s="149">
        <v>5.31</v>
      </c>
      <c r="F1527" s="149">
        <v>2.88</v>
      </c>
      <c r="G1527" s="149">
        <v>22.66</v>
      </c>
      <c r="H1527" s="149">
        <v>2.73</v>
      </c>
      <c r="I1527" s="150">
        <v>33.58</v>
      </c>
    </row>
    <row r="1528" spans="1:9" ht="15.6" x14ac:dyDescent="0.25">
      <c r="A1528" s="145"/>
      <c r="B1528" s="146">
        <v>5772145</v>
      </c>
      <c r="C1528" s="147"/>
      <c r="D1528" s="148" t="s">
        <v>830</v>
      </c>
      <c r="E1528" s="149">
        <v>5.31</v>
      </c>
      <c r="F1528" s="149">
        <v>2.88</v>
      </c>
      <c r="G1528" s="149">
        <v>0</v>
      </c>
      <c r="H1528" s="149">
        <v>2.73</v>
      </c>
      <c r="I1528" s="150">
        <v>10.92</v>
      </c>
    </row>
    <row r="1529" spans="1:9" ht="15.6" x14ac:dyDescent="0.25">
      <c r="A1529" s="145"/>
      <c r="B1529" s="146">
        <v>5784763</v>
      </c>
      <c r="C1529" s="147"/>
      <c r="D1529" s="148" t="s">
        <v>747</v>
      </c>
      <c r="E1529" s="149">
        <v>5.31</v>
      </c>
      <c r="F1529" s="149">
        <v>2.88</v>
      </c>
      <c r="G1529" s="149">
        <v>0</v>
      </c>
      <c r="H1529" s="149">
        <v>2.73</v>
      </c>
      <c r="I1529" s="150">
        <v>10.92</v>
      </c>
    </row>
    <row r="1530" spans="1:9" ht="15.6" x14ac:dyDescent="0.25">
      <c r="A1530" s="145"/>
      <c r="B1530" s="146">
        <v>5787033</v>
      </c>
      <c r="C1530" s="147"/>
      <c r="D1530" s="148" t="s">
        <v>763</v>
      </c>
      <c r="E1530" s="149">
        <v>5.31</v>
      </c>
      <c r="F1530" s="149">
        <v>0</v>
      </c>
      <c r="G1530" s="149">
        <v>0</v>
      </c>
      <c r="H1530" s="149">
        <v>0</v>
      </c>
      <c r="I1530" s="150">
        <v>5.31</v>
      </c>
    </row>
    <row r="1531" spans="1:9" ht="15.6" x14ac:dyDescent="0.25">
      <c r="A1531" s="145"/>
      <c r="B1531" s="146">
        <v>5787792</v>
      </c>
      <c r="C1531" s="147"/>
      <c r="D1531" s="148" t="s">
        <v>763</v>
      </c>
      <c r="E1531" s="149">
        <v>5.31</v>
      </c>
      <c r="F1531" s="149">
        <v>0</v>
      </c>
      <c r="G1531" s="149">
        <v>0</v>
      </c>
      <c r="H1531" s="149">
        <v>0</v>
      </c>
      <c r="I1531" s="150">
        <v>5.31</v>
      </c>
    </row>
    <row r="1532" spans="1:9" ht="15.6" x14ac:dyDescent="0.25">
      <c r="A1532" s="145"/>
      <c r="B1532" s="146">
        <v>5791386</v>
      </c>
      <c r="C1532" s="147"/>
      <c r="D1532" s="148" t="s">
        <v>894</v>
      </c>
      <c r="E1532" s="149">
        <v>5.31</v>
      </c>
      <c r="F1532" s="149">
        <v>2.88</v>
      </c>
      <c r="G1532" s="149">
        <v>0</v>
      </c>
      <c r="H1532" s="149">
        <v>2.73</v>
      </c>
      <c r="I1532" s="150">
        <v>10.92</v>
      </c>
    </row>
    <row r="1533" spans="1:9" ht="15.6" x14ac:dyDescent="0.25">
      <c r="A1533" s="145"/>
      <c r="B1533" s="146">
        <v>5794394</v>
      </c>
      <c r="C1533" s="147"/>
      <c r="D1533" s="148" t="s">
        <v>751</v>
      </c>
      <c r="E1533" s="149">
        <v>5.31</v>
      </c>
      <c r="F1533" s="149">
        <v>0</v>
      </c>
      <c r="G1533" s="149">
        <v>0</v>
      </c>
      <c r="H1533" s="149">
        <v>2.73</v>
      </c>
      <c r="I1533" s="150">
        <v>8.0399999999999991</v>
      </c>
    </row>
    <row r="1534" spans="1:9" ht="15.6" x14ac:dyDescent="0.25">
      <c r="A1534" s="145"/>
      <c r="B1534" s="146">
        <v>5801457</v>
      </c>
      <c r="C1534" s="147"/>
      <c r="D1534" s="148" t="s">
        <v>936</v>
      </c>
      <c r="E1534" s="149">
        <v>5.31</v>
      </c>
      <c r="F1534" s="149">
        <v>2.88</v>
      </c>
      <c r="G1534" s="149">
        <v>0</v>
      </c>
      <c r="H1534" s="149">
        <v>2.73</v>
      </c>
      <c r="I1534" s="150">
        <v>10.92</v>
      </c>
    </row>
    <row r="1535" spans="1:9" ht="15.6" x14ac:dyDescent="0.25">
      <c r="A1535" s="145"/>
      <c r="B1535" s="146">
        <v>5810101</v>
      </c>
      <c r="C1535" s="147"/>
      <c r="D1535" s="148" t="s">
        <v>933</v>
      </c>
      <c r="E1535" s="149">
        <v>5.31</v>
      </c>
      <c r="F1535" s="149">
        <v>2.88</v>
      </c>
      <c r="G1535" s="149">
        <v>0</v>
      </c>
      <c r="H1535" s="149">
        <v>2.73</v>
      </c>
      <c r="I1535" s="150">
        <v>10.92</v>
      </c>
    </row>
    <row r="1536" spans="1:9" ht="15.6" x14ac:dyDescent="0.25">
      <c r="A1536" s="145"/>
      <c r="B1536" s="146">
        <v>5811326</v>
      </c>
      <c r="C1536" s="147"/>
      <c r="D1536" s="148" t="s">
        <v>732</v>
      </c>
      <c r="E1536" s="149">
        <v>0</v>
      </c>
      <c r="F1536" s="149">
        <v>0</v>
      </c>
      <c r="G1536" s="149">
        <v>0</v>
      </c>
      <c r="H1536" s="149">
        <v>0</v>
      </c>
      <c r="I1536" s="150">
        <v>0</v>
      </c>
    </row>
    <row r="1537" spans="1:9" ht="15.6" x14ac:dyDescent="0.25">
      <c r="A1537" s="145"/>
      <c r="B1537" s="146">
        <v>5814095</v>
      </c>
      <c r="C1537" s="147"/>
      <c r="D1537" s="148" t="s">
        <v>868</v>
      </c>
      <c r="E1537" s="149">
        <v>5.31</v>
      </c>
      <c r="F1537" s="149">
        <v>2.88</v>
      </c>
      <c r="G1537" s="149">
        <v>0</v>
      </c>
      <c r="H1537" s="149">
        <v>2.73</v>
      </c>
      <c r="I1537" s="150">
        <v>10.92</v>
      </c>
    </row>
    <row r="1538" spans="1:9" ht="15.6" x14ac:dyDescent="0.25">
      <c r="A1538" s="145"/>
      <c r="B1538" s="146">
        <v>5820669</v>
      </c>
      <c r="C1538" s="147"/>
      <c r="D1538" s="148" t="s">
        <v>851</v>
      </c>
      <c r="E1538" s="149">
        <v>5.31</v>
      </c>
      <c r="F1538" s="149">
        <v>2.88</v>
      </c>
      <c r="G1538" s="149">
        <v>22.66</v>
      </c>
      <c r="H1538" s="149">
        <v>2.73</v>
      </c>
      <c r="I1538" s="150">
        <v>33.58</v>
      </c>
    </row>
    <row r="1539" spans="1:9" ht="15.6" x14ac:dyDescent="0.25">
      <c r="A1539" s="145"/>
      <c r="B1539" s="146">
        <v>5820945</v>
      </c>
      <c r="C1539" s="147"/>
      <c r="D1539" s="148" t="s">
        <v>883</v>
      </c>
      <c r="E1539" s="149">
        <v>5.31</v>
      </c>
      <c r="F1539" s="149">
        <v>2.88</v>
      </c>
      <c r="G1539" s="149">
        <v>0</v>
      </c>
      <c r="H1539" s="149">
        <v>2.73</v>
      </c>
      <c r="I1539" s="150">
        <v>10.92</v>
      </c>
    </row>
    <row r="1540" spans="1:9" ht="15.6" x14ac:dyDescent="0.25">
      <c r="A1540" s="145"/>
      <c r="B1540" s="146">
        <v>5825461</v>
      </c>
      <c r="C1540" s="147"/>
      <c r="D1540" s="148" t="s">
        <v>868</v>
      </c>
      <c r="E1540" s="149">
        <v>5.31</v>
      </c>
      <c r="F1540" s="149">
        <v>2.88</v>
      </c>
      <c r="G1540" s="149">
        <v>0</v>
      </c>
      <c r="H1540" s="149">
        <v>2.73</v>
      </c>
      <c r="I1540" s="150">
        <v>10.92</v>
      </c>
    </row>
    <row r="1541" spans="1:9" ht="15.6" x14ac:dyDescent="0.25">
      <c r="A1541" s="145"/>
      <c r="B1541" s="146">
        <v>5831546</v>
      </c>
      <c r="C1541" s="147"/>
      <c r="D1541" s="148" t="s">
        <v>732</v>
      </c>
      <c r="E1541" s="149">
        <v>0</v>
      </c>
      <c r="F1541" s="149">
        <v>0</v>
      </c>
      <c r="G1541" s="149">
        <v>0</v>
      </c>
      <c r="H1541" s="149">
        <v>2.73</v>
      </c>
      <c r="I1541" s="150">
        <v>2.73</v>
      </c>
    </row>
    <row r="1542" spans="1:9" ht="15.6" x14ac:dyDescent="0.25">
      <c r="A1542" s="145"/>
      <c r="B1542" s="146">
        <v>5838721</v>
      </c>
      <c r="C1542" s="147"/>
      <c r="D1542" s="148" t="s">
        <v>853</v>
      </c>
      <c r="E1542" s="149">
        <v>5.31</v>
      </c>
      <c r="F1542" s="149">
        <v>2.88</v>
      </c>
      <c r="G1542" s="149">
        <v>0</v>
      </c>
      <c r="H1542" s="149">
        <v>2.73</v>
      </c>
      <c r="I1542" s="150">
        <v>10.92</v>
      </c>
    </row>
    <row r="1543" spans="1:9" ht="15.6" x14ac:dyDescent="0.25">
      <c r="A1543" s="145"/>
      <c r="B1543" s="146">
        <v>5839179</v>
      </c>
      <c r="C1543" s="147"/>
      <c r="D1543" s="148" t="s">
        <v>894</v>
      </c>
      <c r="E1543" s="149">
        <v>5.31</v>
      </c>
      <c r="F1543" s="149">
        <v>2.88</v>
      </c>
      <c r="G1543" s="149">
        <v>0</v>
      </c>
      <c r="H1543" s="149">
        <v>2.73</v>
      </c>
      <c r="I1543" s="150">
        <v>10.92</v>
      </c>
    </row>
    <row r="1544" spans="1:9" ht="15.6" x14ac:dyDescent="0.25">
      <c r="A1544" s="145"/>
      <c r="B1544" s="146">
        <v>5840464</v>
      </c>
      <c r="C1544" s="147"/>
      <c r="D1544" s="148" t="s">
        <v>857</v>
      </c>
      <c r="E1544" s="149">
        <v>0</v>
      </c>
      <c r="F1544" s="149">
        <v>0</v>
      </c>
      <c r="G1544" s="149">
        <v>0</v>
      </c>
      <c r="H1544" s="149">
        <v>0</v>
      </c>
      <c r="I1544" s="150">
        <v>0</v>
      </c>
    </row>
    <row r="1545" spans="1:9" ht="15.6" x14ac:dyDescent="0.25">
      <c r="A1545" s="145"/>
      <c r="B1545" s="146">
        <v>5843825</v>
      </c>
      <c r="C1545" s="147"/>
      <c r="D1545" s="148" t="s">
        <v>887</v>
      </c>
      <c r="E1545" s="149">
        <v>5.31</v>
      </c>
      <c r="F1545" s="149">
        <v>2.88</v>
      </c>
      <c r="G1545" s="149">
        <v>0</v>
      </c>
      <c r="H1545" s="149">
        <v>2.73</v>
      </c>
      <c r="I1545" s="150">
        <v>10.92</v>
      </c>
    </row>
    <row r="1546" spans="1:9" ht="15.6" x14ac:dyDescent="0.25">
      <c r="A1546" s="145"/>
      <c r="B1546" s="146">
        <v>5847048</v>
      </c>
      <c r="C1546" s="147"/>
      <c r="D1546" s="148" t="s">
        <v>945</v>
      </c>
      <c r="E1546" s="149">
        <v>0</v>
      </c>
      <c r="F1546" s="149">
        <v>0</v>
      </c>
      <c r="G1546" s="149">
        <v>0</v>
      </c>
      <c r="H1546" s="149">
        <v>0</v>
      </c>
      <c r="I1546" s="150">
        <v>0</v>
      </c>
    </row>
    <row r="1547" spans="1:9" ht="15.6" x14ac:dyDescent="0.25">
      <c r="A1547" s="145"/>
      <c r="B1547" s="146">
        <v>5848707</v>
      </c>
      <c r="C1547" s="147"/>
      <c r="D1547" s="148" t="s">
        <v>851</v>
      </c>
      <c r="E1547" s="149">
        <v>5.31</v>
      </c>
      <c r="F1547" s="149">
        <v>2.88</v>
      </c>
      <c r="G1547" s="149">
        <v>22.66</v>
      </c>
      <c r="H1547" s="149">
        <v>2.73</v>
      </c>
      <c r="I1547" s="150">
        <v>33.58</v>
      </c>
    </row>
    <row r="1548" spans="1:9" ht="15.6" x14ac:dyDescent="0.25">
      <c r="A1548" s="145"/>
      <c r="B1548" s="146">
        <v>5854648</v>
      </c>
      <c r="C1548" s="147"/>
      <c r="D1548" s="148" t="s">
        <v>892</v>
      </c>
      <c r="E1548" s="149">
        <v>5.31</v>
      </c>
      <c r="F1548" s="149">
        <v>2.88</v>
      </c>
      <c r="G1548" s="149">
        <v>0</v>
      </c>
      <c r="H1548" s="149">
        <v>2.73</v>
      </c>
      <c r="I1548" s="150">
        <v>10.92</v>
      </c>
    </row>
    <row r="1549" spans="1:9" ht="15.6" x14ac:dyDescent="0.25">
      <c r="A1549" s="145"/>
      <c r="B1549" s="146">
        <v>5859360</v>
      </c>
      <c r="C1549" s="147"/>
      <c r="D1549" s="148" t="s">
        <v>868</v>
      </c>
      <c r="E1549" s="149">
        <v>5.31</v>
      </c>
      <c r="F1549" s="149">
        <v>2.88</v>
      </c>
      <c r="G1549" s="149">
        <v>0</v>
      </c>
      <c r="H1549" s="149">
        <v>2.73</v>
      </c>
      <c r="I1549" s="150">
        <v>10.92</v>
      </c>
    </row>
    <row r="1550" spans="1:9" ht="15.6" x14ac:dyDescent="0.25">
      <c r="A1550" s="145"/>
      <c r="B1550" s="146">
        <v>5863099</v>
      </c>
      <c r="C1550" s="147"/>
      <c r="D1550" s="148" t="s">
        <v>868</v>
      </c>
      <c r="E1550" s="149">
        <v>5.31</v>
      </c>
      <c r="F1550" s="149">
        <v>2.88</v>
      </c>
      <c r="G1550" s="149">
        <v>0</v>
      </c>
      <c r="H1550" s="149">
        <v>2.73</v>
      </c>
      <c r="I1550" s="150">
        <v>10.92</v>
      </c>
    </row>
    <row r="1551" spans="1:9" ht="15.6" x14ac:dyDescent="0.25">
      <c r="A1551" s="145"/>
      <c r="B1551" s="146">
        <v>5864421</v>
      </c>
      <c r="C1551" s="147"/>
      <c r="D1551" s="148" t="s">
        <v>771</v>
      </c>
      <c r="E1551" s="149">
        <v>5.31</v>
      </c>
      <c r="F1551" s="149">
        <v>2.88</v>
      </c>
      <c r="G1551" s="149">
        <v>0</v>
      </c>
      <c r="H1551" s="149">
        <v>2.73</v>
      </c>
      <c r="I1551" s="150">
        <v>10.92</v>
      </c>
    </row>
    <row r="1552" spans="1:9" ht="15.6" x14ac:dyDescent="0.25">
      <c r="A1552" s="145"/>
      <c r="B1552" s="146">
        <v>5865271</v>
      </c>
      <c r="C1552" s="147"/>
      <c r="D1552" s="148" t="s">
        <v>900</v>
      </c>
      <c r="E1552" s="149">
        <v>5.31</v>
      </c>
      <c r="F1552" s="149">
        <v>2.88</v>
      </c>
      <c r="G1552" s="149">
        <v>0</v>
      </c>
      <c r="H1552" s="149">
        <v>2.73</v>
      </c>
      <c r="I1552" s="150">
        <v>10.92</v>
      </c>
    </row>
    <row r="1553" spans="1:9" ht="15.6" x14ac:dyDescent="0.25">
      <c r="A1553" s="145"/>
      <c r="B1553" s="146">
        <v>5868758</v>
      </c>
      <c r="C1553" s="147"/>
      <c r="D1553" s="148" t="s">
        <v>867</v>
      </c>
      <c r="E1553" s="149">
        <v>5.31</v>
      </c>
      <c r="F1553" s="149">
        <v>2.88</v>
      </c>
      <c r="G1553" s="149">
        <v>0</v>
      </c>
      <c r="H1553" s="149">
        <v>2.73</v>
      </c>
      <c r="I1553" s="150">
        <v>10.92</v>
      </c>
    </row>
    <row r="1554" spans="1:9" ht="15.6" x14ac:dyDescent="0.25">
      <c r="A1554" s="145"/>
      <c r="B1554" s="146">
        <v>5879345</v>
      </c>
      <c r="C1554" s="147"/>
      <c r="D1554" s="148" t="s">
        <v>868</v>
      </c>
      <c r="E1554" s="149">
        <v>5.31</v>
      </c>
      <c r="F1554" s="149">
        <v>2.88</v>
      </c>
      <c r="G1554" s="149">
        <v>0</v>
      </c>
      <c r="H1554" s="149">
        <v>2.73</v>
      </c>
      <c r="I1554" s="150">
        <v>10.92</v>
      </c>
    </row>
    <row r="1555" spans="1:9" ht="15.6" x14ac:dyDescent="0.25">
      <c r="A1555" s="145"/>
      <c r="B1555" s="146">
        <v>5880743</v>
      </c>
      <c r="C1555" s="147"/>
      <c r="D1555" s="148" t="s">
        <v>868</v>
      </c>
      <c r="E1555" s="149">
        <v>5.31</v>
      </c>
      <c r="F1555" s="149">
        <v>2.88</v>
      </c>
      <c r="G1555" s="149">
        <v>0</v>
      </c>
      <c r="H1555" s="149">
        <v>2.73</v>
      </c>
      <c r="I1555" s="150">
        <v>10.92</v>
      </c>
    </row>
    <row r="1556" spans="1:9" ht="15.6" x14ac:dyDescent="0.25">
      <c r="A1556" s="145"/>
      <c r="B1556" s="146">
        <v>5881417</v>
      </c>
      <c r="C1556" s="147"/>
      <c r="D1556" s="148" t="s">
        <v>857</v>
      </c>
      <c r="E1556" s="149">
        <v>0</v>
      </c>
      <c r="F1556" s="149">
        <v>0</v>
      </c>
      <c r="G1556" s="149">
        <v>0</v>
      </c>
      <c r="H1556" s="149">
        <v>0</v>
      </c>
      <c r="I1556" s="150">
        <v>0</v>
      </c>
    </row>
    <row r="1557" spans="1:9" ht="15.6" x14ac:dyDescent="0.25">
      <c r="A1557" s="145"/>
      <c r="B1557" s="146">
        <v>5885682</v>
      </c>
      <c r="C1557" s="147"/>
      <c r="D1557" s="148" t="s">
        <v>881</v>
      </c>
      <c r="E1557" s="149">
        <v>5.31</v>
      </c>
      <c r="F1557" s="149">
        <v>2.88</v>
      </c>
      <c r="G1557" s="149">
        <v>0</v>
      </c>
      <c r="H1557" s="149">
        <v>2.73</v>
      </c>
      <c r="I1557" s="150">
        <v>10.92</v>
      </c>
    </row>
    <row r="1558" spans="1:9" ht="15.6" x14ac:dyDescent="0.25">
      <c r="A1558" s="145"/>
      <c r="B1558" s="146">
        <v>5886196</v>
      </c>
      <c r="C1558" s="147"/>
      <c r="D1558" s="148" t="s">
        <v>857</v>
      </c>
      <c r="E1558" s="149">
        <v>0</v>
      </c>
      <c r="F1558" s="149">
        <v>0</v>
      </c>
      <c r="G1558" s="149">
        <v>0</v>
      </c>
      <c r="H1558" s="149">
        <v>0</v>
      </c>
      <c r="I1558" s="150">
        <v>0</v>
      </c>
    </row>
    <row r="1559" spans="1:9" ht="15.6" x14ac:dyDescent="0.25">
      <c r="A1559" s="145"/>
      <c r="B1559" s="146">
        <v>5892958</v>
      </c>
      <c r="C1559" s="147"/>
      <c r="D1559" s="148" t="s">
        <v>789</v>
      </c>
      <c r="E1559" s="149">
        <v>5.31</v>
      </c>
      <c r="F1559" s="149">
        <v>2.88</v>
      </c>
      <c r="G1559" s="149">
        <v>24.03</v>
      </c>
      <c r="H1559" s="149">
        <v>2.73</v>
      </c>
      <c r="I1559" s="150">
        <v>34.949999999999996</v>
      </c>
    </row>
    <row r="1560" spans="1:9" ht="15.6" x14ac:dyDescent="0.25">
      <c r="A1560" s="145"/>
      <c r="B1560" s="146">
        <v>5899084</v>
      </c>
      <c r="C1560" s="147"/>
      <c r="D1560" s="148" t="s">
        <v>869</v>
      </c>
      <c r="E1560" s="149">
        <v>5.31</v>
      </c>
      <c r="F1560" s="149">
        <v>2.88</v>
      </c>
      <c r="G1560" s="149">
        <v>0</v>
      </c>
      <c r="H1560" s="149">
        <v>2.73</v>
      </c>
      <c r="I1560" s="150">
        <v>10.92</v>
      </c>
    </row>
    <row r="1561" spans="1:9" ht="15.6" x14ac:dyDescent="0.25">
      <c r="A1561" s="145"/>
      <c r="B1561" s="146">
        <v>5900741</v>
      </c>
      <c r="C1561" s="147"/>
      <c r="D1561" s="148" t="s">
        <v>831</v>
      </c>
      <c r="E1561" s="149">
        <v>5.31</v>
      </c>
      <c r="F1561" s="149">
        <v>2.88</v>
      </c>
      <c r="G1561" s="149">
        <v>0</v>
      </c>
      <c r="H1561" s="149">
        <v>2.73</v>
      </c>
      <c r="I1561" s="150">
        <v>10.92</v>
      </c>
    </row>
    <row r="1562" spans="1:9" ht="15.6" x14ac:dyDescent="0.25">
      <c r="A1562" s="145"/>
      <c r="B1562" s="146">
        <v>5901658</v>
      </c>
      <c r="C1562" s="147"/>
      <c r="D1562" s="148" t="s">
        <v>908</v>
      </c>
      <c r="E1562" s="149">
        <v>5.31</v>
      </c>
      <c r="F1562" s="149">
        <v>2.88</v>
      </c>
      <c r="G1562" s="149">
        <v>0</v>
      </c>
      <c r="H1562" s="149">
        <v>2.73</v>
      </c>
      <c r="I1562" s="150">
        <v>10.92</v>
      </c>
    </row>
    <row r="1563" spans="1:9" ht="15.6" x14ac:dyDescent="0.25">
      <c r="A1563" s="145"/>
      <c r="B1563" s="146">
        <v>5909461</v>
      </c>
      <c r="C1563" s="147"/>
      <c r="D1563" s="148" t="s">
        <v>868</v>
      </c>
      <c r="E1563" s="149">
        <v>5.31</v>
      </c>
      <c r="F1563" s="149">
        <v>2.88</v>
      </c>
      <c r="G1563" s="149">
        <v>0</v>
      </c>
      <c r="H1563" s="149">
        <v>2.73</v>
      </c>
      <c r="I1563" s="150">
        <v>10.92</v>
      </c>
    </row>
    <row r="1564" spans="1:9" ht="15.6" x14ac:dyDescent="0.25">
      <c r="A1564" s="145"/>
      <c r="B1564" s="146">
        <v>5910172</v>
      </c>
      <c r="C1564" s="147"/>
      <c r="D1564" s="148" t="s">
        <v>926</v>
      </c>
      <c r="E1564" s="149">
        <v>5.31</v>
      </c>
      <c r="F1564" s="149">
        <v>0</v>
      </c>
      <c r="G1564" s="149">
        <v>0</v>
      </c>
      <c r="H1564" s="149">
        <v>2.73</v>
      </c>
      <c r="I1564" s="150">
        <v>8.0399999999999991</v>
      </c>
    </row>
    <row r="1565" spans="1:9" ht="15.6" x14ac:dyDescent="0.25">
      <c r="A1565" s="145"/>
      <c r="B1565" s="146">
        <v>5922500</v>
      </c>
      <c r="C1565" s="147"/>
      <c r="D1565" s="148" t="s">
        <v>727</v>
      </c>
      <c r="E1565" s="149">
        <v>0</v>
      </c>
      <c r="F1565" s="149">
        <v>0</v>
      </c>
      <c r="G1565" s="149">
        <v>0</v>
      </c>
      <c r="H1565" s="149">
        <v>0</v>
      </c>
      <c r="I1565" s="150">
        <v>0</v>
      </c>
    </row>
    <row r="1566" spans="1:9" ht="15.6" x14ac:dyDescent="0.25">
      <c r="A1566" s="145"/>
      <c r="B1566" s="146">
        <v>5923493</v>
      </c>
      <c r="C1566" s="147"/>
      <c r="D1566" s="148" t="s">
        <v>889</v>
      </c>
      <c r="E1566" s="149">
        <v>0</v>
      </c>
      <c r="F1566" s="149">
        <v>0</v>
      </c>
      <c r="G1566" s="149">
        <v>0</v>
      </c>
      <c r="H1566" s="149">
        <v>0</v>
      </c>
      <c r="I1566" s="150">
        <v>0</v>
      </c>
    </row>
    <row r="1567" spans="1:9" ht="15.6" x14ac:dyDescent="0.25">
      <c r="A1567" s="145"/>
      <c r="B1567" s="146">
        <v>5925399</v>
      </c>
      <c r="C1567" s="147"/>
      <c r="D1567" s="148" t="s">
        <v>911</v>
      </c>
      <c r="E1567" s="149">
        <v>5.31</v>
      </c>
      <c r="F1567" s="149">
        <v>0</v>
      </c>
      <c r="G1567" s="149">
        <v>0</v>
      </c>
      <c r="H1567" s="149">
        <v>2.73</v>
      </c>
      <c r="I1567" s="150">
        <v>8.0399999999999991</v>
      </c>
    </row>
    <row r="1568" spans="1:9" ht="15.6" x14ac:dyDescent="0.25">
      <c r="A1568" s="145"/>
      <c r="B1568" s="146">
        <v>5927558</v>
      </c>
      <c r="C1568" s="147"/>
      <c r="D1568" s="148" t="s">
        <v>877</v>
      </c>
      <c r="E1568" s="149">
        <v>0</v>
      </c>
      <c r="F1568" s="149">
        <v>0</v>
      </c>
      <c r="G1568" s="149">
        <v>0</v>
      </c>
      <c r="H1568" s="149">
        <v>2.73</v>
      </c>
      <c r="I1568" s="150">
        <v>2.73</v>
      </c>
    </row>
    <row r="1569" spans="1:9" ht="15.6" x14ac:dyDescent="0.25">
      <c r="A1569" s="145"/>
      <c r="B1569" s="146">
        <v>5929938</v>
      </c>
      <c r="C1569" s="147"/>
      <c r="D1569" s="148" t="s">
        <v>762</v>
      </c>
      <c r="E1569" s="149">
        <v>0</v>
      </c>
      <c r="F1569" s="149">
        <v>0</v>
      </c>
      <c r="G1569" s="149">
        <v>0</v>
      </c>
      <c r="H1569" s="149">
        <v>0</v>
      </c>
      <c r="I1569" s="150">
        <v>0</v>
      </c>
    </row>
    <row r="1570" spans="1:9" ht="15.6" x14ac:dyDescent="0.25">
      <c r="A1570" s="145"/>
      <c r="B1570" s="146">
        <v>5938889</v>
      </c>
      <c r="C1570" s="147"/>
      <c r="D1570" s="148" t="s">
        <v>915</v>
      </c>
      <c r="E1570" s="149">
        <v>5.31</v>
      </c>
      <c r="F1570" s="149">
        <v>2.88</v>
      </c>
      <c r="G1570" s="149">
        <v>0</v>
      </c>
      <c r="H1570" s="149">
        <v>2.73</v>
      </c>
      <c r="I1570" s="150">
        <v>10.92</v>
      </c>
    </row>
    <row r="1571" spans="1:9" ht="15.6" x14ac:dyDescent="0.25">
      <c r="A1571" s="145"/>
      <c r="B1571" s="146">
        <v>5939489</v>
      </c>
      <c r="C1571" s="147"/>
      <c r="D1571" s="148" t="s">
        <v>780</v>
      </c>
      <c r="E1571" s="149">
        <v>5.31</v>
      </c>
      <c r="F1571" s="149">
        <v>2.88</v>
      </c>
      <c r="G1571" s="149">
        <v>0</v>
      </c>
      <c r="H1571" s="149">
        <v>2.73</v>
      </c>
      <c r="I1571" s="150">
        <v>10.92</v>
      </c>
    </row>
    <row r="1572" spans="1:9" ht="15.6" x14ac:dyDescent="0.25">
      <c r="A1572" s="145"/>
      <c r="B1572" s="146">
        <v>5942294</v>
      </c>
      <c r="C1572" s="147"/>
      <c r="D1572" s="148" t="s">
        <v>877</v>
      </c>
      <c r="E1572" s="149">
        <v>0</v>
      </c>
      <c r="F1572" s="149">
        <v>0</v>
      </c>
      <c r="G1572" s="149">
        <v>0</v>
      </c>
      <c r="H1572" s="149">
        <v>0</v>
      </c>
      <c r="I1572" s="150">
        <v>0</v>
      </c>
    </row>
    <row r="1573" spans="1:9" ht="15.6" x14ac:dyDescent="0.25">
      <c r="A1573" s="145"/>
      <c r="B1573" s="146">
        <v>5944365</v>
      </c>
      <c r="C1573" s="147"/>
      <c r="D1573" s="148" t="s">
        <v>782</v>
      </c>
      <c r="E1573" s="149">
        <v>5.31</v>
      </c>
      <c r="F1573" s="149">
        <v>2.88</v>
      </c>
      <c r="G1573" s="149">
        <v>0</v>
      </c>
      <c r="H1573" s="149">
        <v>2.73</v>
      </c>
      <c r="I1573" s="150">
        <v>10.92</v>
      </c>
    </row>
    <row r="1574" spans="1:9" ht="15.6" x14ac:dyDescent="0.25">
      <c r="A1574" s="145"/>
      <c r="B1574" s="146">
        <v>5948447</v>
      </c>
      <c r="C1574" s="147"/>
      <c r="D1574" s="148" t="s">
        <v>750</v>
      </c>
      <c r="E1574" s="149">
        <v>5.31</v>
      </c>
      <c r="F1574" s="149">
        <v>2.88</v>
      </c>
      <c r="G1574" s="149">
        <v>0</v>
      </c>
      <c r="H1574" s="149">
        <v>2.73</v>
      </c>
      <c r="I1574" s="150">
        <v>10.92</v>
      </c>
    </row>
    <row r="1575" spans="1:9" ht="15.6" x14ac:dyDescent="0.25">
      <c r="A1575" s="145"/>
      <c r="B1575" s="146">
        <v>5953620</v>
      </c>
      <c r="C1575" s="147"/>
      <c r="D1575" s="148" t="s">
        <v>790</v>
      </c>
      <c r="E1575" s="149">
        <v>5.31</v>
      </c>
      <c r="F1575" s="149">
        <v>2.88</v>
      </c>
      <c r="G1575" s="149">
        <v>32.92</v>
      </c>
      <c r="H1575" s="149">
        <v>2.73</v>
      </c>
      <c r="I1575" s="150">
        <v>43.839999999999996</v>
      </c>
    </row>
    <row r="1576" spans="1:9" ht="15.6" x14ac:dyDescent="0.25">
      <c r="A1576" s="145"/>
      <c r="B1576" s="146">
        <v>5953653</v>
      </c>
      <c r="C1576" s="147"/>
      <c r="D1576" s="148" t="s">
        <v>787</v>
      </c>
      <c r="E1576" s="149">
        <v>5.31</v>
      </c>
      <c r="F1576" s="149">
        <v>2.88</v>
      </c>
      <c r="G1576" s="149">
        <v>18.260000000000002</v>
      </c>
      <c r="H1576" s="149">
        <v>2.73</v>
      </c>
      <c r="I1576" s="150">
        <v>29.180000000000003</v>
      </c>
    </row>
    <row r="1577" spans="1:9" ht="15.6" x14ac:dyDescent="0.25">
      <c r="A1577" s="145"/>
      <c r="B1577" s="146">
        <v>5955017</v>
      </c>
      <c r="C1577" s="147"/>
      <c r="D1577" s="148" t="s">
        <v>783</v>
      </c>
      <c r="E1577" s="149">
        <v>5.31</v>
      </c>
      <c r="F1577" s="149">
        <v>2.88</v>
      </c>
      <c r="G1577" s="149">
        <v>0</v>
      </c>
      <c r="H1577" s="149">
        <v>2.73</v>
      </c>
      <c r="I1577" s="150">
        <v>10.92</v>
      </c>
    </row>
    <row r="1578" spans="1:9" ht="15.6" x14ac:dyDescent="0.25">
      <c r="A1578" s="145"/>
      <c r="B1578" s="146">
        <v>5957363</v>
      </c>
      <c r="C1578" s="147"/>
      <c r="D1578" s="148" t="s">
        <v>864</v>
      </c>
      <c r="E1578" s="149">
        <v>5.31</v>
      </c>
      <c r="F1578" s="149">
        <v>2.88</v>
      </c>
      <c r="G1578" s="149">
        <v>0</v>
      </c>
      <c r="H1578" s="149">
        <v>2.73</v>
      </c>
      <c r="I1578" s="150">
        <v>10.92</v>
      </c>
    </row>
    <row r="1579" spans="1:9" ht="15.6" x14ac:dyDescent="0.25">
      <c r="A1579" s="145"/>
      <c r="B1579" s="146">
        <v>5960830</v>
      </c>
      <c r="C1579" s="147"/>
      <c r="D1579" s="148" t="s">
        <v>851</v>
      </c>
      <c r="E1579" s="149">
        <v>5.31</v>
      </c>
      <c r="F1579" s="149">
        <v>2.88</v>
      </c>
      <c r="G1579" s="149">
        <v>22.66</v>
      </c>
      <c r="H1579" s="149">
        <v>2.73</v>
      </c>
      <c r="I1579" s="150">
        <v>33.58</v>
      </c>
    </row>
    <row r="1580" spans="1:9" ht="15.6" x14ac:dyDescent="0.25">
      <c r="A1580" s="145"/>
      <c r="B1580" s="146">
        <v>5961796</v>
      </c>
      <c r="C1580" s="147"/>
      <c r="D1580" s="148" t="s">
        <v>959</v>
      </c>
      <c r="E1580" s="149">
        <v>5.31</v>
      </c>
      <c r="F1580" s="149">
        <v>2.88</v>
      </c>
      <c r="G1580" s="149">
        <v>0</v>
      </c>
      <c r="H1580" s="149">
        <v>2.73</v>
      </c>
      <c r="I1580" s="150">
        <v>10.92</v>
      </c>
    </row>
    <row r="1581" spans="1:9" ht="15.6" x14ac:dyDescent="0.25">
      <c r="A1581" s="145"/>
      <c r="B1581" s="146">
        <v>5974134</v>
      </c>
      <c r="C1581" s="147"/>
      <c r="D1581" s="148" t="s">
        <v>745</v>
      </c>
      <c r="E1581" s="149">
        <v>5.31</v>
      </c>
      <c r="F1581" s="149">
        <v>2.88</v>
      </c>
      <c r="G1581" s="149">
        <v>0</v>
      </c>
      <c r="H1581" s="149">
        <v>2.73</v>
      </c>
      <c r="I1581" s="150">
        <v>10.92</v>
      </c>
    </row>
    <row r="1582" spans="1:9" ht="15.6" x14ac:dyDescent="0.25">
      <c r="A1582" s="145"/>
      <c r="B1582" s="146">
        <v>5978214</v>
      </c>
      <c r="C1582" s="147"/>
      <c r="D1582" s="148" t="s">
        <v>861</v>
      </c>
      <c r="E1582" s="149">
        <v>0</v>
      </c>
      <c r="F1582" s="149">
        <v>0</v>
      </c>
      <c r="G1582" s="149">
        <v>0</v>
      </c>
      <c r="H1582" s="149">
        <v>0</v>
      </c>
      <c r="I1582" s="150">
        <v>0</v>
      </c>
    </row>
    <row r="1583" spans="1:9" ht="15.6" x14ac:dyDescent="0.25">
      <c r="A1583" s="145"/>
      <c r="B1583" s="146">
        <v>5979529</v>
      </c>
      <c r="C1583" s="147"/>
      <c r="D1583" s="148" t="s">
        <v>925</v>
      </c>
      <c r="E1583" s="149">
        <v>5.31</v>
      </c>
      <c r="F1583" s="149">
        <v>2.88</v>
      </c>
      <c r="G1583" s="149">
        <v>0</v>
      </c>
      <c r="H1583" s="149">
        <v>0</v>
      </c>
      <c r="I1583" s="150">
        <v>8.19</v>
      </c>
    </row>
    <row r="1584" spans="1:9" ht="15.6" x14ac:dyDescent="0.25">
      <c r="A1584" s="145"/>
      <c r="B1584" s="146">
        <v>5986341</v>
      </c>
      <c r="C1584" s="147"/>
      <c r="D1584" s="148" t="s">
        <v>907</v>
      </c>
      <c r="E1584" s="149">
        <v>0</v>
      </c>
      <c r="F1584" s="149">
        <v>0</v>
      </c>
      <c r="G1584" s="149">
        <v>0</v>
      </c>
      <c r="H1584" s="149">
        <v>0</v>
      </c>
      <c r="I1584" s="150">
        <v>0</v>
      </c>
    </row>
    <row r="1585" spans="1:9" ht="15.6" x14ac:dyDescent="0.25">
      <c r="A1585" s="145"/>
      <c r="B1585" s="146">
        <v>5990956</v>
      </c>
      <c r="C1585" s="147"/>
      <c r="D1585" s="148" t="s">
        <v>911</v>
      </c>
      <c r="E1585" s="149">
        <v>5.31</v>
      </c>
      <c r="F1585" s="149">
        <v>0</v>
      </c>
      <c r="G1585" s="149">
        <v>0</v>
      </c>
      <c r="H1585" s="149">
        <v>2.73</v>
      </c>
      <c r="I1585" s="150">
        <v>8.0399999999999991</v>
      </c>
    </row>
    <row r="1586" spans="1:9" ht="15.6" x14ac:dyDescent="0.25">
      <c r="A1586" s="145"/>
      <c r="B1586" s="146">
        <v>5994708</v>
      </c>
      <c r="C1586" s="147"/>
      <c r="D1586" s="148" t="s">
        <v>789</v>
      </c>
      <c r="E1586" s="149">
        <v>5.31</v>
      </c>
      <c r="F1586" s="149">
        <v>2.88</v>
      </c>
      <c r="G1586" s="149">
        <v>18.260000000000002</v>
      </c>
      <c r="H1586" s="149">
        <v>2.73</v>
      </c>
      <c r="I1586" s="150">
        <v>29.180000000000003</v>
      </c>
    </row>
    <row r="1587" spans="1:9" ht="15.6" x14ac:dyDescent="0.25">
      <c r="A1587" s="145"/>
      <c r="B1587" s="146">
        <v>5996212</v>
      </c>
      <c r="C1587" s="147"/>
      <c r="D1587" s="148" t="s">
        <v>883</v>
      </c>
      <c r="E1587" s="149">
        <v>5.31</v>
      </c>
      <c r="F1587" s="149">
        <v>2.88</v>
      </c>
      <c r="G1587" s="149">
        <v>0</v>
      </c>
      <c r="H1587" s="149">
        <v>2.73</v>
      </c>
      <c r="I1587" s="150">
        <v>10.92</v>
      </c>
    </row>
    <row r="1588" spans="1:9" ht="15.6" x14ac:dyDescent="0.25">
      <c r="A1588" s="145"/>
      <c r="B1588" s="146">
        <v>5997283</v>
      </c>
      <c r="C1588" s="147"/>
      <c r="D1588" s="148" t="s">
        <v>922</v>
      </c>
      <c r="E1588" s="149">
        <v>0</v>
      </c>
      <c r="F1588" s="149">
        <v>0</v>
      </c>
      <c r="G1588" s="149">
        <v>0</v>
      </c>
      <c r="H1588" s="149">
        <v>2.73</v>
      </c>
      <c r="I1588" s="150">
        <v>2.73</v>
      </c>
    </row>
    <row r="1589" spans="1:9" ht="15.6" x14ac:dyDescent="0.25">
      <c r="A1589" s="145"/>
      <c r="B1589" s="146">
        <v>5997309</v>
      </c>
      <c r="C1589" s="147"/>
      <c r="D1589" s="148" t="s">
        <v>921</v>
      </c>
      <c r="E1589" s="149">
        <v>5.31</v>
      </c>
      <c r="F1589" s="149">
        <v>2.88</v>
      </c>
      <c r="G1589" s="149">
        <v>0</v>
      </c>
      <c r="H1589" s="149">
        <v>2.73</v>
      </c>
      <c r="I1589" s="150">
        <v>10.92</v>
      </c>
    </row>
    <row r="1590" spans="1:9" ht="15.6" x14ac:dyDescent="0.25">
      <c r="A1590" s="145"/>
      <c r="B1590" s="146">
        <v>6004153</v>
      </c>
      <c r="C1590" s="147"/>
      <c r="D1590" s="148" t="s">
        <v>886</v>
      </c>
      <c r="E1590" s="149">
        <v>5.31</v>
      </c>
      <c r="F1590" s="149">
        <v>2.88</v>
      </c>
      <c r="G1590" s="149">
        <v>0</v>
      </c>
      <c r="H1590" s="149">
        <v>2.73</v>
      </c>
      <c r="I1590" s="150">
        <v>10.92</v>
      </c>
    </row>
    <row r="1591" spans="1:9" ht="15.6" x14ac:dyDescent="0.25">
      <c r="A1591" s="145"/>
      <c r="B1591" s="146">
        <v>6004171</v>
      </c>
      <c r="C1591" s="147"/>
      <c r="D1591" s="148" t="s">
        <v>822</v>
      </c>
      <c r="E1591" s="149">
        <v>5.31</v>
      </c>
      <c r="F1591" s="149">
        <v>2.88</v>
      </c>
      <c r="G1591" s="149">
        <v>0</v>
      </c>
      <c r="H1591" s="149">
        <v>2.73</v>
      </c>
      <c r="I1591" s="150">
        <v>10.92</v>
      </c>
    </row>
    <row r="1592" spans="1:9" ht="15.6" x14ac:dyDescent="0.25">
      <c r="A1592" s="145"/>
      <c r="B1592" s="146">
        <v>6006865</v>
      </c>
      <c r="C1592" s="147"/>
      <c r="D1592" s="148" t="s">
        <v>834</v>
      </c>
      <c r="E1592" s="149">
        <v>5.31</v>
      </c>
      <c r="F1592" s="149">
        <v>2.88</v>
      </c>
      <c r="G1592" s="149">
        <v>0</v>
      </c>
      <c r="H1592" s="149">
        <v>2.73</v>
      </c>
      <c r="I1592" s="150">
        <v>10.92</v>
      </c>
    </row>
    <row r="1593" spans="1:9" ht="15.6" x14ac:dyDescent="0.25">
      <c r="A1593" s="145"/>
      <c r="B1593" s="146">
        <v>6014905</v>
      </c>
      <c r="C1593" s="147"/>
      <c r="D1593" s="148" t="s">
        <v>925</v>
      </c>
      <c r="E1593" s="149">
        <v>5.31</v>
      </c>
      <c r="F1593" s="149">
        <v>2.88</v>
      </c>
      <c r="G1593" s="149">
        <v>0</v>
      </c>
      <c r="H1593" s="149">
        <v>2.73</v>
      </c>
      <c r="I1593" s="150">
        <v>10.92</v>
      </c>
    </row>
    <row r="1594" spans="1:9" ht="15.6" x14ac:dyDescent="0.25">
      <c r="A1594" s="145"/>
      <c r="B1594" s="146">
        <v>6020305</v>
      </c>
      <c r="C1594" s="147"/>
      <c r="D1594" s="148" t="s">
        <v>771</v>
      </c>
      <c r="E1594" s="149">
        <v>5.31</v>
      </c>
      <c r="F1594" s="149">
        <v>2.88</v>
      </c>
      <c r="G1594" s="149">
        <v>40.25</v>
      </c>
      <c r="H1594" s="149">
        <v>2.73</v>
      </c>
      <c r="I1594" s="150">
        <v>51.169999999999995</v>
      </c>
    </row>
    <row r="1595" spans="1:9" ht="15.6" x14ac:dyDescent="0.25">
      <c r="A1595" s="145"/>
      <c r="B1595" s="146">
        <v>6031369</v>
      </c>
      <c r="C1595" s="147"/>
      <c r="D1595" s="148" t="s">
        <v>818</v>
      </c>
      <c r="E1595" s="149">
        <v>5.31</v>
      </c>
      <c r="F1595" s="149">
        <v>2.88</v>
      </c>
      <c r="G1595" s="149">
        <v>0</v>
      </c>
      <c r="H1595" s="149">
        <v>2.73</v>
      </c>
      <c r="I1595" s="150">
        <v>10.92</v>
      </c>
    </row>
    <row r="1596" spans="1:9" ht="15.6" x14ac:dyDescent="0.25">
      <c r="A1596" s="145"/>
      <c r="B1596" s="146">
        <v>6032930</v>
      </c>
      <c r="C1596" s="147"/>
      <c r="D1596" s="148" t="s">
        <v>787</v>
      </c>
      <c r="E1596" s="149">
        <v>5.31</v>
      </c>
      <c r="F1596" s="149">
        <v>2.88</v>
      </c>
      <c r="G1596" s="149">
        <v>18.260000000000002</v>
      </c>
      <c r="H1596" s="149">
        <v>2.73</v>
      </c>
      <c r="I1596" s="150">
        <v>29.180000000000003</v>
      </c>
    </row>
    <row r="1597" spans="1:9" ht="15.6" x14ac:dyDescent="0.25">
      <c r="A1597" s="145"/>
      <c r="B1597" s="146">
        <v>6034309</v>
      </c>
      <c r="C1597" s="147"/>
      <c r="D1597" s="148" t="s">
        <v>790</v>
      </c>
      <c r="E1597" s="149">
        <v>5.31</v>
      </c>
      <c r="F1597" s="149">
        <v>2.88</v>
      </c>
      <c r="G1597" s="149">
        <v>18.260000000000002</v>
      </c>
      <c r="H1597" s="149">
        <v>2.73</v>
      </c>
      <c r="I1597" s="150">
        <v>29.180000000000003</v>
      </c>
    </row>
    <row r="1598" spans="1:9" ht="15.6" x14ac:dyDescent="0.25">
      <c r="A1598" s="145"/>
      <c r="B1598" s="146">
        <v>6036649</v>
      </c>
      <c r="C1598" s="147"/>
      <c r="D1598" s="148" t="s">
        <v>857</v>
      </c>
      <c r="E1598" s="149">
        <v>0</v>
      </c>
      <c r="F1598" s="149">
        <v>0</v>
      </c>
      <c r="G1598" s="149">
        <v>0</v>
      </c>
      <c r="H1598" s="149">
        <v>0</v>
      </c>
      <c r="I1598" s="150">
        <v>0</v>
      </c>
    </row>
    <row r="1599" spans="1:9" ht="15.6" x14ac:dyDescent="0.25">
      <c r="A1599" s="145"/>
      <c r="B1599" s="146">
        <v>6038580</v>
      </c>
      <c r="C1599" s="147"/>
      <c r="D1599" s="148" t="s">
        <v>887</v>
      </c>
      <c r="E1599" s="149">
        <v>5.31</v>
      </c>
      <c r="F1599" s="149">
        <v>2.88</v>
      </c>
      <c r="G1599" s="149">
        <v>0</v>
      </c>
      <c r="H1599" s="149">
        <v>2.73</v>
      </c>
      <c r="I1599" s="150">
        <v>10.92</v>
      </c>
    </row>
    <row r="1600" spans="1:9" ht="15.6" x14ac:dyDescent="0.25">
      <c r="A1600" s="145"/>
      <c r="B1600" s="146">
        <v>6043389</v>
      </c>
      <c r="C1600" s="147"/>
      <c r="D1600" s="148" t="s">
        <v>865</v>
      </c>
      <c r="E1600" s="149">
        <v>5.31</v>
      </c>
      <c r="F1600" s="149">
        <v>2.88</v>
      </c>
      <c r="G1600" s="149">
        <v>0</v>
      </c>
      <c r="H1600" s="149">
        <v>2.73</v>
      </c>
      <c r="I1600" s="150">
        <v>10.92</v>
      </c>
    </row>
    <row r="1601" spans="1:9" ht="15.6" x14ac:dyDescent="0.25">
      <c r="A1601" s="145"/>
      <c r="B1601" s="146">
        <v>6044551</v>
      </c>
      <c r="C1601" s="147"/>
      <c r="D1601" s="148" t="s">
        <v>861</v>
      </c>
      <c r="E1601" s="149">
        <v>0</v>
      </c>
      <c r="F1601" s="149">
        <v>0</v>
      </c>
      <c r="G1601" s="149">
        <v>0</v>
      </c>
      <c r="H1601" s="149">
        <v>0</v>
      </c>
      <c r="I1601" s="150">
        <v>0</v>
      </c>
    </row>
    <row r="1602" spans="1:9" ht="15.6" x14ac:dyDescent="0.25">
      <c r="A1602" s="145"/>
      <c r="B1602" s="146">
        <v>6049138</v>
      </c>
      <c r="C1602" s="147"/>
      <c r="D1602" s="148" t="s">
        <v>745</v>
      </c>
      <c r="E1602" s="149">
        <v>5.31</v>
      </c>
      <c r="F1602" s="149">
        <v>2.88</v>
      </c>
      <c r="G1602" s="149">
        <v>0</v>
      </c>
      <c r="H1602" s="149">
        <v>0</v>
      </c>
      <c r="I1602" s="150">
        <v>8.19</v>
      </c>
    </row>
    <row r="1603" spans="1:9" ht="15.6" x14ac:dyDescent="0.25">
      <c r="A1603" s="145"/>
      <c r="B1603" s="146">
        <v>6058785</v>
      </c>
      <c r="C1603" s="147"/>
      <c r="D1603" s="148" t="s">
        <v>945</v>
      </c>
      <c r="E1603" s="149">
        <v>0</v>
      </c>
      <c r="F1603" s="149">
        <v>0</v>
      </c>
      <c r="G1603" s="149">
        <v>0</v>
      </c>
      <c r="H1603" s="149">
        <v>0</v>
      </c>
      <c r="I1603" s="150">
        <v>0</v>
      </c>
    </row>
    <row r="1604" spans="1:9" ht="15.6" x14ac:dyDescent="0.25">
      <c r="A1604" s="145"/>
      <c r="B1604" s="146">
        <v>6063944</v>
      </c>
      <c r="C1604" s="147"/>
      <c r="D1604" s="148" t="s">
        <v>863</v>
      </c>
      <c r="E1604" s="149">
        <v>5.31</v>
      </c>
      <c r="F1604" s="149">
        <v>2.88</v>
      </c>
      <c r="G1604" s="149">
        <v>0</v>
      </c>
      <c r="H1604" s="149">
        <v>2.73</v>
      </c>
      <c r="I1604" s="150">
        <v>10.92</v>
      </c>
    </row>
    <row r="1605" spans="1:9" ht="15.6" x14ac:dyDescent="0.25">
      <c r="A1605" s="145"/>
      <c r="B1605" s="146">
        <v>6064144</v>
      </c>
      <c r="C1605" s="147"/>
      <c r="D1605" s="148" t="s">
        <v>817</v>
      </c>
      <c r="E1605" s="149">
        <v>5.31</v>
      </c>
      <c r="F1605" s="149">
        <v>2.88</v>
      </c>
      <c r="G1605" s="149">
        <v>0</v>
      </c>
      <c r="H1605" s="149">
        <v>2.73</v>
      </c>
      <c r="I1605" s="150">
        <v>10.92</v>
      </c>
    </row>
    <row r="1606" spans="1:9" ht="15.6" x14ac:dyDescent="0.25">
      <c r="A1606" s="145"/>
      <c r="B1606" s="146">
        <v>6072740</v>
      </c>
      <c r="C1606" s="147"/>
      <c r="D1606" s="148" t="s">
        <v>806</v>
      </c>
      <c r="E1606" s="149">
        <v>0</v>
      </c>
      <c r="F1606" s="149">
        <v>0</v>
      </c>
      <c r="G1606" s="149">
        <v>0</v>
      </c>
      <c r="H1606" s="149">
        <v>0</v>
      </c>
      <c r="I1606" s="150">
        <v>0</v>
      </c>
    </row>
    <row r="1607" spans="1:9" ht="15.6" x14ac:dyDescent="0.25">
      <c r="A1607" s="145"/>
      <c r="B1607" s="146">
        <v>6074138</v>
      </c>
      <c r="C1607" s="147"/>
      <c r="D1607" s="148" t="s">
        <v>727</v>
      </c>
      <c r="E1607" s="149">
        <v>0</v>
      </c>
      <c r="F1607" s="149">
        <v>0</v>
      </c>
      <c r="G1607" s="149">
        <v>0</v>
      </c>
      <c r="H1607" s="149">
        <v>0</v>
      </c>
      <c r="I1607" s="150">
        <v>0</v>
      </c>
    </row>
    <row r="1608" spans="1:9" ht="15.6" x14ac:dyDescent="0.25">
      <c r="A1608" s="145"/>
      <c r="B1608" s="146">
        <v>6076585</v>
      </c>
      <c r="C1608" s="147"/>
      <c r="D1608" s="148" t="s">
        <v>912</v>
      </c>
      <c r="E1608" s="149">
        <v>5.31</v>
      </c>
      <c r="F1608" s="149">
        <v>2.88</v>
      </c>
      <c r="G1608" s="149">
        <v>0</v>
      </c>
      <c r="H1608" s="149">
        <v>2.73</v>
      </c>
      <c r="I1608" s="150">
        <v>10.92</v>
      </c>
    </row>
    <row r="1609" spans="1:9" ht="15.6" x14ac:dyDescent="0.25">
      <c r="A1609" s="145"/>
      <c r="B1609" s="146">
        <v>6080598</v>
      </c>
      <c r="C1609" s="147"/>
      <c r="D1609" s="148" t="s">
        <v>910</v>
      </c>
      <c r="E1609" s="149">
        <v>5.31</v>
      </c>
      <c r="F1609" s="149">
        <v>2.88</v>
      </c>
      <c r="G1609" s="149">
        <v>0</v>
      </c>
      <c r="H1609" s="149">
        <v>2.73</v>
      </c>
      <c r="I1609" s="150">
        <v>10.92</v>
      </c>
    </row>
    <row r="1610" spans="1:9" ht="15.6" x14ac:dyDescent="0.25">
      <c r="A1610" s="145"/>
      <c r="B1610" s="146">
        <v>6081766</v>
      </c>
      <c r="C1610" s="147"/>
      <c r="D1610" s="148" t="s">
        <v>915</v>
      </c>
      <c r="E1610" s="149">
        <v>5.31</v>
      </c>
      <c r="F1610" s="149">
        <v>2.88</v>
      </c>
      <c r="G1610" s="149">
        <v>0</v>
      </c>
      <c r="H1610" s="149">
        <v>2.73</v>
      </c>
      <c r="I1610" s="150">
        <v>10.92</v>
      </c>
    </row>
    <row r="1611" spans="1:9" ht="15.6" x14ac:dyDescent="0.25">
      <c r="A1611" s="145"/>
      <c r="B1611" s="146">
        <v>6093971</v>
      </c>
      <c r="C1611" s="147"/>
      <c r="D1611" s="148" t="s">
        <v>868</v>
      </c>
      <c r="E1611" s="149">
        <v>5.31</v>
      </c>
      <c r="F1611" s="149">
        <v>2.88</v>
      </c>
      <c r="G1611" s="149">
        <v>0</v>
      </c>
      <c r="H1611" s="149">
        <v>2.73</v>
      </c>
      <c r="I1611" s="150">
        <v>10.92</v>
      </c>
    </row>
    <row r="1612" spans="1:9" ht="15.6" x14ac:dyDescent="0.25">
      <c r="A1612" s="145"/>
      <c r="B1612" s="146">
        <v>6098091</v>
      </c>
      <c r="C1612" s="147"/>
      <c r="D1612" s="148" t="s">
        <v>908</v>
      </c>
      <c r="E1612" s="149">
        <v>5.31</v>
      </c>
      <c r="F1612" s="149">
        <v>2.88</v>
      </c>
      <c r="G1612" s="149">
        <v>0</v>
      </c>
      <c r="H1612" s="149">
        <v>2.73</v>
      </c>
      <c r="I1612" s="150">
        <v>10.92</v>
      </c>
    </row>
    <row r="1613" spans="1:9" ht="15.6" x14ac:dyDescent="0.25">
      <c r="A1613" s="145"/>
      <c r="B1613" s="146">
        <v>6098385</v>
      </c>
      <c r="C1613" s="147"/>
      <c r="D1613" s="148" t="s">
        <v>851</v>
      </c>
      <c r="E1613" s="149">
        <v>5.31</v>
      </c>
      <c r="F1613" s="149">
        <v>2.88</v>
      </c>
      <c r="G1613" s="149">
        <v>22.66</v>
      </c>
      <c r="H1613" s="149">
        <v>2.73</v>
      </c>
      <c r="I1613" s="150">
        <v>33.58</v>
      </c>
    </row>
    <row r="1614" spans="1:9" ht="15.6" x14ac:dyDescent="0.25">
      <c r="A1614" s="145"/>
      <c r="B1614" s="146">
        <v>6099415</v>
      </c>
      <c r="C1614" s="147"/>
      <c r="D1614" s="148" t="s">
        <v>945</v>
      </c>
      <c r="E1614" s="149">
        <v>0</v>
      </c>
      <c r="F1614" s="149">
        <v>0</v>
      </c>
      <c r="G1614" s="149">
        <v>0</v>
      </c>
      <c r="H1614" s="149">
        <v>0</v>
      </c>
      <c r="I1614" s="150">
        <v>0</v>
      </c>
    </row>
    <row r="1615" spans="1:9" ht="15.6" x14ac:dyDescent="0.25">
      <c r="A1615" s="145"/>
      <c r="B1615" s="146">
        <v>6101694</v>
      </c>
      <c r="C1615" s="147"/>
      <c r="D1615" s="148" t="s">
        <v>851</v>
      </c>
      <c r="E1615" s="149">
        <v>5.31</v>
      </c>
      <c r="F1615" s="149">
        <v>2.88</v>
      </c>
      <c r="G1615" s="149">
        <v>22.66</v>
      </c>
      <c r="H1615" s="149">
        <v>2.73</v>
      </c>
      <c r="I1615" s="150">
        <v>33.58</v>
      </c>
    </row>
    <row r="1616" spans="1:9" ht="15.6" x14ac:dyDescent="0.25">
      <c r="A1616" s="145"/>
      <c r="B1616" s="146">
        <v>6102360</v>
      </c>
      <c r="C1616" s="147"/>
      <c r="D1616" s="148" t="s">
        <v>892</v>
      </c>
      <c r="E1616" s="149">
        <v>0</v>
      </c>
      <c r="F1616" s="149">
        <v>0</v>
      </c>
      <c r="G1616" s="149">
        <v>0</v>
      </c>
      <c r="H1616" s="149">
        <v>0</v>
      </c>
      <c r="I1616" s="150">
        <v>0</v>
      </c>
    </row>
    <row r="1617" spans="1:9" ht="15.6" x14ac:dyDescent="0.25">
      <c r="A1617" s="145"/>
      <c r="B1617" s="146">
        <v>6106006</v>
      </c>
      <c r="C1617" s="147"/>
      <c r="D1617" s="148" t="s">
        <v>861</v>
      </c>
      <c r="E1617" s="149">
        <v>0</v>
      </c>
      <c r="F1617" s="149">
        <v>0</v>
      </c>
      <c r="G1617" s="149">
        <v>0</v>
      </c>
      <c r="H1617" s="149">
        <v>0</v>
      </c>
      <c r="I1617" s="150">
        <v>0</v>
      </c>
    </row>
    <row r="1618" spans="1:9" ht="15.6" x14ac:dyDescent="0.25">
      <c r="A1618" s="145"/>
      <c r="B1618" s="146">
        <v>6110762</v>
      </c>
      <c r="C1618" s="147"/>
      <c r="D1618" s="148" t="s">
        <v>821</v>
      </c>
      <c r="E1618" s="149">
        <v>5.31</v>
      </c>
      <c r="F1618" s="149">
        <v>2.88</v>
      </c>
      <c r="G1618" s="149">
        <v>0</v>
      </c>
      <c r="H1618" s="149">
        <v>2.73</v>
      </c>
      <c r="I1618" s="150">
        <v>10.92</v>
      </c>
    </row>
    <row r="1619" spans="1:9" ht="15.6" x14ac:dyDescent="0.25">
      <c r="A1619" s="145"/>
      <c r="B1619" s="146">
        <v>6117800</v>
      </c>
      <c r="C1619" s="147"/>
      <c r="D1619" s="148" t="s">
        <v>856</v>
      </c>
      <c r="E1619" s="149">
        <v>5.31</v>
      </c>
      <c r="F1619" s="149">
        <v>2.88</v>
      </c>
      <c r="G1619" s="149">
        <v>0</v>
      </c>
      <c r="H1619" s="149">
        <v>2.73</v>
      </c>
      <c r="I1619" s="150">
        <v>10.92</v>
      </c>
    </row>
    <row r="1620" spans="1:9" ht="15.6" x14ac:dyDescent="0.25">
      <c r="A1620" s="145"/>
      <c r="B1620" s="146">
        <v>6124013</v>
      </c>
      <c r="C1620" s="147"/>
      <c r="D1620" s="148" t="s">
        <v>822</v>
      </c>
      <c r="E1620" s="149">
        <v>5.31</v>
      </c>
      <c r="F1620" s="149">
        <v>2.88</v>
      </c>
      <c r="G1620" s="149">
        <v>0</v>
      </c>
      <c r="H1620" s="149">
        <v>2.73</v>
      </c>
      <c r="I1620" s="150">
        <v>10.92</v>
      </c>
    </row>
    <row r="1621" spans="1:9" ht="15.6" x14ac:dyDescent="0.25">
      <c r="A1621" s="145"/>
      <c r="B1621" s="146">
        <v>6126958</v>
      </c>
      <c r="C1621" s="147"/>
      <c r="D1621" s="148" t="s">
        <v>783</v>
      </c>
      <c r="E1621" s="149">
        <v>5.31</v>
      </c>
      <c r="F1621" s="149">
        <v>2.88</v>
      </c>
      <c r="G1621" s="149">
        <v>0</v>
      </c>
      <c r="H1621" s="149">
        <v>2.73</v>
      </c>
      <c r="I1621" s="150">
        <v>10.92</v>
      </c>
    </row>
    <row r="1622" spans="1:9" ht="15.6" x14ac:dyDescent="0.25">
      <c r="A1622" s="145"/>
      <c r="B1622" s="146">
        <v>6132695</v>
      </c>
      <c r="C1622" s="147"/>
      <c r="D1622" s="148" t="s">
        <v>922</v>
      </c>
      <c r="E1622" s="149">
        <v>5.31</v>
      </c>
      <c r="F1622" s="149">
        <v>2.88</v>
      </c>
      <c r="G1622" s="149">
        <v>0</v>
      </c>
      <c r="H1622" s="149">
        <v>2.73</v>
      </c>
      <c r="I1622" s="150">
        <v>10.92</v>
      </c>
    </row>
    <row r="1623" spans="1:9" ht="15.6" x14ac:dyDescent="0.25">
      <c r="A1623" s="145"/>
      <c r="B1623" s="146">
        <v>6134544</v>
      </c>
      <c r="C1623" s="147"/>
      <c r="D1623" s="148" t="s">
        <v>824</v>
      </c>
      <c r="E1623" s="149">
        <v>0</v>
      </c>
      <c r="F1623" s="149">
        <v>0</v>
      </c>
      <c r="G1623" s="149">
        <v>0</v>
      </c>
      <c r="H1623" s="149">
        <v>0</v>
      </c>
      <c r="I1623" s="150">
        <v>0</v>
      </c>
    </row>
    <row r="1624" spans="1:9" ht="15.6" x14ac:dyDescent="0.25">
      <c r="A1624" s="145"/>
      <c r="B1624" s="146">
        <v>6135501</v>
      </c>
      <c r="C1624" s="147"/>
      <c r="D1624" s="148" t="s">
        <v>900</v>
      </c>
      <c r="E1624" s="149">
        <v>5.31</v>
      </c>
      <c r="F1624" s="149">
        <v>2.88</v>
      </c>
      <c r="G1624" s="149">
        <v>0</v>
      </c>
      <c r="H1624" s="149">
        <v>2.73</v>
      </c>
      <c r="I1624" s="150">
        <v>10.92</v>
      </c>
    </row>
    <row r="1625" spans="1:9" ht="15.6" x14ac:dyDescent="0.25">
      <c r="A1625" s="145"/>
      <c r="B1625" s="146">
        <v>6136660</v>
      </c>
      <c r="C1625" s="147"/>
      <c r="D1625" s="148" t="s">
        <v>825</v>
      </c>
      <c r="E1625" s="149">
        <v>5.31</v>
      </c>
      <c r="F1625" s="149">
        <v>2.88</v>
      </c>
      <c r="G1625" s="149">
        <v>0</v>
      </c>
      <c r="H1625" s="149">
        <v>2.73</v>
      </c>
      <c r="I1625" s="150">
        <v>10.92</v>
      </c>
    </row>
    <row r="1626" spans="1:9" ht="15.6" x14ac:dyDescent="0.25">
      <c r="A1626" s="145"/>
      <c r="B1626" s="146">
        <v>6149148</v>
      </c>
      <c r="C1626" s="147"/>
      <c r="D1626" s="148" t="s">
        <v>868</v>
      </c>
      <c r="E1626" s="149">
        <v>5.31</v>
      </c>
      <c r="F1626" s="149">
        <v>2.88</v>
      </c>
      <c r="G1626" s="149">
        <v>0</v>
      </c>
      <c r="H1626" s="149">
        <v>2.73</v>
      </c>
      <c r="I1626" s="150">
        <v>10.92</v>
      </c>
    </row>
    <row r="1627" spans="1:9" ht="15.6" x14ac:dyDescent="0.25">
      <c r="A1627" s="145"/>
      <c r="B1627" s="146">
        <v>6153701</v>
      </c>
      <c r="C1627" s="147"/>
      <c r="D1627" s="148" t="s">
        <v>804</v>
      </c>
      <c r="E1627" s="149">
        <v>0</v>
      </c>
      <c r="F1627" s="149">
        <v>0</v>
      </c>
      <c r="G1627" s="149">
        <v>0</v>
      </c>
      <c r="H1627" s="149">
        <v>0</v>
      </c>
      <c r="I1627" s="150">
        <v>0</v>
      </c>
    </row>
    <row r="1628" spans="1:9" ht="15.6" x14ac:dyDescent="0.25">
      <c r="A1628" s="145"/>
      <c r="B1628" s="146">
        <v>6154437</v>
      </c>
      <c r="C1628" s="147"/>
      <c r="D1628" s="148" t="s">
        <v>802</v>
      </c>
      <c r="E1628" s="149">
        <v>0</v>
      </c>
      <c r="F1628" s="149">
        <v>0</v>
      </c>
      <c r="G1628" s="149">
        <v>0</v>
      </c>
      <c r="H1628" s="149">
        <v>0</v>
      </c>
      <c r="I1628" s="150">
        <v>0</v>
      </c>
    </row>
    <row r="1629" spans="1:9" ht="15.6" x14ac:dyDescent="0.25">
      <c r="A1629" s="145"/>
      <c r="B1629" s="146">
        <v>6154530</v>
      </c>
      <c r="C1629" s="147"/>
      <c r="D1629" s="148" t="s">
        <v>747</v>
      </c>
      <c r="E1629" s="149">
        <v>5.31</v>
      </c>
      <c r="F1629" s="149">
        <v>2.88</v>
      </c>
      <c r="G1629" s="149">
        <v>0</v>
      </c>
      <c r="H1629" s="149">
        <v>2.73</v>
      </c>
      <c r="I1629" s="150">
        <v>10.92</v>
      </c>
    </row>
    <row r="1630" spans="1:9" ht="15.6" x14ac:dyDescent="0.25">
      <c r="A1630" s="145"/>
      <c r="B1630" s="146">
        <v>6154990</v>
      </c>
      <c r="C1630" s="147"/>
      <c r="D1630" s="148" t="s">
        <v>883</v>
      </c>
      <c r="E1630" s="149">
        <v>5.31</v>
      </c>
      <c r="F1630" s="149">
        <v>2.88</v>
      </c>
      <c r="G1630" s="149">
        <v>0</v>
      </c>
      <c r="H1630" s="149">
        <v>2.73</v>
      </c>
      <c r="I1630" s="150">
        <v>10.92</v>
      </c>
    </row>
    <row r="1631" spans="1:9" ht="15.6" x14ac:dyDescent="0.25">
      <c r="A1631" s="145"/>
      <c r="B1631" s="146">
        <v>6157840</v>
      </c>
      <c r="C1631" s="147"/>
      <c r="D1631" s="148" t="s">
        <v>751</v>
      </c>
      <c r="E1631" s="149">
        <v>5.31</v>
      </c>
      <c r="F1631" s="149">
        <v>0</v>
      </c>
      <c r="G1631" s="149">
        <v>0</v>
      </c>
      <c r="H1631" s="149">
        <v>2.73</v>
      </c>
      <c r="I1631" s="150">
        <v>8.0399999999999991</v>
      </c>
    </row>
    <row r="1632" spans="1:9" ht="15.6" x14ac:dyDescent="0.25">
      <c r="A1632" s="145"/>
      <c r="B1632" s="146">
        <v>6161642</v>
      </c>
      <c r="C1632" s="147"/>
      <c r="D1632" s="148" t="s">
        <v>857</v>
      </c>
      <c r="E1632" s="149">
        <v>5.31</v>
      </c>
      <c r="F1632" s="149">
        <v>2.88</v>
      </c>
      <c r="G1632" s="149">
        <v>0</v>
      </c>
      <c r="H1632" s="149">
        <v>2.73</v>
      </c>
      <c r="I1632" s="150">
        <v>10.92</v>
      </c>
    </row>
    <row r="1633" spans="1:9" ht="15.6" x14ac:dyDescent="0.25">
      <c r="A1633" s="145"/>
      <c r="B1633" s="146">
        <v>6163680</v>
      </c>
      <c r="C1633" s="147"/>
      <c r="D1633" s="148" t="s">
        <v>762</v>
      </c>
      <c r="E1633" s="149">
        <v>0</v>
      </c>
      <c r="F1633" s="149">
        <v>0</v>
      </c>
      <c r="G1633" s="149">
        <v>0</v>
      </c>
      <c r="H1633" s="149">
        <v>0</v>
      </c>
      <c r="I1633" s="150">
        <v>0</v>
      </c>
    </row>
    <row r="1634" spans="1:9" ht="15.6" x14ac:dyDescent="0.25">
      <c r="A1634" s="145"/>
      <c r="B1634" s="146">
        <v>6169675</v>
      </c>
      <c r="C1634" s="147"/>
      <c r="D1634" s="148" t="s">
        <v>790</v>
      </c>
      <c r="E1634" s="149">
        <v>5.31</v>
      </c>
      <c r="F1634" s="149">
        <v>2.88</v>
      </c>
      <c r="G1634" s="149">
        <v>18.260000000000002</v>
      </c>
      <c r="H1634" s="149">
        <v>2.73</v>
      </c>
      <c r="I1634" s="150">
        <v>29.180000000000003</v>
      </c>
    </row>
    <row r="1635" spans="1:9" ht="15.6" x14ac:dyDescent="0.25">
      <c r="A1635" s="145"/>
      <c r="B1635" s="146">
        <v>6170091</v>
      </c>
      <c r="C1635" s="147"/>
      <c r="D1635" s="148" t="s">
        <v>954</v>
      </c>
      <c r="E1635" s="149">
        <v>5.31</v>
      </c>
      <c r="F1635" s="149">
        <v>2.88</v>
      </c>
      <c r="G1635" s="149">
        <v>18.260000000000002</v>
      </c>
      <c r="H1635" s="149">
        <v>2.73</v>
      </c>
      <c r="I1635" s="150">
        <v>29.180000000000003</v>
      </c>
    </row>
    <row r="1636" spans="1:9" ht="15.6" x14ac:dyDescent="0.25">
      <c r="A1636" s="145"/>
      <c r="B1636" s="146">
        <v>6172697</v>
      </c>
      <c r="C1636" s="147"/>
      <c r="D1636" s="148" t="s">
        <v>871</v>
      </c>
      <c r="E1636" s="149">
        <v>0</v>
      </c>
      <c r="F1636" s="149">
        <v>0</v>
      </c>
      <c r="G1636" s="149">
        <v>0</v>
      </c>
      <c r="H1636" s="149">
        <v>2.73</v>
      </c>
      <c r="I1636" s="150">
        <v>2.73</v>
      </c>
    </row>
    <row r="1637" spans="1:9" ht="15.6" x14ac:dyDescent="0.25">
      <c r="A1637" s="145"/>
      <c r="B1637" s="146">
        <v>6193006</v>
      </c>
      <c r="C1637" s="147"/>
      <c r="D1637" s="148" t="s">
        <v>927</v>
      </c>
      <c r="E1637" s="149">
        <v>0</v>
      </c>
      <c r="F1637" s="149">
        <v>0</v>
      </c>
      <c r="G1637" s="149">
        <v>0</v>
      </c>
      <c r="H1637" s="149">
        <v>2.73</v>
      </c>
      <c r="I1637" s="150">
        <v>2.73</v>
      </c>
    </row>
    <row r="1638" spans="1:9" ht="15.6" x14ac:dyDescent="0.25">
      <c r="A1638" s="145"/>
      <c r="B1638" s="146">
        <v>6195791</v>
      </c>
      <c r="C1638" s="147"/>
      <c r="D1638" s="148" t="s">
        <v>780</v>
      </c>
      <c r="E1638" s="149">
        <v>5.31</v>
      </c>
      <c r="F1638" s="149">
        <v>2.88</v>
      </c>
      <c r="G1638" s="149">
        <v>0</v>
      </c>
      <c r="H1638" s="149">
        <v>2.73</v>
      </c>
      <c r="I1638" s="150">
        <v>10.92</v>
      </c>
    </row>
    <row r="1639" spans="1:9" ht="15.6" x14ac:dyDescent="0.25">
      <c r="A1639" s="145"/>
      <c r="B1639" s="146">
        <v>6196649</v>
      </c>
      <c r="C1639" s="147"/>
      <c r="D1639" s="148" t="s">
        <v>849</v>
      </c>
      <c r="E1639" s="149">
        <v>0</v>
      </c>
      <c r="F1639" s="149">
        <v>0</v>
      </c>
      <c r="G1639" s="149">
        <v>0</v>
      </c>
      <c r="H1639" s="149">
        <v>2.73</v>
      </c>
      <c r="I1639" s="150">
        <v>2.73</v>
      </c>
    </row>
    <row r="1640" spans="1:9" ht="15.6" x14ac:dyDescent="0.25">
      <c r="A1640" s="145"/>
      <c r="B1640" s="146">
        <v>6206509</v>
      </c>
      <c r="C1640" s="147"/>
      <c r="D1640" s="148" t="s">
        <v>789</v>
      </c>
      <c r="E1640" s="149">
        <v>5.31</v>
      </c>
      <c r="F1640" s="149">
        <v>2.88</v>
      </c>
      <c r="G1640" s="149">
        <v>24.03</v>
      </c>
      <c r="H1640" s="149">
        <v>2.73</v>
      </c>
      <c r="I1640" s="150">
        <v>34.949999999999996</v>
      </c>
    </row>
    <row r="1641" spans="1:9" ht="15.6" x14ac:dyDescent="0.25">
      <c r="A1641" s="145"/>
      <c r="B1641" s="146">
        <v>6215184</v>
      </c>
      <c r="C1641" s="147"/>
      <c r="D1641" s="148" t="s">
        <v>903</v>
      </c>
      <c r="E1641" s="149">
        <v>0</v>
      </c>
      <c r="F1641" s="149">
        <v>0</v>
      </c>
      <c r="G1641" s="149">
        <v>0</v>
      </c>
      <c r="H1641" s="149">
        <v>0</v>
      </c>
      <c r="I1641" s="150">
        <v>0</v>
      </c>
    </row>
    <row r="1642" spans="1:9" ht="15.6" x14ac:dyDescent="0.25">
      <c r="A1642" s="145"/>
      <c r="B1642" s="146">
        <v>6224963</v>
      </c>
      <c r="C1642" s="147"/>
      <c r="D1642" s="148" t="s">
        <v>926</v>
      </c>
      <c r="E1642" s="149">
        <v>5.31</v>
      </c>
      <c r="F1642" s="149">
        <v>0</v>
      </c>
      <c r="G1642" s="149">
        <v>0</v>
      </c>
      <c r="H1642" s="149">
        <v>2.73</v>
      </c>
      <c r="I1642" s="150">
        <v>8.0399999999999991</v>
      </c>
    </row>
    <row r="1643" spans="1:9" ht="15.6" x14ac:dyDescent="0.25">
      <c r="A1643" s="145"/>
      <c r="B1643" s="146">
        <v>6239953</v>
      </c>
      <c r="C1643" s="147"/>
      <c r="D1643" s="148" t="s">
        <v>912</v>
      </c>
      <c r="E1643" s="149">
        <v>5.31</v>
      </c>
      <c r="F1643" s="149">
        <v>2.88</v>
      </c>
      <c r="G1643" s="149">
        <v>0</v>
      </c>
      <c r="H1643" s="149">
        <v>2.73</v>
      </c>
      <c r="I1643" s="150">
        <v>10.92</v>
      </c>
    </row>
    <row r="1644" spans="1:9" ht="15.6" x14ac:dyDescent="0.25">
      <c r="A1644" s="145"/>
      <c r="B1644" s="146">
        <v>6246874</v>
      </c>
      <c r="C1644" s="147"/>
      <c r="D1644" s="148" t="s">
        <v>818</v>
      </c>
      <c r="E1644" s="149">
        <v>5.31</v>
      </c>
      <c r="F1644" s="149">
        <v>2.88</v>
      </c>
      <c r="G1644" s="149">
        <v>0</v>
      </c>
      <c r="H1644" s="149">
        <v>2.73</v>
      </c>
      <c r="I1644" s="150">
        <v>10.92</v>
      </c>
    </row>
    <row r="1645" spans="1:9" ht="15.6" x14ac:dyDescent="0.25">
      <c r="A1645" s="145"/>
      <c r="B1645" s="146">
        <v>6246943</v>
      </c>
      <c r="C1645" s="147"/>
      <c r="D1645" s="148" t="s">
        <v>773</v>
      </c>
      <c r="E1645" s="149">
        <v>5.31</v>
      </c>
      <c r="F1645" s="149">
        <v>2.88</v>
      </c>
      <c r="G1645" s="149">
        <v>0</v>
      </c>
      <c r="H1645" s="149">
        <v>2.73</v>
      </c>
      <c r="I1645" s="150">
        <v>10.92</v>
      </c>
    </row>
    <row r="1646" spans="1:9" ht="15.6" x14ac:dyDescent="0.25">
      <c r="A1646" s="145"/>
      <c r="B1646" s="146">
        <v>6249174</v>
      </c>
      <c r="C1646" s="147"/>
      <c r="D1646" s="148" t="s">
        <v>868</v>
      </c>
      <c r="E1646" s="149">
        <v>5.31</v>
      </c>
      <c r="F1646" s="149">
        <v>2.88</v>
      </c>
      <c r="G1646" s="149">
        <v>0</v>
      </c>
      <c r="H1646" s="149">
        <v>2.73</v>
      </c>
      <c r="I1646" s="150">
        <v>10.92</v>
      </c>
    </row>
    <row r="1647" spans="1:9" ht="15.6" x14ac:dyDescent="0.25">
      <c r="A1647" s="145"/>
      <c r="B1647" s="146">
        <v>6249585</v>
      </c>
      <c r="C1647" s="147"/>
      <c r="D1647" s="148" t="s">
        <v>921</v>
      </c>
      <c r="E1647" s="149">
        <v>0</v>
      </c>
      <c r="F1647" s="149">
        <v>0</v>
      </c>
      <c r="G1647" s="149">
        <v>0</v>
      </c>
      <c r="H1647" s="149">
        <v>0</v>
      </c>
      <c r="I1647" s="150">
        <v>0</v>
      </c>
    </row>
    <row r="1648" spans="1:9" ht="15.6" x14ac:dyDescent="0.25">
      <c r="A1648" s="145"/>
      <c r="B1648" s="146">
        <v>6250104</v>
      </c>
      <c r="C1648" s="147"/>
      <c r="D1648" s="148" t="s">
        <v>811</v>
      </c>
      <c r="E1648" s="149">
        <v>0</v>
      </c>
      <c r="F1648" s="149">
        <v>0</v>
      </c>
      <c r="G1648" s="149">
        <v>0</v>
      </c>
      <c r="H1648" s="149">
        <v>0</v>
      </c>
      <c r="I1648" s="150">
        <v>0</v>
      </c>
    </row>
    <row r="1649" spans="1:9" ht="15.6" x14ac:dyDescent="0.25">
      <c r="A1649" s="145"/>
      <c r="B1649" s="146">
        <v>6264316</v>
      </c>
      <c r="C1649" s="147"/>
      <c r="D1649" s="148" t="s">
        <v>868</v>
      </c>
      <c r="E1649" s="149">
        <v>5.31</v>
      </c>
      <c r="F1649" s="149">
        <v>2.88</v>
      </c>
      <c r="G1649" s="149">
        <v>0</v>
      </c>
      <c r="H1649" s="149">
        <v>2.73</v>
      </c>
      <c r="I1649" s="150">
        <v>10.92</v>
      </c>
    </row>
    <row r="1650" spans="1:9" ht="15.6" x14ac:dyDescent="0.25">
      <c r="A1650" s="145"/>
      <c r="B1650" s="146">
        <v>6273594</v>
      </c>
      <c r="C1650" s="147"/>
      <c r="D1650" s="148" t="s">
        <v>747</v>
      </c>
      <c r="E1650" s="149">
        <v>5.31</v>
      </c>
      <c r="F1650" s="149">
        <v>2.88</v>
      </c>
      <c r="G1650" s="149">
        <v>0</v>
      </c>
      <c r="H1650" s="149">
        <v>2.73</v>
      </c>
      <c r="I1650" s="150">
        <v>10.92</v>
      </c>
    </row>
    <row r="1651" spans="1:9" ht="15.6" x14ac:dyDescent="0.25">
      <c r="A1651" s="145"/>
      <c r="B1651" s="146">
        <v>6273633</v>
      </c>
      <c r="C1651" s="147"/>
      <c r="D1651" s="148" t="s">
        <v>834</v>
      </c>
      <c r="E1651" s="149">
        <v>5.31</v>
      </c>
      <c r="F1651" s="149">
        <v>2.88</v>
      </c>
      <c r="G1651" s="149">
        <v>0</v>
      </c>
      <c r="H1651" s="149">
        <v>2.73</v>
      </c>
      <c r="I1651" s="150">
        <v>10.92</v>
      </c>
    </row>
    <row r="1652" spans="1:9" ht="15.6" x14ac:dyDescent="0.25">
      <c r="A1652" s="145"/>
      <c r="B1652" s="146">
        <v>6282857</v>
      </c>
      <c r="C1652" s="147"/>
      <c r="D1652" s="148" t="s">
        <v>881</v>
      </c>
      <c r="E1652" s="149">
        <v>5.31</v>
      </c>
      <c r="F1652" s="149">
        <v>2.88</v>
      </c>
      <c r="G1652" s="149">
        <v>0</v>
      </c>
      <c r="H1652" s="149">
        <v>2.73</v>
      </c>
      <c r="I1652" s="150">
        <v>10.92</v>
      </c>
    </row>
    <row r="1653" spans="1:9" ht="15.6" x14ac:dyDescent="0.25">
      <c r="A1653" s="145"/>
      <c r="B1653" s="146">
        <v>6286275</v>
      </c>
      <c r="C1653" s="147"/>
      <c r="D1653" s="148" t="s">
        <v>896</v>
      </c>
      <c r="E1653" s="149">
        <v>5.31</v>
      </c>
      <c r="F1653" s="149">
        <v>2.88</v>
      </c>
      <c r="G1653" s="149">
        <v>0</v>
      </c>
      <c r="H1653" s="149">
        <v>2.73</v>
      </c>
      <c r="I1653" s="150">
        <v>10.92</v>
      </c>
    </row>
    <row r="1654" spans="1:9" ht="15.6" x14ac:dyDescent="0.25">
      <c r="A1654" s="145"/>
      <c r="B1654" s="146">
        <v>6286875</v>
      </c>
      <c r="C1654" s="147"/>
      <c r="D1654" s="148" t="s">
        <v>751</v>
      </c>
      <c r="E1654" s="149">
        <v>0</v>
      </c>
      <c r="F1654" s="149">
        <v>0</v>
      </c>
      <c r="G1654" s="149">
        <v>0</v>
      </c>
      <c r="H1654" s="149">
        <v>0</v>
      </c>
      <c r="I1654" s="150">
        <v>0</v>
      </c>
    </row>
    <row r="1655" spans="1:9" ht="15.6" x14ac:dyDescent="0.25">
      <c r="A1655" s="145"/>
      <c r="B1655" s="146">
        <v>6293692</v>
      </c>
      <c r="C1655" s="147"/>
      <c r="D1655" s="148" t="s">
        <v>851</v>
      </c>
      <c r="E1655" s="149">
        <v>5.31</v>
      </c>
      <c r="F1655" s="149">
        <v>2.88</v>
      </c>
      <c r="G1655" s="149">
        <v>22.66</v>
      </c>
      <c r="H1655" s="149">
        <v>2.73</v>
      </c>
      <c r="I1655" s="150">
        <v>33.58</v>
      </c>
    </row>
    <row r="1656" spans="1:9" ht="15.6" x14ac:dyDescent="0.25">
      <c r="A1656" s="145"/>
      <c r="B1656" s="146">
        <v>6300551</v>
      </c>
      <c r="C1656" s="147"/>
      <c r="D1656" s="148" t="s">
        <v>894</v>
      </c>
      <c r="E1656" s="149">
        <v>5.31</v>
      </c>
      <c r="F1656" s="149">
        <v>2.88</v>
      </c>
      <c r="G1656" s="149">
        <v>0</v>
      </c>
      <c r="H1656" s="149">
        <v>2.73</v>
      </c>
      <c r="I1656" s="150">
        <v>10.92</v>
      </c>
    </row>
    <row r="1657" spans="1:9" ht="15.6" x14ac:dyDescent="0.25">
      <c r="A1657" s="145"/>
      <c r="B1657" s="146">
        <v>6305963</v>
      </c>
      <c r="C1657" s="147"/>
      <c r="D1657" s="148" t="s">
        <v>918</v>
      </c>
      <c r="E1657" s="149">
        <v>0</v>
      </c>
      <c r="F1657" s="149">
        <v>0</v>
      </c>
      <c r="G1657" s="149">
        <v>0</v>
      </c>
      <c r="H1657" s="149">
        <v>0</v>
      </c>
      <c r="I1657" s="150">
        <v>0</v>
      </c>
    </row>
    <row r="1658" spans="1:9" ht="15.6" x14ac:dyDescent="0.25">
      <c r="A1658" s="145"/>
      <c r="B1658" s="146">
        <v>6306693</v>
      </c>
      <c r="C1658" s="147"/>
      <c r="D1658" s="148" t="s">
        <v>925</v>
      </c>
      <c r="E1658" s="149">
        <v>5.31</v>
      </c>
      <c r="F1658" s="149">
        <v>2.88</v>
      </c>
      <c r="G1658" s="149">
        <v>0</v>
      </c>
      <c r="H1658" s="149">
        <v>0</v>
      </c>
      <c r="I1658" s="150">
        <v>8.19</v>
      </c>
    </row>
    <row r="1659" spans="1:9" ht="15.6" x14ac:dyDescent="0.25">
      <c r="A1659" s="145"/>
      <c r="B1659" s="146">
        <v>6313879</v>
      </c>
      <c r="C1659" s="147"/>
      <c r="D1659" s="148" t="s">
        <v>919</v>
      </c>
      <c r="E1659" s="149">
        <v>5.31</v>
      </c>
      <c r="F1659" s="149">
        <v>2.88</v>
      </c>
      <c r="G1659" s="149">
        <v>0</v>
      </c>
      <c r="H1659" s="149">
        <v>2.73</v>
      </c>
      <c r="I1659" s="150">
        <v>10.92</v>
      </c>
    </row>
    <row r="1660" spans="1:9" ht="15.6" x14ac:dyDescent="0.25">
      <c r="A1660" s="145"/>
      <c r="B1660" s="146">
        <v>6313917</v>
      </c>
      <c r="C1660" s="147"/>
      <c r="D1660" s="148" t="s">
        <v>967</v>
      </c>
      <c r="E1660" s="149">
        <v>5.31</v>
      </c>
      <c r="F1660" s="149">
        <v>2.88</v>
      </c>
      <c r="G1660" s="149">
        <v>0</v>
      </c>
      <c r="H1660" s="149">
        <v>2.73</v>
      </c>
      <c r="I1660" s="150">
        <v>10.92</v>
      </c>
    </row>
    <row r="1661" spans="1:9" ht="15.6" x14ac:dyDescent="0.25">
      <c r="A1661" s="145"/>
      <c r="B1661" s="146">
        <v>6316155</v>
      </c>
      <c r="C1661" s="147"/>
      <c r="D1661" s="148" t="s">
        <v>764</v>
      </c>
      <c r="E1661" s="149">
        <v>5.31</v>
      </c>
      <c r="F1661" s="149">
        <v>2.88</v>
      </c>
      <c r="G1661" s="149">
        <v>0</v>
      </c>
      <c r="H1661" s="149">
        <v>2.73</v>
      </c>
      <c r="I1661" s="150">
        <v>10.92</v>
      </c>
    </row>
    <row r="1662" spans="1:9" ht="15.6" x14ac:dyDescent="0.25">
      <c r="A1662" s="145"/>
      <c r="B1662" s="146">
        <v>6319271</v>
      </c>
      <c r="C1662" s="147"/>
      <c r="D1662" s="148" t="s">
        <v>926</v>
      </c>
      <c r="E1662" s="149">
        <v>5.31</v>
      </c>
      <c r="F1662" s="149">
        <v>0</v>
      </c>
      <c r="G1662" s="149">
        <v>0</v>
      </c>
      <c r="H1662" s="149">
        <v>2.73</v>
      </c>
      <c r="I1662" s="150">
        <v>8.0399999999999991</v>
      </c>
    </row>
    <row r="1663" spans="1:9" ht="15.6" x14ac:dyDescent="0.25">
      <c r="A1663" s="145"/>
      <c r="B1663" s="146">
        <v>6327323</v>
      </c>
      <c r="C1663" s="147"/>
      <c r="D1663" s="148" t="s">
        <v>887</v>
      </c>
      <c r="E1663" s="149">
        <v>5.31</v>
      </c>
      <c r="F1663" s="149">
        <v>2.88</v>
      </c>
      <c r="G1663" s="149">
        <v>0</v>
      </c>
      <c r="H1663" s="149">
        <v>2.73</v>
      </c>
      <c r="I1663" s="150">
        <v>10.92</v>
      </c>
    </row>
    <row r="1664" spans="1:9" ht="15.6" x14ac:dyDescent="0.25">
      <c r="A1664" s="145"/>
      <c r="B1664" s="146">
        <v>6329135</v>
      </c>
      <c r="C1664" s="147"/>
      <c r="D1664" s="148" t="s">
        <v>858</v>
      </c>
      <c r="E1664" s="149">
        <v>5.31</v>
      </c>
      <c r="F1664" s="149">
        <v>2.88</v>
      </c>
      <c r="G1664" s="149">
        <v>0</v>
      </c>
      <c r="H1664" s="149">
        <v>2.73</v>
      </c>
      <c r="I1664" s="150">
        <v>10.92</v>
      </c>
    </row>
    <row r="1665" spans="1:9" ht="15.6" x14ac:dyDescent="0.25">
      <c r="A1665" s="145"/>
      <c r="B1665" s="146">
        <v>6338031</v>
      </c>
      <c r="C1665" s="147"/>
      <c r="D1665" s="148" t="s">
        <v>857</v>
      </c>
      <c r="E1665" s="149">
        <v>0</v>
      </c>
      <c r="F1665" s="149">
        <v>0</v>
      </c>
      <c r="G1665" s="149">
        <v>0</v>
      </c>
      <c r="H1665" s="149">
        <v>0</v>
      </c>
      <c r="I1665" s="150">
        <v>0</v>
      </c>
    </row>
    <row r="1666" spans="1:9" ht="15.6" x14ac:dyDescent="0.25">
      <c r="A1666" s="145"/>
      <c r="B1666" s="146">
        <v>6340171</v>
      </c>
      <c r="C1666" s="147"/>
      <c r="D1666" s="148" t="s">
        <v>871</v>
      </c>
      <c r="E1666" s="149">
        <v>0</v>
      </c>
      <c r="F1666" s="149">
        <v>0</v>
      </c>
      <c r="G1666" s="149">
        <v>0</v>
      </c>
      <c r="H1666" s="149">
        <v>2.73</v>
      </c>
      <c r="I1666" s="150">
        <v>2.73</v>
      </c>
    </row>
    <row r="1667" spans="1:9" ht="15.6" x14ac:dyDescent="0.25">
      <c r="A1667" s="145"/>
      <c r="B1667" s="146">
        <v>6340758</v>
      </c>
      <c r="C1667" s="147"/>
      <c r="D1667" s="148" t="s">
        <v>967</v>
      </c>
      <c r="E1667" s="149">
        <v>5.31</v>
      </c>
      <c r="F1667" s="149">
        <v>2.88</v>
      </c>
      <c r="G1667" s="149">
        <v>0</v>
      </c>
      <c r="H1667" s="149">
        <v>2.73</v>
      </c>
      <c r="I1667" s="150">
        <v>10.92</v>
      </c>
    </row>
    <row r="1668" spans="1:9" ht="15.6" x14ac:dyDescent="0.25">
      <c r="A1668" s="145"/>
      <c r="B1668" s="146">
        <v>6341644</v>
      </c>
      <c r="C1668" s="147"/>
      <c r="D1668" s="148" t="s">
        <v>892</v>
      </c>
      <c r="E1668" s="149">
        <v>5.31</v>
      </c>
      <c r="F1668" s="149">
        <v>2.88</v>
      </c>
      <c r="G1668" s="149">
        <v>0</v>
      </c>
      <c r="H1668" s="149">
        <v>2.73</v>
      </c>
      <c r="I1668" s="150">
        <v>10.92</v>
      </c>
    </row>
    <row r="1669" spans="1:9" ht="15.6" x14ac:dyDescent="0.25">
      <c r="A1669" s="145"/>
      <c r="B1669" s="146">
        <v>6344658</v>
      </c>
      <c r="C1669" s="147"/>
      <c r="D1669" s="148" t="s">
        <v>921</v>
      </c>
      <c r="E1669" s="149">
        <v>5.31</v>
      </c>
      <c r="F1669" s="149">
        <v>2.88</v>
      </c>
      <c r="G1669" s="149">
        <v>0</v>
      </c>
      <c r="H1669" s="149">
        <v>2.73</v>
      </c>
      <c r="I1669" s="150">
        <v>10.92</v>
      </c>
    </row>
    <row r="1670" spans="1:9" ht="15.6" x14ac:dyDescent="0.25">
      <c r="A1670" s="145"/>
      <c r="B1670" s="146">
        <v>6348032</v>
      </c>
      <c r="C1670" s="147"/>
      <c r="D1670" s="148" t="s">
        <v>891</v>
      </c>
      <c r="E1670" s="149">
        <v>0</v>
      </c>
      <c r="F1670" s="149">
        <v>0</v>
      </c>
      <c r="G1670" s="149">
        <v>0</v>
      </c>
      <c r="H1670" s="149">
        <v>0</v>
      </c>
      <c r="I1670" s="150">
        <v>0</v>
      </c>
    </row>
    <row r="1671" spans="1:9" ht="15.6" x14ac:dyDescent="0.25">
      <c r="A1671" s="145"/>
      <c r="B1671" s="146">
        <v>6353873</v>
      </c>
      <c r="C1671" s="147"/>
      <c r="D1671" s="148" t="s">
        <v>826</v>
      </c>
      <c r="E1671" s="149">
        <v>5.31</v>
      </c>
      <c r="F1671" s="149">
        <v>2.88</v>
      </c>
      <c r="G1671" s="149">
        <v>0</v>
      </c>
      <c r="H1671" s="149">
        <v>2.73</v>
      </c>
      <c r="I1671" s="150">
        <v>10.92</v>
      </c>
    </row>
    <row r="1672" spans="1:9" ht="15.6" x14ac:dyDescent="0.25">
      <c r="A1672" s="145"/>
      <c r="B1672" s="146">
        <v>6360677</v>
      </c>
      <c r="C1672" s="147"/>
      <c r="D1672" s="148" t="s">
        <v>869</v>
      </c>
      <c r="E1672" s="149">
        <v>0</v>
      </c>
      <c r="F1672" s="149">
        <v>0</v>
      </c>
      <c r="G1672" s="149">
        <v>0</v>
      </c>
      <c r="H1672" s="149">
        <v>0</v>
      </c>
      <c r="I1672" s="150">
        <v>0</v>
      </c>
    </row>
    <row r="1673" spans="1:9" ht="15.6" x14ac:dyDescent="0.25">
      <c r="A1673" s="145"/>
      <c r="B1673" s="146">
        <v>6361303</v>
      </c>
      <c r="C1673" s="147"/>
      <c r="D1673" s="148" t="s">
        <v>831</v>
      </c>
      <c r="E1673" s="149">
        <v>5.31</v>
      </c>
      <c r="F1673" s="149">
        <v>2.88</v>
      </c>
      <c r="G1673" s="149">
        <v>0</v>
      </c>
      <c r="H1673" s="149">
        <v>2.73</v>
      </c>
      <c r="I1673" s="150">
        <v>10.92</v>
      </c>
    </row>
    <row r="1674" spans="1:9" ht="15.6" x14ac:dyDescent="0.25">
      <c r="A1674" s="145"/>
      <c r="B1674" s="146">
        <v>6362831</v>
      </c>
      <c r="C1674" s="147"/>
      <c r="D1674" s="148" t="s">
        <v>895</v>
      </c>
      <c r="E1674" s="149">
        <v>5.31</v>
      </c>
      <c r="F1674" s="149">
        <v>2.88</v>
      </c>
      <c r="G1674" s="149">
        <v>0</v>
      </c>
      <c r="H1674" s="149">
        <v>2.73</v>
      </c>
      <c r="I1674" s="150">
        <v>10.92</v>
      </c>
    </row>
    <row r="1675" spans="1:9" ht="15.6" x14ac:dyDescent="0.25">
      <c r="A1675" s="145"/>
      <c r="B1675" s="146">
        <v>6371915</v>
      </c>
      <c r="C1675" s="147"/>
      <c r="D1675" s="148" t="s">
        <v>911</v>
      </c>
      <c r="E1675" s="149">
        <v>5.31</v>
      </c>
      <c r="F1675" s="149">
        <v>0</v>
      </c>
      <c r="G1675" s="149">
        <v>0</v>
      </c>
      <c r="H1675" s="149">
        <v>2.73</v>
      </c>
      <c r="I1675" s="150">
        <v>8.0399999999999991</v>
      </c>
    </row>
    <row r="1676" spans="1:9" ht="15.6" x14ac:dyDescent="0.25">
      <c r="A1676" s="145"/>
      <c r="B1676" s="146">
        <v>6373531</v>
      </c>
      <c r="C1676" s="147"/>
      <c r="D1676" s="148" t="s">
        <v>855</v>
      </c>
      <c r="E1676" s="149">
        <v>5.31</v>
      </c>
      <c r="F1676" s="149">
        <v>2.88</v>
      </c>
      <c r="G1676" s="149">
        <v>0</v>
      </c>
      <c r="H1676" s="149">
        <v>2.73</v>
      </c>
      <c r="I1676" s="150">
        <v>10.92</v>
      </c>
    </row>
    <row r="1677" spans="1:9" ht="15.6" x14ac:dyDescent="0.25">
      <c r="A1677" s="145"/>
      <c r="B1677" s="146">
        <v>6373786</v>
      </c>
      <c r="C1677" s="147"/>
      <c r="D1677" s="148" t="s">
        <v>921</v>
      </c>
      <c r="E1677" s="149">
        <v>0</v>
      </c>
      <c r="F1677" s="149">
        <v>0</v>
      </c>
      <c r="G1677" s="149">
        <v>0</v>
      </c>
      <c r="H1677" s="149">
        <v>0</v>
      </c>
      <c r="I1677" s="150">
        <v>0</v>
      </c>
    </row>
    <row r="1678" spans="1:9" ht="15.6" x14ac:dyDescent="0.25">
      <c r="A1678" s="145"/>
      <c r="B1678" s="146">
        <v>6377754</v>
      </c>
      <c r="C1678" s="147"/>
      <c r="D1678" s="148" t="s">
        <v>925</v>
      </c>
      <c r="E1678" s="149">
        <v>5.31</v>
      </c>
      <c r="F1678" s="149">
        <v>2.88</v>
      </c>
      <c r="G1678" s="149">
        <v>0</v>
      </c>
      <c r="H1678" s="149">
        <v>0</v>
      </c>
      <c r="I1678" s="150">
        <v>8.19</v>
      </c>
    </row>
    <row r="1679" spans="1:9" ht="15.6" x14ac:dyDescent="0.25">
      <c r="A1679" s="145"/>
      <c r="B1679" s="146">
        <v>6379101</v>
      </c>
      <c r="C1679" s="147"/>
      <c r="D1679" s="148" t="s">
        <v>858</v>
      </c>
      <c r="E1679" s="149">
        <v>0</v>
      </c>
      <c r="F1679" s="149">
        <v>0</v>
      </c>
      <c r="G1679" s="149">
        <v>0</v>
      </c>
      <c r="H1679" s="149">
        <v>2.73</v>
      </c>
      <c r="I1679" s="150">
        <v>2.73</v>
      </c>
    </row>
    <row r="1680" spans="1:9" ht="15.6" x14ac:dyDescent="0.25">
      <c r="A1680" s="145"/>
      <c r="B1680" s="146">
        <v>6383959</v>
      </c>
      <c r="C1680" s="147"/>
      <c r="D1680" s="148" t="s">
        <v>746</v>
      </c>
      <c r="E1680" s="149">
        <v>5.31</v>
      </c>
      <c r="F1680" s="149">
        <v>2.88</v>
      </c>
      <c r="G1680" s="149">
        <v>0</v>
      </c>
      <c r="H1680" s="149">
        <v>2.73</v>
      </c>
      <c r="I1680" s="150">
        <v>10.92</v>
      </c>
    </row>
    <row r="1681" spans="1:9" ht="15.6" x14ac:dyDescent="0.25">
      <c r="A1681" s="145"/>
      <c r="B1681" s="146">
        <v>6385899</v>
      </c>
      <c r="C1681" s="147"/>
      <c r="D1681" s="148" t="s">
        <v>780</v>
      </c>
      <c r="E1681" s="149">
        <v>5.31</v>
      </c>
      <c r="F1681" s="149">
        <v>2.88</v>
      </c>
      <c r="G1681" s="149">
        <v>43.83</v>
      </c>
      <c r="H1681" s="149">
        <v>2.73</v>
      </c>
      <c r="I1681" s="150">
        <v>54.749999999999993</v>
      </c>
    </row>
    <row r="1682" spans="1:9" ht="15.6" x14ac:dyDescent="0.25">
      <c r="A1682" s="145"/>
      <c r="B1682" s="146">
        <v>6387200</v>
      </c>
      <c r="C1682" s="147"/>
      <c r="D1682" s="148" t="s">
        <v>894</v>
      </c>
      <c r="E1682" s="149">
        <v>5.31</v>
      </c>
      <c r="F1682" s="149">
        <v>2.88</v>
      </c>
      <c r="G1682" s="149">
        <v>0</v>
      </c>
      <c r="H1682" s="149">
        <v>0</v>
      </c>
      <c r="I1682" s="150">
        <v>8.19</v>
      </c>
    </row>
    <row r="1683" spans="1:9" ht="15.6" x14ac:dyDescent="0.25">
      <c r="A1683" s="145"/>
      <c r="B1683" s="146">
        <v>6388118</v>
      </c>
      <c r="C1683" s="147"/>
      <c r="D1683" s="148" t="s">
        <v>838</v>
      </c>
      <c r="E1683" s="149">
        <v>5.31</v>
      </c>
      <c r="F1683" s="149">
        <v>2.88</v>
      </c>
      <c r="G1683" s="149">
        <v>0</v>
      </c>
      <c r="H1683" s="149">
        <v>2.73</v>
      </c>
      <c r="I1683" s="150">
        <v>10.92</v>
      </c>
    </row>
    <row r="1684" spans="1:9" ht="15.6" x14ac:dyDescent="0.25">
      <c r="A1684" s="145"/>
      <c r="B1684" s="146">
        <v>6395201</v>
      </c>
      <c r="C1684" s="147"/>
      <c r="D1684" s="148" t="s">
        <v>771</v>
      </c>
      <c r="E1684" s="149">
        <v>5.31</v>
      </c>
      <c r="F1684" s="149">
        <v>2.88</v>
      </c>
      <c r="G1684" s="149">
        <v>0</v>
      </c>
      <c r="H1684" s="149">
        <v>2.73</v>
      </c>
      <c r="I1684" s="150">
        <v>10.92</v>
      </c>
    </row>
    <row r="1685" spans="1:9" ht="15.6" x14ac:dyDescent="0.25">
      <c r="A1685" s="145"/>
      <c r="B1685" s="146">
        <v>6396303</v>
      </c>
      <c r="C1685" s="147"/>
      <c r="D1685" s="148" t="s">
        <v>874</v>
      </c>
      <c r="E1685" s="149">
        <v>5.31</v>
      </c>
      <c r="F1685" s="149">
        <v>2.88</v>
      </c>
      <c r="G1685" s="149">
        <v>0</v>
      </c>
      <c r="H1685" s="149">
        <v>2.73</v>
      </c>
      <c r="I1685" s="150">
        <v>10.92</v>
      </c>
    </row>
    <row r="1686" spans="1:9" ht="15.6" x14ac:dyDescent="0.25">
      <c r="A1686" s="145"/>
      <c r="B1686" s="146">
        <v>6397517</v>
      </c>
      <c r="C1686" s="147"/>
      <c r="D1686" s="148" t="s">
        <v>832</v>
      </c>
      <c r="E1686" s="149">
        <v>5.31</v>
      </c>
      <c r="F1686" s="149">
        <v>2.88</v>
      </c>
      <c r="G1686" s="149">
        <v>0</v>
      </c>
      <c r="H1686" s="149">
        <v>2.73</v>
      </c>
      <c r="I1686" s="150">
        <v>10.92</v>
      </c>
    </row>
    <row r="1687" spans="1:9" ht="15.6" x14ac:dyDescent="0.25">
      <c r="A1687" s="145"/>
      <c r="B1687" s="146">
        <v>6397612</v>
      </c>
      <c r="C1687" s="147"/>
      <c r="D1687" s="148" t="s">
        <v>881</v>
      </c>
      <c r="E1687" s="149">
        <v>5.31</v>
      </c>
      <c r="F1687" s="149">
        <v>2.88</v>
      </c>
      <c r="G1687" s="149">
        <v>0</v>
      </c>
      <c r="H1687" s="149">
        <v>2.73</v>
      </c>
      <c r="I1687" s="150">
        <v>10.92</v>
      </c>
    </row>
    <row r="1688" spans="1:9" ht="15.6" x14ac:dyDescent="0.25">
      <c r="A1688" s="145"/>
      <c r="B1688" s="146">
        <v>6397966</v>
      </c>
      <c r="C1688" s="147"/>
      <c r="D1688" s="148" t="s">
        <v>885</v>
      </c>
      <c r="E1688" s="149">
        <v>5.31</v>
      </c>
      <c r="F1688" s="149">
        <v>2.88</v>
      </c>
      <c r="G1688" s="149">
        <v>0</v>
      </c>
      <c r="H1688" s="149">
        <v>2.73</v>
      </c>
      <c r="I1688" s="150">
        <v>10.92</v>
      </c>
    </row>
    <row r="1689" spans="1:9" ht="15.6" x14ac:dyDescent="0.25">
      <c r="A1689" s="145"/>
      <c r="B1689" s="146">
        <v>6400060</v>
      </c>
      <c r="C1689" s="147"/>
      <c r="D1689" s="148" t="s">
        <v>944</v>
      </c>
      <c r="E1689" s="149">
        <v>5.31</v>
      </c>
      <c r="F1689" s="149">
        <v>2.88</v>
      </c>
      <c r="G1689" s="149">
        <v>0</v>
      </c>
      <c r="H1689" s="149">
        <v>2.73</v>
      </c>
      <c r="I1689" s="150">
        <v>10.92</v>
      </c>
    </row>
    <row r="1690" spans="1:9" ht="15.6" x14ac:dyDescent="0.25">
      <c r="A1690" s="145"/>
      <c r="B1690" s="146">
        <v>6403103</v>
      </c>
      <c r="C1690" s="147"/>
      <c r="D1690" s="148" t="s">
        <v>816</v>
      </c>
      <c r="E1690" s="149">
        <v>5.31</v>
      </c>
      <c r="F1690" s="149">
        <v>2.88</v>
      </c>
      <c r="G1690" s="149">
        <v>0</v>
      </c>
      <c r="H1690" s="149">
        <v>2.73</v>
      </c>
      <c r="I1690" s="150">
        <v>10.92</v>
      </c>
    </row>
    <row r="1691" spans="1:9" ht="15.6" x14ac:dyDescent="0.25">
      <c r="A1691" s="145"/>
      <c r="B1691" s="146">
        <v>6404274</v>
      </c>
      <c r="C1691" s="147"/>
      <c r="D1691" s="148" t="s">
        <v>868</v>
      </c>
      <c r="E1691" s="149">
        <v>5.31</v>
      </c>
      <c r="F1691" s="149">
        <v>2.88</v>
      </c>
      <c r="G1691" s="149">
        <v>0</v>
      </c>
      <c r="H1691" s="149">
        <v>2.73</v>
      </c>
      <c r="I1691" s="150">
        <v>10.92</v>
      </c>
    </row>
    <row r="1692" spans="1:9" ht="15.6" x14ac:dyDescent="0.25">
      <c r="A1692" s="145"/>
      <c r="B1692" s="146">
        <v>6404668</v>
      </c>
      <c r="C1692" s="147"/>
      <c r="D1692" s="148" t="s">
        <v>874</v>
      </c>
      <c r="E1692" s="149">
        <v>5.31</v>
      </c>
      <c r="F1692" s="149">
        <v>2.88</v>
      </c>
      <c r="G1692" s="149">
        <v>0</v>
      </c>
      <c r="H1692" s="149">
        <v>2.73</v>
      </c>
      <c r="I1692" s="150">
        <v>10.92</v>
      </c>
    </row>
    <row r="1693" spans="1:9" ht="15.6" x14ac:dyDescent="0.25">
      <c r="A1693" s="145"/>
      <c r="B1693" s="146">
        <v>6405278</v>
      </c>
      <c r="C1693" s="147"/>
      <c r="D1693" s="148" t="s">
        <v>956</v>
      </c>
      <c r="E1693" s="149">
        <v>0</v>
      </c>
      <c r="F1693" s="149">
        <v>2.88</v>
      </c>
      <c r="G1693" s="149">
        <v>0</v>
      </c>
      <c r="H1693" s="149">
        <v>2.73</v>
      </c>
      <c r="I1693" s="150">
        <v>5.6099999999999994</v>
      </c>
    </row>
    <row r="1694" spans="1:9" ht="15.6" x14ac:dyDescent="0.25">
      <c r="A1694" s="145"/>
      <c r="B1694" s="146">
        <v>6407429</v>
      </c>
      <c r="C1694" s="147"/>
      <c r="D1694" s="148" t="s">
        <v>868</v>
      </c>
      <c r="E1694" s="149">
        <v>5.31</v>
      </c>
      <c r="F1694" s="149">
        <v>2.88</v>
      </c>
      <c r="G1694" s="149">
        <v>0</v>
      </c>
      <c r="H1694" s="149">
        <v>2.73</v>
      </c>
      <c r="I1694" s="150">
        <v>10.92</v>
      </c>
    </row>
    <row r="1695" spans="1:9" ht="15.6" x14ac:dyDescent="0.25">
      <c r="A1695" s="145"/>
      <c r="B1695" s="146">
        <v>6413946</v>
      </c>
      <c r="C1695" s="147"/>
      <c r="D1695" s="148" t="s">
        <v>874</v>
      </c>
      <c r="E1695" s="149">
        <v>5.31</v>
      </c>
      <c r="F1695" s="149">
        <v>2.88</v>
      </c>
      <c r="G1695" s="149">
        <v>0</v>
      </c>
      <c r="H1695" s="149">
        <v>2.73</v>
      </c>
      <c r="I1695" s="150">
        <v>10.92</v>
      </c>
    </row>
    <row r="1696" spans="1:9" ht="15.6" x14ac:dyDescent="0.25">
      <c r="A1696" s="145"/>
      <c r="B1696" s="146">
        <v>6414561</v>
      </c>
      <c r="C1696" s="147"/>
      <c r="D1696" s="148" t="s">
        <v>773</v>
      </c>
      <c r="E1696" s="149">
        <v>5.31</v>
      </c>
      <c r="F1696" s="149">
        <v>2.88</v>
      </c>
      <c r="G1696" s="149">
        <v>0</v>
      </c>
      <c r="H1696" s="149">
        <v>2.73</v>
      </c>
      <c r="I1696" s="150">
        <v>10.92</v>
      </c>
    </row>
    <row r="1697" spans="1:9" ht="15.6" x14ac:dyDescent="0.25">
      <c r="A1697" s="145"/>
      <c r="B1697" s="146">
        <v>6417704</v>
      </c>
      <c r="C1697" s="147"/>
      <c r="D1697" s="148" t="s">
        <v>882</v>
      </c>
      <c r="E1697" s="149">
        <v>5.31</v>
      </c>
      <c r="F1697" s="149">
        <v>2.88</v>
      </c>
      <c r="G1697" s="149">
        <v>0</v>
      </c>
      <c r="H1697" s="149">
        <v>2.73</v>
      </c>
      <c r="I1697" s="150">
        <v>10.92</v>
      </c>
    </row>
    <row r="1698" spans="1:9" ht="15.6" x14ac:dyDescent="0.25">
      <c r="A1698" s="145"/>
      <c r="B1698" s="146">
        <v>6420244</v>
      </c>
      <c r="C1698" s="147"/>
      <c r="D1698" s="148" t="s">
        <v>802</v>
      </c>
      <c r="E1698" s="149">
        <v>0</v>
      </c>
      <c r="F1698" s="149">
        <v>0</v>
      </c>
      <c r="G1698" s="149">
        <v>0</v>
      </c>
      <c r="H1698" s="149">
        <v>0</v>
      </c>
      <c r="I1698" s="150">
        <v>0</v>
      </c>
    </row>
    <row r="1699" spans="1:9" ht="15.6" x14ac:dyDescent="0.25">
      <c r="A1699" s="145"/>
      <c r="B1699" s="146">
        <v>6431636</v>
      </c>
      <c r="C1699" s="147"/>
      <c r="D1699" s="148" t="s">
        <v>861</v>
      </c>
      <c r="E1699" s="149">
        <v>5.31</v>
      </c>
      <c r="F1699" s="149">
        <v>2.88</v>
      </c>
      <c r="G1699" s="149">
        <v>0</v>
      </c>
      <c r="H1699" s="149">
        <v>2.73</v>
      </c>
      <c r="I1699" s="150">
        <v>10.92</v>
      </c>
    </row>
    <row r="1700" spans="1:9" ht="15.6" x14ac:dyDescent="0.25">
      <c r="A1700" s="145"/>
      <c r="B1700" s="146">
        <v>6436505</v>
      </c>
      <c r="C1700" s="147"/>
      <c r="D1700" s="148" t="s">
        <v>901</v>
      </c>
      <c r="E1700" s="149">
        <v>5.31</v>
      </c>
      <c r="F1700" s="149">
        <v>2.88</v>
      </c>
      <c r="G1700" s="149">
        <v>0</v>
      </c>
      <c r="H1700" s="149">
        <v>2.73</v>
      </c>
      <c r="I1700" s="150">
        <v>10.92</v>
      </c>
    </row>
    <row r="1701" spans="1:9" ht="15.6" x14ac:dyDescent="0.25">
      <c r="A1701" s="145"/>
      <c r="B1701" s="146">
        <v>6439157</v>
      </c>
      <c r="C1701" s="147"/>
      <c r="D1701" s="148" t="s">
        <v>862</v>
      </c>
      <c r="E1701" s="149">
        <v>5.31</v>
      </c>
      <c r="F1701" s="149">
        <v>2.88</v>
      </c>
      <c r="G1701" s="149">
        <v>0</v>
      </c>
      <c r="H1701" s="149">
        <v>2.73</v>
      </c>
      <c r="I1701" s="150">
        <v>10.92</v>
      </c>
    </row>
    <row r="1702" spans="1:9" ht="15.6" x14ac:dyDescent="0.25">
      <c r="A1702" s="145"/>
      <c r="B1702" s="146">
        <v>6441227</v>
      </c>
      <c r="C1702" s="147"/>
      <c r="D1702" s="148" t="s">
        <v>877</v>
      </c>
      <c r="E1702" s="149">
        <v>0</v>
      </c>
      <c r="F1702" s="149">
        <v>0</v>
      </c>
      <c r="G1702" s="149">
        <v>0</v>
      </c>
      <c r="H1702" s="149">
        <v>2.73</v>
      </c>
      <c r="I1702" s="150">
        <v>2.73</v>
      </c>
    </row>
    <row r="1703" spans="1:9" ht="15.6" x14ac:dyDescent="0.25">
      <c r="A1703" s="145"/>
      <c r="B1703" s="146">
        <v>6451120</v>
      </c>
      <c r="C1703" s="147"/>
      <c r="D1703" s="148" t="s">
        <v>857</v>
      </c>
      <c r="E1703" s="149">
        <v>0</v>
      </c>
      <c r="F1703" s="149">
        <v>0</v>
      </c>
      <c r="G1703" s="149">
        <v>0</v>
      </c>
      <c r="H1703" s="149">
        <v>0</v>
      </c>
      <c r="I1703" s="150">
        <v>0</v>
      </c>
    </row>
    <row r="1704" spans="1:9" ht="15.6" x14ac:dyDescent="0.25">
      <c r="A1704" s="145"/>
      <c r="B1704" s="146">
        <v>6453129</v>
      </c>
      <c r="C1704" s="147"/>
      <c r="D1704" s="148" t="s">
        <v>868</v>
      </c>
      <c r="E1704" s="149">
        <v>5.31</v>
      </c>
      <c r="F1704" s="149">
        <v>2.88</v>
      </c>
      <c r="G1704" s="149">
        <v>0</v>
      </c>
      <c r="H1704" s="149">
        <v>2.73</v>
      </c>
      <c r="I1704" s="150">
        <v>10.92</v>
      </c>
    </row>
    <row r="1705" spans="1:9" ht="15.6" x14ac:dyDescent="0.25">
      <c r="A1705" s="145"/>
      <c r="B1705" s="146">
        <v>6454008</v>
      </c>
      <c r="C1705" s="147"/>
      <c r="D1705" s="148" t="s">
        <v>818</v>
      </c>
      <c r="E1705" s="149">
        <v>0</v>
      </c>
      <c r="F1705" s="149">
        <v>0</v>
      </c>
      <c r="G1705" s="149">
        <v>0</v>
      </c>
      <c r="H1705" s="149">
        <v>0</v>
      </c>
      <c r="I1705" s="150">
        <v>0</v>
      </c>
    </row>
    <row r="1706" spans="1:9" ht="15.6" x14ac:dyDescent="0.25">
      <c r="A1706" s="145"/>
      <c r="B1706" s="146">
        <v>6457115</v>
      </c>
      <c r="C1706" s="147"/>
      <c r="D1706" s="148" t="s">
        <v>783</v>
      </c>
      <c r="E1706" s="149">
        <v>5.31</v>
      </c>
      <c r="F1706" s="149">
        <v>2.88</v>
      </c>
      <c r="G1706" s="149">
        <v>0</v>
      </c>
      <c r="H1706" s="149">
        <v>2.73</v>
      </c>
      <c r="I1706" s="150">
        <v>10.92</v>
      </c>
    </row>
    <row r="1707" spans="1:9" ht="15.6" x14ac:dyDescent="0.25">
      <c r="A1707" s="145"/>
      <c r="B1707" s="146">
        <v>6459772</v>
      </c>
      <c r="C1707" s="147"/>
      <c r="D1707" s="148" t="s">
        <v>923</v>
      </c>
      <c r="E1707" s="149">
        <v>5.31</v>
      </c>
      <c r="F1707" s="149">
        <v>2.88</v>
      </c>
      <c r="G1707" s="149">
        <v>0</v>
      </c>
      <c r="H1707" s="149">
        <v>2.73</v>
      </c>
      <c r="I1707" s="150">
        <v>10.92</v>
      </c>
    </row>
    <row r="1708" spans="1:9" ht="15.6" x14ac:dyDescent="0.25">
      <c r="A1708" s="145"/>
      <c r="B1708" s="146">
        <v>6464165</v>
      </c>
      <c r="C1708" s="147"/>
      <c r="D1708" s="148" t="s">
        <v>886</v>
      </c>
      <c r="E1708" s="149">
        <v>5.31</v>
      </c>
      <c r="F1708" s="149">
        <v>2.88</v>
      </c>
      <c r="G1708" s="149">
        <v>0</v>
      </c>
      <c r="H1708" s="149">
        <v>2.73</v>
      </c>
      <c r="I1708" s="150">
        <v>10.92</v>
      </c>
    </row>
    <row r="1709" spans="1:9" ht="15.6" x14ac:dyDescent="0.25">
      <c r="A1709" s="145"/>
      <c r="B1709" s="146">
        <v>6466655</v>
      </c>
      <c r="C1709" s="147"/>
      <c r="D1709" s="148" t="s">
        <v>857</v>
      </c>
      <c r="E1709" s="149">
        <v>5.31</v>
      </c>
      <c r="F1709" s="149">
        <v>2.88</v>
      </c>
      <c r="G1709" s="149">
        <v>0</v>
      </c>
      <c r="H1709" s="149">
        <v>2.73</v>
      </c>
      <c r="I1709" s="150">
        <v>10.92</v>
      </c>
    </row>
    <row r="1710" spans="1:9" ht="15.6" x14ac:dyDescent="0.25">
      <c r="A1710" s="145"/>
      <c r="B1710" s="146">
        <v>6475425</v>
      </c>
      <c r="C1710" s="147"/>
      <c r="D1710" s="148" t="s">
        <v>879</v>
      </c>
      <c r="E1710" s="149">
        <v>0</v>
      </c>
      <c r="F1710" s="149">
        <v>0</v>
      </c>
      <c r="G1710" s="149">
        <v>0</v>
      </c>
      <c r="H1710" s="149">
        <v>0</v>
      </c>
      <c r="I1710" s="150">
        <v>0</v>
      </c>
    </row>
    <row r="1711" spans="1:9" ht="15.6" x14ac:dyDescent="0.25">
      <c r="A1711" s="145"/>
      <c r="B1711" s="146">
        <v>6478365</v>
      </c>
      <c r="C1711" s="147"/>
      <c r="D1711" s="148" t="s">
        <v>756</v>
      </c>
      <c r="E1711" s="149">
        <v>0</v>
      </c>
      <c r="F1711" s="149">
        <v>0</v>
      </c>
      <c r="G1711" s="149">
        <v>0</v>
      </c>
      <c r="H1711" s="149">
        <v>2.73</v>
      </c>
      <c r="I1711" s="150">
        <v>2.73</v>
      </c>
    </row>
    <row r="1712" spans="1:9" ht="15.6" x14ac:dyDescent="0.25">
      <c r="A1712" s="145"/>
      <c r="B1712" s="146">
        <v>6478886</v>
      </c>
      <c r="C1712" s="147"/>
      <c r="D1712" s="148" t="s">
        <v>772</v>
      </c>
      <c r="E1712" s="149">
        <v>5.31</v>
      </c>
      <c r="F1712" s="149">
        <v>0</v>
      </c>
      <c r="G1712" s="149">
        <v>0</v>
      </c>
      <c r="H1712" s="149">
        <v>0</v>
      </c>
      <c r="I1712" s="150">
        <v>5.31</v>
      </c>
    </row>
    <row r="1713" spans="1:9" ht="15.6" x14ac:dyDescent="0.25">
      <c r="A1713" s="145"/>
      <c r="B1713" s="146">
        <v>6487473</v>
      </c>
      <c r="C1713" s="147"/>
      <c r="D1713" s="148" t="s">
        <v>773</v>
      </c>
      <c r="E1713" s="149">
        <v>5.31</v>
      </c>
      <c r="F1713" s="149">
        <v>2.88</v>
      </c>
      <c r="G1713" s="149">
        <v>0</v>
      </c>
      <c r="H1713" s="149">
        <v>2.73</v>
      </c>
      <c r="I1713" s="150">
        <v>10.92</v>
      </c>
    </row>
    <row r="1714" spans="1:9" ht="15.6" x14ac:dyDescent="0.25">
      <c r="A1714" s="145"/>
      <c r="B1714" s="146">
        <v>6489835</v>
      </c>
      <c r="C1714" s="147"/>
      <c r="D1714" s="148" t="s">
        <v>851</v>
      </c>
      <c r="E1714" s="149">
        <v>5.31</v>
      </c>
      <c r="F1714" s="149">
        <v>2.88</v>
      </c>
      <c r="G1714" s="149">
        <v>22.66</v>
      </c>
      <c r="H1714" s="149">
        <v>2.73</v>
      </c>
      <c r="I1714" s="150">
        <v>33.58</v>
      </c>
    </row>
    <row r="1715" spans="1:9" ht="15.6" x14ac:dyDescent="0.25">
      <c r="A1715" s="145"/>
      <c r="B1715" s="146">
        <v>6498132</v>
      </c>
      <c r="C1715" s="147"/>
      <c r="D1715" s="148" t="s">
        <v>871</v>
      </c>
      <c r="E1715" s="149">
        <v>5.31</v>
      </c>
      <c r="F1715" s="149">
        <v>2.88</v>
      </c>
      <c r="G1715" s="149">
        <v>0</v>
      </c>
      <c r="H1715" s="149">
        <v>2.73</v>
      </c>
      <c r="I1715" s="150">
        <v>10.92</v>
      </c>
    </row>
    <row r="1716" spans="1:9" ht="15.6" x14ac:dyDescent="0.25">
      <c r="A1716" s="145"/>
      <c r="B1716" s="146">
        <v>6507831</v>
      </c>
      <c r="C1716" s="147"/>
      <c r="D1716" s="148" t="s">
        <v>851</v>
      </c>
      <c r="E1716" s="149">
        <v>5.31</v>
      </c>
      <c r="F1716" s="149">
        <v>2.88</v>
      </c>
      <c r="G1716" s="149">
        <v>22.66</v>
      </c>
      <c r="H1716" s="149">
        <v>2.73</v>
      </c>
      <c r="I1716" s="150">
        <v>33.58</v>
      </c>
    </row>
    <row r="1717" spans="1:9" ht="15.6" x14ac:dyDescent="0.25">
      <c r="A1717" s="145"/>
      <c r="B1717" s="146">
        <v>6510515</v>
      </c>
      <c r="C1717" s="147"/>
      <c r="D1717" s="148" t="s">
        <v>950</v>
      </c>
      <c r="E1717" s="149">
        <v>5.31</v>
      </c>
      <c r="F1717" s="149">
        <v>2.88</v>
      </c>
      <c r="G1717" s="149">
        <v>0</v>
      </c>
      <c r="H1717" s="149">
        <v>2.73</v>
      </c>
      <c r="I1717" s="150">
        <v>10.92</v>
      </c>
    </row>
    <row r="1718" spans="1:9" ht="15.6" x14ac:dyDescent="0.25">
      <c r="A1718" s="145"/>
      <c r="B1718" s="146">
        <v>6519288</v>
      </c>
      <c r="C1718" s="147"/>
      <c r="D1718" s="148" t="s">
        <v>927</v>
      </c>
      <c r="E1718" s="149">
        <v>0</v>
      </c>
      <c r="F1718" s="149">
        <v>0</v>
      </c>
      <c r="G1718" s="149">
        <v>0</v>
      </c>
      <c r="H1718" s="149">
        <v>2.73</v>
      </c>
      <c r="I1718" s="150">
        <v>2.73</v>
      </c>
    </row>
    <row r="1719" spans="1:9" ht="15.6" x14ac:dyDescent="0.25">
      <c r="A1719" s="145"/>
      <c r="B1719" s="146">
        <v>6521459</v>
      </c>
      <c r="C1719" s="147"/>
      <c r="D1719" s="148" t="s">
        <v>828</v>
      </c>
      <c r="E1719" s="149">
        <v>5.31</v>
      </c>
      <c r="F1719" s="149">
        <v>2.88</v>
      </c>
      <c r="G1719" s="149">
        <v>0</v>
      </c>
      <c r="H1719" s="149">
        <v>2.73</v>
      </c>
      <c r="I1719" s="150">
        <v>10.92</v>
      </c>
    </row>
    <row r="1720" spans="1:9" ht="15.6" x14ac:dyDescent="0.25">
      <c r="A1720" s="145"/>
      <c r="B1720" s="146">
        <v>6521607</v>
      </c>
      <c r="C1720" s="147"/>
      <c r="D1720" s="148" t="s">
        <v>771</v>
      </c>
      <c r="E1720" s="149">
        <v>5.31</v>
      </c>
      <c r="F1720" s="149">
        <v>2.88</v>
      </c>
      <c r="G1720" s="149">
        <v>58.08</v>
      </c>
      <c r="H1720" s="149">
        <v>2.73</v>
      </c>
      <c r="I1720" s="150">
        <v>69</v>
      </c>
    </row>
    <row r="1721" spans="1:9" ht="15.6" x14ac:dyDescent="0.25">
      <c r="A1721" s="145"/>
      <c r="B1721" s="146">
        <v>6530431</v>
      </c>
      <c r="C1721" s="147"/>
      <c r="D1721" s="148" t="s">
        <v>868</v>
      </c>
      <c r="E1721" s="149">
        <v>5.31</v>
      </c>
      <c r="F1721" s="149">
        <v>2.88</v>
      </c>
      <c r="G1721" s="149">
        <v>0</v>
      </c>
      <c r="H1721" s="149">
        <v>2.73</v>
      </c>
      <c r="I1721" s="150">
        <v>10.92</v>
      </c>
    </row>
    <row r="1722" spans="1:9" ht="15.6" x14ac:dyDescent="0.25">
      <c r="A1722" s="145"/>
      <c r="B1722" s="146">
        <v>6533026</v>
      </c>
      <c r="C1722" s="147"/>
      <c r="D1722" s="148" t="s">
        <v>870</v>
      </c>
      <c r="E1722" s="149">
        <v>0</v>
      </c>
      <c r="F1722" s="149">
        <v>0</v>
      </c>
      <c r="G1722" s="149">
        <v>0</v>
      </c>
      <c r="H1722" s="149">
        <v>0</v>
      </c>
      <c r="I1722" s="150">
        <v>0</v>
      </c>
    </row>
    <row r="1723" spans="1:9" ht="15.6" x14ac:dyDescent="0.25">
      <c r="A1723" s="145"/>
      <c r="B1723" s="146">
        <v>6533335</v>
      </c>
      <c r="C1723" s="147"/>
      <c r="D1723" s="148" t="s">
        <v>790</v>
      </c>
      <c r="E1723" s="149">
        <v>5.31</v>
      </c>
      <c r="F1723" s="149">
        <v>2.88</v>
      </c>
      <c r="G1723" s="149">
        <v>24.03</v>
      </c>
      <c r="H1723" s="149">
        <v>2.73</v>
      </c>
      <c r="I1723" s="150">
        <v>34.949999999999996</v>
      </c>
    </row>
    <row r="1724" spans="1:9" ht="15.6" x14ac:dyDescent="0.25">
      <c r="A1724" s="145"/>
      <c r="B1724" s="146">
        <v>6556472</v>
      </c>
      <c r="C1724" s="147"/>
      <c r="D1724" s="148" t="s">
        <v>810</v>
      </c>
      <c r="E1724" s="149">
        <v>0</v>
      </c>
      <c r="F1724" s="149">
        <v>0</v>
      </c>
      <c r="G1724" s="149">
        <v>0</v>
      </c>
      <c r="H1724" s="149">
        <v>0</v>
      </c>
      <c r="I1724" s="150">
        <v>0</v>
      </c>
    </row>
    <row r="1725" spans="1:9" ht="15.6" x14ac:dyDescent="0.25">
      <c r="A1725" s="145"/>
      <c r="B1725" s="146">
        <v>6564696</v>
      </c>
      <c r="C1725" s="147"/>
      <c r="D1725" s="148" t="s">
        <v>791</v>
      </c>
      <c r="E1725" s="149">
        <v>5.31</v>
      </c>
      <c r="F1725" s="149">
        <v>2.88</v>
      </c>
      <c r="G1725" s="149">
        <v>0</v>
      </c>
      <c r="H1725" s="149">
        <v>2.73</v>
      </c>
      <c r="I1725" s="150">
        <v>10.92</v>
      </c>
    </row>
    <row r="1726" spans="1:9" ht="15.6" x14ac:dyDescent="0.25">
      <c r="A1726" s="145"/>
      <c r="B1726" s="146">
        <v>6566465</v>
      </c>
      <c r="C1726" s="147"/>
      <c r="D1726" s="148" t="s">
        <v>816</v>
      </c>
      <c r="E1726" s="149">
        <v>5.31</v>
      </c>
      <c r="F1726" s="149">
        <v>2.88</v>
      </c>
      <c r="G1726" s="149">
        <v>0</v>
      </c>
      <c r="H1726" s="149">
        <v>2.73</v>
      </c>
      <c r="I1726" s="150">
        <v>10.92</v>
      </c>
    </row>
    <row r="1727" spans="1:9" ht="15.6" x14ac:dyDescent="0.25">
      <c r="A1727" s="145"/>
      <c r="B1727" s="146">
        <v>6567366</v>
      </c>
      <c r="C1727" s="147"/>
      <c r="D1727" s="148" t="s">
        <v>786</v>
      </c>
      <c r="E1727" s="149">
        <v>0</v>
      </c>
      <c r="F1727" s="149">
        <v>0</v>
      </c>
      <c r="G1727" s="149">
        <v>0</v>
      </c>
      <c r="H1727" s="149">
        <v>0</v>
      </c>
      <c r="I1727" s="150">
        <v>0</v>
      </c>
    </row>
    <row r="1728" spans="1:9" ht="15.6" x14ac:dyDescent="0.25">
      <c r="A1728" s="145"/>
      <c r="B1728" s="146">
        <v>6568747</v>
      </c>
      <c r="C1728" s="147"/>
      <c r="D1728" s="148" t="s">
        <v>849</v>
      </c>
      <c r="E1728" s="149">
        <v>0</v>
      </c>
      <c r="F1728" s="149">
        <v>0</v>
      </c>
      <c r="G1728" s="149">
        <v>0</v>
      </c>
      <c r="H1728" s="149">
        <v>2.73</v>
      </c>
      <c r="I1728" s="150">
        <v>2.73</v>
      </c>
    </row>
    <row r="1729" spans="1:9" ht="15.6" x14ac:dyDescent="0.25">
      <c r="A1729" s="145"/>
      <c r="B1729" s="146">
        <v>6571661</v>
      </c>
      <c r="C1729" s="147"/>
      <c r="D1729" s="148" t="s">
        <v>857</v>
      </c>
      <c r="E1729" s="149">
        <v>0</v>
      </c>
      <c r="F1729" s="149">
        <v>0</v>
      </c>
      <c r="G1729" s="149">
        <v>0</v>
      </c>
      <c r="H1729" s="149">
        <v>0</v>
      </c>
      <c r="I1729" s="150">
        <v>0</v>
      </c>
    </row>
    <row r="1730" spans="1:9" ht="15.6" x14ac:dyDescent="0.25">
      <c r="A1730" s="145"/>
      <c r="B1730" s="146">
        <v>6575669</v>
      </c>
      <c r="C1730" s="147"/>
      <c r="D1730" s="148" t="s">
        <v>943</v>
      </c>
      <c r="E1730" s="149">
        <v>5.31</v>
      </c>
      <c r="F1730" s="149">
        <v>2.88</v>
      </c>
      <c r="G1730" s="149">
        <v>0</v>
      </c>
      <c r="H1730" s="149">
        <v>2.73</v>
      </c>
      <c r="I1730" s="150">
        <v>10.92</v>
      </c>
    </row>
    <row r="1731" spans="1:9" ht="15.6" x14ac:dyDescent="0.25">
      <c r="A1731" s="145"/>
      <c r="B1731" s="146">
        <v>6583325</v>
      </c>
      <c r="C1731" s="147"/>
      <c r="D1731" s="148" t="s">
        <v>883</v>
      </c>
      <c r="E1731" s="149">
        <v>5.31</v>
      </c>
      <c r="F1731" s="149">
        <v>2.88</v>
      </c>
      <c r="G1731" s="149">
        <v>0</v>
      </c>
      <c r="H1731" s="149">
        <v>2.73</v>
      </c>
      <c r="I1731" s="150">
        <v>10.92</v>
      </c>
    </row>
    <row r="1732" spans="1:9" ht="15.6" x14ac:dyDescent="0.25">
      <c r="A1732" s="145"/>
      <c r="B1732" s="146">
        <v>6593091</v>
      </c>
      <c r="C1732" s="147"/>
      <c r="D1732" s="148" t="s">
        <v>835</v>
      </c>
      <c r="E1732" s="149">
        <v>5.31</v>
      </c>
      <c r="F1732" s="149">
        <v>2.88</v>
      </c>
      <c r="G1732" s="149">
        <v>0</v>
      </c>
      <c r="H1732" s="149">
        <v>2.73</v>
      </c>
      <c r="I1732" s="150">
        <v>10.92</v>
      </c>
    </row>
    <row r="1733" spans="1:9" ht="15.6" x14ac:dyDescent="0.25">
      <c r="A1733" s="145"/>
      <c r="B1733" s="146">
        <v>6595685</v>
      </c>
      <c r="C1733" s="147"/>
      <c r="D1733" s="148" t="s">
        <v>855</v>
      </c>
      <c r="E1733" s="149">
        <v>5.31</v>
      </c>
      <c r="F1733" s="149">
        <v>2.88</v>
      </c>
      <c r="G1733" s="149">
        <v>0</v>
      </c>
      <c r="H1733" s="149">
        <v>2.73</v>
      </c>
      <c r="I1733" s="150">
        <v>10.92</v>
      </c>
    </row>
    <row r="1734" spans="1:9" ht="15.6" x14ac:dyDescent="0.25">
      <c r="A1734" s="145"/>
      <c r="B1734" s="146">
        <v>6600258</v>
      </c>
      <c r="C1734" s="147"/>
      <c r="D1734" s="148" t="s">
        <v>828</v>
      </c>
      <c r="E1734" s="149">
        <v>5.31</v>
      </c>
      <c r="F1734" s="149">
        <v>2.88</v>
      </c>
      <c r="G1734" s="149">
        <v>0</v>
      </c>
      <c r="H1734" s="149">
        <v>2.73</v>
      </c>
      <c r="I1734" s="150">
        <v>10.92</v>
      </c>
    </row>
    <row r="1735" spans="1:9" ht="15.6" x14ac:dyDescent="0.25">
      <c r="A1735" s="145"/>
      <c r="B1735" s="146">
        <v>6610415</v>
      </c>
      <c r="C1735" s="147"/>
      <c r="D1735" s="148" t="s">
        <v>862</v>
      </c>
      <c r="E1735" s="149">
        <v>5.31</v>
      </c>
      <c r="F1735" s="149">
        <v>2.88</v>
      </c>
      <c r="G1735" s="149">
        <v>0</v>
      </c>
      <c r="H1735" s="149">
        <v>2.73</v>
      </c>
      <c r="I1735" s="150">
        <v>10.92</v>
      </c>
    </row>
    <row r="1736" spans="1:9" ht="15.6" x14ac:dyDescent="0.25">
      <c r="A1736" s="145"/>
      <c r="B1736" s="146">
        <v>6611139</v>
      </c>
      <c r="C1736" s="147"/>
      <c r="D1736" s="148" t="s">
        <v>868</v>
      </c>
      <c r="E1736" s="149">
        <v>5.31</v>
      </c>
      <c r="F1736" s="149">
        <v>2.88</v>
      </c>
      <c r="G1736" s="149">
        <v>0</v>
      </c>
      <c r="H1736" s="149">
        <v>2.73</v>
      </c>
      <c r="I1736" s="150">
        <v>10.92</v>
      </c>
    </row>
    <row r="1737" spans="1:9" ht="15.6" x14ac:dyDescent="0.25">
      <c r="A1737" s="145"/>
      <c r="B1737" s="146">
        <v>6620965</v>
      </c>
      <c r="C1737" s="147"/>
      <c r="D1737" s="148" t="s">
        <v>773</v>
      </c>
      <c r="E1737" s="149">
        <v>5.31</v>
      </c>
      <c r="F1737" s="149">
        <v>2.88</v>
      </c>
      <c r="G1737" s="149">
        <v>48.35</v>
      </c>
      <c r="H1737" s="149">
        <v>2.73</v>
      </c>
      <c r="I1737" s="150">
        <v>59.269999999999996</v>
      </c>
    </row>
    <row r="1738" spans="1:9" ht="15.6" x14ac:dyDescent="0.25">
      <c r="A1738" s="145"/>
      <c r="B1738" s="146">
        <v>6633376</v>
      </c>
      <c r="C1738" s="147"/>
      <c r="D1738" s="148" t="s">
        <v>829</v>
      </c>
      <c r="E1738" s="149">
        <v>5.31</v>
      </c>
      <c r="F1738" s="149">
        <v>2.88</v>
      </c>
      <c r="G1738" s="149">
        <v>0</v>
      </c>
      <c r="H1738" s="149">
        <v>2.73</v>
      </c>
      <c r="I1738" s="150">
        <v>10.92</v>
      </c>
    </row>
    <row r="1739" spans="1:9" ht="15.6" x14ac:dyDescent="0.25">
      <c r="A1739" s="145"/>
      <c r="B1739" s="146">
        <v>6639467</v>
      </c>
      <c r="C1739" s="147"/>
      <c r="D1739" s="148" t="s">
        <v>934</v>
      </c>
      <c r="E1739" s="149">
        <v>5.31</v>
      </c>
      <c r="F1739" s="149">
        <v>2.88</v>
      </c>
      <c r="G1739" s="149">
        <v>0</v>
      </c>
      <c r="H1739" s="149">
        <v>2.73</v>
      </c>
      <c r="I1739" s="150">
        <v>10.92</v>
      </c>
    </row>
    <row r="1740" spans="1:9" ht="15.6" x14ac:dyDescent="0.25">
      <c r="A1740" s="145"/>
      <c r="B1740" s="146">
        <v>6640743</v>
      </c>
      <c r="C1740" s="147"/>
      <c r="D1740" s="148" t="s">
        <v>751</v>
      </c>
      <c r="E1740" s="149">
        <v>0</v>
      </c>
      <c r="F1740" s="149">
        <v>0</v>
      </c>
      <c r="G1740" s="149">
        <v>0</v>
      </c>
      <c r="H1740" s="149">
        <v>0</v>
      </c>
      <c r="I1740" s="150">
        <v>0</v>
      </c>
    </row>
    <row r="1741" spans="1:9" ht="15.6" x14ac:dyDescent="0.25">
      <c r="A1741" s="145"/>
      <c r="B1741" s="146">
        <v>6644572</v>
      </c>
      <c r="C1741" s="147"/>
      <c r="D1741" s="148" t="s">
        <v>787</v>
      </c>
      <c r="E1741" s="149">
        <v>5.31</v>
      </c>
      <c r="F1741" s="149">
        <v>2.88</v>
      </c>
      <c r="G1741" s="149">
        <v>24.03</v>
      </c>
      <c r="H1741" s="149">
        <v>2.73</v>
      </c>
      <c r="I1741" s="150">
        <v>34.949999999999996</v>
      </c>
    </row>
    <row r="1742" spans="1:9" ht="15.6" x14ac:dyDescent="0.25">
      <c r="A1742" s="145"/>
      <c r="B1742" s="146">
        <v>6645171</v>
      </c>
      <c r="C1742" s="147"/>
      <c r="D1742" s="148" t="s">
        <v>892</v>
      </c>
      <c r="E1742" s="149">
        <v>5.31</v>
      </c>
      <c r="F1742" s="149">
        <v>2.88</v>
      </c>
      <c r="G1742" s="149">
        <v>0</v>
      </c>
      <c r="H1742" s="149">
        <v>2.73</v>
      </c>
      <c r="I1742" s="150">
        <v>10.92</v>
      </c>
    </row>
    <row r="1743" spans="1:9" ht="15.6" x14ac:dyDescent="0.25">
      <c r="A1743" s="145"/>
      <c r="B1743" s="146">
        <v>6649246</v>
      </c>
      <c r="C1743" s="147"/>
      <c r="D1743" s="148" t="s">
        <v>738</v>
      </c>
      <c r="E1743" s="149">
        <v>5.31</v>
      </c>
      <c r="F1743" s="149">
        <v>2.88</v>
      </c>
      <c r="G1743" s="149">
        <v>0</v>
      </c>
      <c r="H1743" s="149">
        <v>2.73</v>
      </c>
      <c r="I1743" s="150">
        <v>10.92</v>
      </c>
    </row>
    <row r="1744" spans="1:9" ht="15.6" x14ac:dyDescent="0.25">
      <c r="A1744" s="145"/>
      <c r="B1744" s="146">
        <v>6654664</v>
      </c>
      <c r="C1744" s="147"/>
      <c r="D1744" s="148" t="s">
        <v>893</v>
      </c>
      <c r="E1744" s="149">
        <v>5.31</v>
      </c>
      <c r="F1744" s="149">
        <v>2.88</v>
      </c>
      <c r="G1744" s="149">
        <v>0</v>
      </c>
      <c r="H1744" s="149">
        <v>2.73</v>
      </c>
      <c r="I1744" s="150">
        <v>10.92</v>
      </c>
    </row>
    <row r="1745" spans="1:9" ht="15.6" x14ac:dyDescent="0.25">
      <c r="A1745" s="145"/>
      <c r="B1745" s="146">
        <v>6655611</v>
      </c>
      <c r="C1745" s="147"/>
      <c r="D1745" s="148" t="s">
        <v>856</v>
      </c>
      <c r="E1745" s="149">
        <v>5.31</v>
      </c>
      <c r="F1745" s="149">
        <v>2.88</v>
      </c>
      <c r="G1745" s="149">
        <v>0</v>
      </c>
      <c r="H1745" s="149">
        <v>2.73</v>
      </c>
      <c r="I1745" s="150">
        <v>10.92</v>
      </c>
    </row>
    <row r="1746" spans="1:9" ht="15.6" x14ac:dyDescent="0.25">
      <c r="A1746" s="145"/>
      <c r="B1746" s="146">
        <v>6657382</v>
      </c>
      <c r="C1746" s="147"/>
      <c r="D1746" s="148" t="s">
        <v>747</v>
      </c>
      <c r="E1746" s="149">
        <v>5.31</v>
      </c>
      <c r="F1746" s="149">
        <v>2.88</v>
      </c>
      <c r="G1746" s="149">
        <v>0</v>
      </c>
      <c r="H1746" s="149">
        <v>2.73</v>
      </c>
      <c r="I1746" s="150">
        <v>10.92</v>
      </c>
    </row>
    <row r="1747" spans="1:9" ht="15.6" x14ac:dyDescent="0.25">
      <c r="A1747" s="145"/>
      <c r="B1747" s="146">
        <v>6659875</v>
      </c>
      <c r="C1747" s="147"/>
      <c r="D1747" s="148" t="s">
        <v>858</v>
      </c>
      <c r="E1747" s="149">
        <v>5.31</v>
      </c>
      <c r="F1747" s="149">
        <v>2.88</v>
      </c>
      <c r="G1747" s="149">
        <v>0</v>
      </c>
      <c r="H1747" s="149">
        <v>2.73</v>
      </c>
      <c r="I1747" s="150">
        <v>10.92</v>
      </c>
    </row>
    <row r="1748" spans="1:9" ht="15.6" x14ac:dyDescent="0.25">
      <c r="A1748" s="145"/>
      <c r="B1748" s="146">
        <v>6672497</v>
      </c>
      <c r="C1748" s="147"/>
      <c r="D1748" s="148" t="s">
        <v>967</v>
      </c>
      <c r="E1748" s="149">
        <v>5.31</v>
      </c>
      <c r="F1748" s="149">
        <v>2.88</v>
      </c>
      <c r="G1748" s="149">
        <v>0</v>
      </c>
      <c r="H1748" s="149">
        <v>2.73</v>
      </c>
      <c r="I1748" s="150">
        <v>10.92</v>
      </c>
    </row>
    <row r="1749" spans="1:9" ht="15.6" x14ac:dyDescent="0.25">
      <c r="A1749" s="145"/>
      <c r="B1749" s="146">
        <v>6675449</v>
      </c>
      <c r="C1749" s="147"/>
      <c r="D1749" s="148" t="s">
        <v>857</v>
      </c>
      <c r="E1749" s="149">
        <v>0</v>
      </c>
      <c r="F1749" s="149">
        <v>0</v>
      </c>
      <c r="G1749" s="149">
        <v>0</v>
      </c>
      <c r="H1749" s="149">
        <v>0</v>
      </c>
      <c r="I1749" s="150">
        <v>0</v>
      </c>
    </row>
    <row r="1750" spans="1:9" ht="15.6" x14ac:dyDescent="0.25">
      <c r="A1750" s="145"/>
      <c r="B1750" s="146">
        <v>6680011</v>
      </c>
      <c r="C1750" s="147"/>
      <c r="D1750" s="148" t="s">
        <v>764</v>
      </c>
      <c r="E1750" s="149">
        <v>5.31</v>
      </c>
      <c r="F1750" s="149">
        <v>2.88</v>
      </c>
      <c r="G1750" s="149">
        <v>0</v>
      </c>
      <c r="H1750" s="149">
        <v>2.73</v>
      </c>
      <c r="I1750" s="150">
        <v>10.92</v>
      </c>
    </row>
    <row r="1751" spans="1:9" ht="15.6" x14ac:dyDescent="0.25">
      <c r="A1751" s="145"/>
      <c r="B1751" s="146">
        <v>6685398</v>
      </c>
      <c r="C1751" s="147"/>
      <c r="D1751" s="148" t="s">
        <v>851</v>
      </c>
      <c r="E1751" s="149">
        <v>5.31</v>
      </c>
      <c r="F1751" s="149">
        <v>2.88</v>
      </c>
      <c r="G1751" s="149">
        <v>22.66</v>
      </c>
      <c r="H1751" s="149">
        <v>2.73</v>
      </c>
      <c r="I1751" s="150">
        <v>33.58</v>
      </c>
    </row>
    <row r="1752" spans="1:9" ht="15.6" x14ac:dyDescent="0.25">
      <c r="A1752" s="145"/>
      <c r="B1752" s="146">
        <v>6692031</v>
      </c>
      <c r="C1752" s="147"/>
      <c r="D1752" s="148" t="s">
        <v>889</v>
      </c>
      <c r="E1752" s="149">
        <v>0</v>
      </c>
      <c r="F1752" s="149">
        <v>0</v>
      </c>
      <c r="G1752" s="149">
        <v>0</v>
      </c>
      <c r="H1752" s="149">
        <v>0</v>
      </c>
      <c r="I1752" s="150">
        <v>0</v>
      </c>
    </row>
    <row r="1753" spans="1:9" ht="15.6" x14ac:dyDescent="0.25">
      <c r="A1753" s="145"/>
      <c r="B1753" s="146">
        <v>6692341</v>
      </c>
      <c r="C1753" s="147"/>
      <c r="D1753" s="148" t="s">
        <v>851</v>
      </c>
      <c r="E1753" s="149">
        <v>5.31</v>
      </c>
      <c r="F1753" s="149">
        <v>2.88</v>
      </c>
      <c r="G1753" s="149">
        <v>22.66</v>
      </c>
      <c r="H1753" s="149">
        <v>2.73</v>
      </c>
      <c r="I1753" s="150">
        <v>33.58</v>
      </c>
    </row>
    <row r="1754" spans="1:9" ht="15.6" x14ac:dyDescent="0.25">
      <c r="A1754" s="145"/>
      <c r="B1754" s="146">
        <v>6696200</v>
      </c>
      <c r="C1754" s="147"/>
      <c r="D1754" s="148" t="s">
        <v>865</v>
      </c>
      <c r="E1754" s="149">
        <v>5.31</v>
      </c>
      <c r="F1754" s="149">
        <v>2.88</v>
      </c>
      <c r="G1754" s="149">
        <v>0</v>
      </c>
      <c r="H1754" s="149">
        <v>2.73</v>
      </c>
      <c r="I1754" s="150">
        <v>10.92</v>
      </c>
    </row>
    <row r="1755" spans="1:9" ht="15.6" x14ac:dyDescent="0.25">
      <c r="A1755" s="145"/>
      <c r="B1755" s="146">
        <v>6696826</v>
      </c>
      <c r="C1755" s="147"/>
      <c r="D1755" s="148" t="s">
        <v>886</v>
      </c>
      <c r="E1755" s="149">
        <v>5.31</v>
      </c>
      <c r="F1755" s="149">
        <v>2.88</v>
      </c>
      <c r="G1755" s="149">
        <v>0</v>
      </c>
      <c r="H1755" s="149">
        <v>2.73</v>
      </c>
      <c r="I1755" s="150">
        <v>10.92</v>
      </c>
    </row>
    <row r="1756" spans="1:9" ht="15.6" x14ac:dyDescent="0.25">
      <c r="A1756" s="145"/>
      <c r="B1756" s="146">
        <v>6698972</v>
      </c>
      <c r="C1756" s="147"/>
      <c r="D1756" s="148" t="s">
        <v>828</v>
      </c>
      <c r="E1756" s="149">
        <v>5.31</v>
      </c>
      <c r="F1756" s="149">
        <v>2.88</v>
      </c>
      <c r="G1756" s="149">
        <v>0</v>
      </c>
      <c r="H1756" s="149">
        <v>2.73</v>
      </c>
      <c r="I1756" s="150">
        <v>10.92</v>
      </c>
    </row>
    <row r="1757" spans="1:9" ht="15.6" x14ac:dyDescent="0.25">
      <c r="A1757" s="145"/>
      <c r="B1757" s="146">
        <v>6702229</v>
      </c>
      <c r="C1757" s="147"/>
      <c r="D1757" s="148" t="s">
        <v>763</v>
      </c>
      <c r="E1757" s="149">
        <v>5.31</v>
      </c>
      <c r="F1757" s="149">
        <v>0</v>
      </c>
      <c r="G1757" s="149">
        <v>0</v>
      </c>
      <c r="H1757" s="149">
        <v>0</v>
      </c>
      <c r="I1757" s="150">
        <v>5.31</v>
      </c>
    </row>
    <row r="1758" spans="1:9" ht="15.6" x14ac:dyDescent="0.25">
      <c r="A1758" s="145"/>
      <c r="B1758" s="146">
        <v>6704785</v>
      </c>
      <c r="C1758" s="147"/>
      <c r="D1758" s="148" t="s">
        <v>737</v>
      </c>
      <c r="E1758" s="149">
        <v>5.31</v>
      </c>
      <c r="F1758" s="149">
        <v>2.88</v>
      </c>
      <c r="G1758" s="149">
        <v>0</v>
      </c>
      <c r="H1758" s="149">
        <v>2.73</v>
      </c>
      <c r="I1758" s="150">
        <v>10.92</v>
      </c>
    </row>
    <row r="1759" spans="1:9" ht="15.6" x14ac:dyDescent="0.25">
      <c r="A1759" s="145"/>
      <c r="B1759" s="146">
        <v>6707273</v>
      </c>
      <c r="C1759" s="147"/>
      <c r="D1759" s="148" t="s">
        <v>739</v>
      </c>
      <c r="E1759" s="149">
        <v>5.31</v>
      </c>
      <c r="F1759" s="149">
        <v>2.88</v>
      </c>
      <c r="G1759" s="149">
        <v>0</v>
      </c>
      <c r="H1759" s="149">
        <v>2.73</v>
      </c>
      <c r="I1759" s="150">
        <v>10.92</v>
      </c>
    </row>
    <row r="1760" spans="1:9" ht="15.6" x14ac:dyDescent="0.25">
      <c r="A1760" s="145"/>
      <c r="B1760" s="146">
        <v>6708592</v>
      </c>
      <c r="C1760" s="147"/>
      <c r="D1760" s="148" t="s">
        <v>765</v>
      </c>
      <c r="E1760" s="149">
        <v>0</v>
      </c>
      <c r="F1760" s="149">
        <v>0</v>
      </c>
      <c r="G1760" s="149">
        <v>0</v>
      </c>
      <c r="H1760" s="149">
        <v>0</v>
      </c>
      <c r="I1760" s="150">
        <v>0</v>
      </c>
    </row>
    <row r="1761" spans="1:9" ht="15.6" x14ac:dyDescent="0.25">
      <c r="A1761" s="145"/>
      <c r="B1761" s="146">
        <v>6710305</v>
      </c>
      <c r="C1761" s="147"/>
      <c r="D1761" s="148" t="s">
        <v>898</v>
      </c>
      <c r="E1761" s="149">
        <v>5.31</v>
      </c>
      <c r="F1761" s="149">
        <v>2.88</v>
      </c>
      <c r="G1761" s="149">
        <v>0</v>
      </c>
      <c r="H1761" s="149">
        <v>2.73</v>
      </c>
      <c r="I1761" s="150">
        <v>10.92</v>
      </c>
    </row>
    <row r="1762" spans="1:9" ht="15.6" x14ac:dyDescent="0.25">
      <c r="A1762" s="145"/>
      <c r="B1762" s="146">
        <v>6719158</v>
      </c>
      <c r="C1762" s="147"/>
      <c r="D1762" s="148" t="s">
        <v>882</v>
      </c>
      <c r="E1762" s="149">
        <v>5.31</v>
      </c>
      <c r="F1762" s="149">
        <v>2.88</v>
      </c>
      <c r="G1762" s="149">
        <v>0</v>
      </c>
      <c r="H1762" s="149">
        <v>2.73</v>
      </c>
      <c r="I1762" s="150">
        <v>10.92</v>
      </c>
    </row>
    <row r="1763" spans="1:9" ht="15.6" x14ac:dyDescent="0.25">
      <c r="A1763" s="145"/>
      <c r="B1763" s="146">
        <v>6720241</v>
      </c>
      <c r="C1763" s="147"/>
      <c r="D1763" s="148" t="s">
        <v>851</v>
      </c>
      <c r="E1763" s="149">
        <v>5.31</v>
      </c>
      <c r="F1763" s="149">
        <v>2.88</v>
      </c>
      <c r="G1763" s="149">
        <v>22.66</v>
      </c>
      <c r="H1763" s="149">
        <v>2.73</v>
      </c>
      <c r="I1763" s="150">
        <v>33.58</v>
      </c>
    </row>
    <row r="1764" spans="1:9" ht="15.6" x14ac:dyDescent="0.25">
      <c r="A1764" s="145"/>
      <c r="B1764" s="146">
        <v>6726402</v>
      </c>
      <c r="C1764" s="147"/>
      <c r="D1764" s="148" t="s">
        <v>857</v>
      </c>
      <c r="E1764" s="149">
        <v>0</v>
      </c>
      <c r="F1764" s="149">
        <v>0</v>
      </c>
      <c r="G1764" s="149">
        <v>0</v>
      </c>
      <c r="H1764" s="149">
        <v>0</v>
      </c>
      <c r="I1764" s="150">
        <v>0</v>
      </c>
    </row>
    <row r="1765" spans="1:9" ht="15.6" x14ac:dyDescent="0.25">
      <c r="A1765" s="145"/>
      <c r="B1765" s="146">
        <v>6727884</v>
      </c>
      <c r="C1765" s="147"/>
      <c r="D1765" s="148" t="s">
        <v>856</v>
      </c>
      <c r="E1765" s="149">
        <v>5.31</v>
      </c>
      <c r="F1765" s="149">
        <v>2.88</v>
      </c>
      <c r="G1765" s="149">
        <v>0</v>
      </c>
      <c r="H1765" s="149">
        <v>2.73</v>
      </c>
      <c r="I1765" s="150">
        <v>10.92</v>
      </c>
    </row>
    <row r="1766" spans="1:9" ht="15.6" x14ac:dyDescent="0.25">
      <c r="A1766" s="145"/>
      <c r="B1766" s="146">
        <v>6730058</v>
      </c>
      <c r="C1766" s="147"/>
      <c r="D1766" s="148" t="s">
        <v>868</v>
      </c>
      <c r="E1766" s="149">
        <v>5.31</v>
      </c>
      <c r="F1766" s="149">
        <v>2.88</v>
      </c>
      <c r="G1766" s="149">
        <v>0</v>
      </c>
      <c r="H1766" s="149">
        <v>2.73</v>
      </c>
      <c r="I1766" s="150">
        <v>10.92</v>
      </c>
    </row>
    <row r="1767" spans="1:9" ht="15.6" x14ac:dyDescent="0.25">
      <c r="A1767" s="145"/>
      <c r="B1767" s="146">
        <v>6734633</v>
      </c>
      <c r="C1767" s="147"/>
      <c r="D1767" s="148" t="s">
        <v>933</v>
      </c>
      <c r="E1767" s="149">
        <v>5.31</v>
      </c>
      <c r="F1767" s="149">
        <v>2.88</v>
      </c>
      <c r="G1767" s="149">
        <v>0</v>
      </c>
      <c r="H1767" s="149">
        <v>2.73</v>
      </c>
      <c r="I1767" s="150">
        <v>10.92</v>
      </c>
    </row>
    <row r="1768" spans="1:9" ht="15.6" x14ac:dyDescent="0.25">
      <c r="A1768" s="145"/>
      <c r="B1768" s="146">
        <v>6736435</v>
      </c>
      <c r="C1768" s="147"/>
      <c r="D1768" s="148" t="s">
        <v>798</v>
      </c>
      <c r="E1768" s="149">
        <v>0</v>
      </c>
      <c r="F1768" s="149">
        <v>0</v>
      </c>
      <c r="G1768" s="149">
        <v>0</v>
      </c>
      <c r="H1768" s="149">
        <v>0</v>
      </c>
      <c r="I1768" s="150">
        <v>0</v>
      </c>
    </row>
    <row r="1769" spans="1:9" ht="15.6" x14ac:dyDescent="0.25">
      <c r="A1769" s="145"/>
      <c r="B1769" s="146">
        <v>6751227</v>
      </c>
      <c r="C1769" s="147"/>
      <c r="D1769" s="148" t="s">
        <v>851</v>
      </c>
      <c r="E1769" s="149">
        <v>5.31</v>
      </c>
      <c r="F1769" s="149">
        <v>2.88</v>
      </c>
      <c r="G1769" s="149">
        <v>22.66</v>
      </c>
      <c r="H1769" s="149">
        <v>2.73</v>
      </c>
      <c r="I1769" s="150">
        <v>33.58</v>
      </c>
    </row>
    <row r="1770" spans="1:9" ht="15.6" x14ac:dyDescent="0.25">
      <c r="A1770" s="145"/>
      <c r="B1770" s="146">
        <v>6752904</v>
      </c>
      <c r="C1770" s="147"/>
      <c r="D1770" s="148" t="s">
        <v>851</v>
      </c>
      <c r="E1770" s="149">
        <v>5.31</v>
      </c>
      <c r="F1770" s="149">
        <v>2.88</v>
      </c>
      <c r="G1770" s="149">
        <v>28.61</v>
      </c>
      <c r="H1770" s="149">
        <v>2.73</v>
      </c>
      <c r="I1770" s="150">
        <v>39.529999999999994</v>
      </c>
    </row>
    <row r="1771" spans="1:9" ht="15.6" x14ac:dyDescent="0.25">
      <c r="A1771" s="145"/>
      <c r="B1771" s="146">
        <v>6754179</v>
      </c>
      <c r="C1771" s="147"/>
      <c r="D1771" s="148" t="s">
        <v>840</v>
      </c>
      <c r="E1771" s="149">
        <v>5.31</v>
      </c>
      <c r="F1771" s="149">
        <v>2.88</v>
      </c>
      <c r="G1771" s="149">
        <v>0</v>
      </c>
      <c r="H1771" s="149">
        <v>2.73</v>
      </c>
      <c r="I1771" s="150">
        <v>10.92</v>
      </c>
    </row>
    <row r="1772" spans="1:9" ht="15.6" x14ac:dyDescent="0.25">
      <c r="A1772" s="145"/>
      <c r="B1772" s="146">
        <v>6754699</v>
      </c>
      <c r="C1772" s="147"/>
      <c r="D1772" s="148" t="s">
        <v>910</v>
      </c>
      <c r="E1772" s="149">
        <v>5.31</v>
      </c>
      <c r="F1772" s="149">
        <v>2.88</v>
      </c>
      <c r="G1772" s="149">
        <v>0</v>
      </c>
      <c r="H1772" s="149">
        <v>2.73</v>
      </c>
      <c r="I1772" s="150">
        <v>10.92</v>
      </c>
    </row>
    <row r="1773" spans="1:9" ht="15.6" x14ac:dyDescent="0.25">
      <c r="A1773" s="145"/>
      <c r="B1773" s="146">
        <v>6759385</v>
      </c>
      <c r="C1773" s="147"/>
      <c r="D1773" s="148" t="s">
        <v>923</v>
      </c>
      <c r="E1773" s="149">
        <v>5.31</v>
      </c>
      <c r="F1773" s="149">
        <v>2.88</v>
      </c>
      <c r="G1773" s="149">
        <v>0</v>
      </c>
      <c r="H1773" s="149">
        <v>2.73</v>
      </c>
      <c r="I1773" s="150">
        <v>10.92</v>
      </c>
    </row>
    <row r="1774" spans="1:9" ht="15.6" x14ac:dyDescent="0.25">
      <c r="A1774" s="145"/>
      <c r="B1774" s="146">
        <v>6763390</v>
      </c>
      <c r="C1774" s="147"/>
      <c r="D1774" s="148" t="s">
        <v>857</v>
      </c>
      <c r="E1774" s="149">
        <v>0</v>
      </c>
      <c r="F1774" s="149">
        <v>0</v>
      </c>
      <c r="G1774" s="149">
        <v>0</v>
      </c>
      <c r="H1774" s="149">
        <v>0</v>
      </c>
      <c r="I1774" s="150">
        <v>0</v>
      </c>
    </row>
    <row r="1775" spans="1:9" ht="15.6" x14ac:dyDescent="0.25">
      <c r="A1775" s="145"/>
      <c r="B1775" s="146">
        <v>6763705</v>
      </c>
      <c r="C1775" s="147"/>
      <c r="D1775" s="148" t="s">
        <v>919</v>
      </c>
      <c r="E1775" s="149">
        <v>0</v>
      </c>
      <c r="F1775" s="149">
        <v>0</v>
      </c>
      <c r="G1775" s="149">
        <v>0</v>
      </c>
      <c r="H1775" s="149">
        <v>0</v>
      </c>
      <c r="I1775" s="150">
        <v>0</v>
      </c>
    </row>
    <row r="1776" spans="1:9" ht="15.6" x14ac:dyDescent="0.25">
      <c r="A1776" s="145"/>
      <c r="B1776" s="146">
        <v>6767166</v>
      </c>
      <c r="C1776" s="147"/>
      <c r="D1776" s="148" t="s">
        <v>919</v>
      </c>
      <c r="E1776" s="149">
        <v>5.31</v>
      </c>
      <c r="F1776" s="149">
        <v>2.88</v>
      </c>
      <c r="G1776" s="149">
        <v>0</v>
      </c>
      <c r="H1776" s="149">
        <v>2.73</v>
      </c>
      <c r="I1776" s="150">
        <v>10.92</v>
      </c>
    </row>
    <row r="1777" spans="1:9" ht="15.6" x14ac:dyDescent="0.25">
      <c r="A1777" s="145"/>
      <c r="B1777" s="146">
        <v>6771932</v>
      </c>
      <c r="C1777" s="147"/>
      <c r="D1777" s="148" t="s">
        <v>898</v>
      </c>
      <c r="E1777" s="149">
        <v>5.31</v>
      </c>
      <c r="F1777" s="149">
        <v>2.88</v>
      </c>
      <c r="G1777" s="149">
        <v>0</v>
      </c>
      <c r="H1777" s="149">
        <v>2.73</v>
      </c>
      <c r="I1777" s="150">
        <v>10.92</v>
      </c>
    </row>
    <row r="1778" spans="1:9" ht="15.6" x14ac:dyDescent="0.25">
      <c r="A1778" s="145"/>
      <c r="B1778" s="146">
        <v>6780039</v>
      </c>
      <c r="C1778" s="147"/>
      <c r="D1778" s="148" t="s">
        <v>851</v>
      </c>
      <c r="E1778" s="149">
        <v>5.31</v>
      </c>
      <c r="F1778" s="149">
        <v>2.88</v>
      </c>
      <c r="G1778" s="149">
        <v>22.66</v>
      </c>
      <c r="H1778" s="149">
        <v>2.73</v>
      </c>
      <c r="I1778" s="150">
        <v>33.58</v>
      </c>
    </row>
    <row r="1779" spans="1:9" ht="15.6" x14ac:dyDescent="0.25">
      <c r="A1779" s="145"/>
      <c r="B1779" s="146">
        <v>6789719</v>
      </c>
      <c r="C1779" s="147"/>
      <c r="D1779" s="148" t="s">
        <v>740</v>
      </c>
      <c r="E1779" s="149">
        <v>5.31</v>
      </c>
      <c r="F1779" s="149">
        <v>2.88</v>
      </c>
      <c r="G1779" s="149">
        <v>0</v>
      </c>
      <c r="H1779" s="149">
        <v>2.73</v>
      </c>
      <c r="I1779" s="150">
        <v>10.92</v>
      </c>
    </row>
    <row r="1780" spans="1:9" ht="15.6" x14ac:dyDescent="0.25">
      <c r="A1780" s="145"/>
      <c r="B1780" s="146">
        <v>6790998</v>
      </c>
      <c r="C1780" s="147"/>
      <c r="D1780" s="148" t="s">
        <v>945</v>
      </c>
      <c r="E1780" s="149">
        <v>0</v>
      </c>
      <c r="F1780" s="149">
        <v>0</v>
      </c>
      <c r="G1780" s="149">
        <v>0</v>
      </c>
      <c r="H1780" s="149">
        <v>0</v>
      </c>
      <c r="I1780" s="150">
        <v>0</v>
      </c>
    </row>
    <row r="1781" spans="1:9" ht="15.6" x14ac:dyDescent="0.25">
      <c r="A1781" s="145"/>
      <c r="B1781" s="146">
        <v>6793457</v>
      </c>
      <c r="C1781" s="147"/>
      <c r="D1781" s="148" t="s">
        <v>851</v>
      </c>
      <c r="E1781" s="149">
        <v>5.31</v>
      </c>
      <c r="F1781" s="149">
        <v>2.88</v>
      </c>
      <c r="G1781" s="149">
        <v>22.66</v>
      </c>
      <c r="H1781" s="149">
        <v>2.73</v>
      </c>
      <c r="I1781" s="150">
        <v>33.58</v>
      </c>
    </row>
    <row r="1782" spans="1:9" ht="15.6" x14ac:dyDescent="0.25">
      <c r="A1782" s="145"/>
      <c r="B1782" s="146">
        <v>6797506</v>
      </c>
      <c r="C1782" s="147"/>
      <c r="D1782" s="148" t="s">
        <v>894</v>
      </c>
      <c r="E1782" s="149">
        <v>5.31</v>
      </c>
      <c r="F1782" s="149">
        <v>2.88</v>
      </c>
      <c r="G1782" s="149">
        <v>0</v>
      </c>
      <c r="H1782" s="149">
        <v>2.73</v>
      </c>
      <c r="I1782" s="150">
        <v>10.92</v>
      </c>
    </row>
    <row r="1783" spans="1:9" ht="15.6" x14ac:dyDescent="0.25">
      <c r="A1783" s="145"/>
      <c r="B1783" s="146">
        <v>6799919</v>
      </c>
      <c r="C1783" s="147"/>
      <c r="D1783" s="148" t="s">
        <v>868</v>
      </c>
      <c r="E1783" s="149">
        <v>5.31</v>
      </c>
      <c r="F1783" s="149">
        <v>2.88</v>
      </c>
      <c r="G1783" s="149">
        <v>0</v>
      </c>
      <c r="H1783" s="149">
        <v>2.73</v>
      </c>
      <c r="I1783" s="150">
        <v>10.92</v>
      </c>
    </row>
    <row r="1784" spans="1:9" ht="15.6" x14ac:dyDescent="0.25">
      <c r="A1784" s="145"/>
      <c r="B1784" s="146">
        <v>6800995</v>
      </c>
      <c r="C1784" s="147"/>
      <c r="D1784" s="148" t="s">
        <v>782</v>
      </c>
      <c r="E1784" s="149">
        <v>5.31</v>
      </c>
      <c r="F1784" s="149">
        <v>2.88</v>
      </c>
      <c r="G1784" s="149">
        <v>0</v>
      </c>
      <c r="H1784" s="149">
        <v>2.73</v>
      </c>
      <c r="I1784" s="150">
        <v>10.92</v>
      </c>
    </row>
    <row r="1785" spans="1:9" ht="15.6" x14ac:dyDescent="0.25">
      <c r="A1785" s="145"/>
      <c r="B1785" s="146">
        <v>6803471</v>
      </c>
      <c r="C1785" s="147"/>
      <c r="D1785" s="148" t="s">
        <v>741</v>
      </c>
      <c r="E1785" s="149">
        <v>5.31</v>
      </c>
      <c r="F1785" s="149">
        <v>2.88</v>
      </c>
      <c r="G1785" s="149">
        <v>0</v>
      </c>
      <c r="H1785" s="149">
        <v>2.73</v>
      </c>
      <c r="I1785" s="150">
        <v>10.92</v>
      </c>
    </row>
    <row r="1786" spans="1:9" ht="15.6" x14ac:dyDescent="0.25">
      <c r="A1786" s="145"/>
      <c r="B1786" s="146">
        <v>6806843</v>
      </c>
      <c r="C1786" s="147"/>
      <c r="D1786" s="148" t="s">
        <v>838</v>
      </c>
      <c r="E1786" s="149">
        <v>5.31</v>
      </c>
      <c r="F1786" s="149">
        <v>2.88</v>
      </c>
      <c r="G1786" s="149">
        <v>0</v>
      </c>
      <c r="H1786" s="149">
        <v>2.73</v>
      </c>
      <c r="I1786" s="150">
        <v>10.92</v>
      </c>
    </row>
    <row r="1787" spans="1:9" ht="15.6" x14ac:dyDescent="0.25">
      <c r="A1787" s="145"/>
      <c r="B1787" s="146">
        <v>6810453</v>
      </c>
      <c r="C1787" s="147"/>
      <c r="D1787" s="148" t="s">
        <v>865</v>
      </c>
      <c r="E1787" s="149">
        <v>5.31</v>
      </c>
      <c r="F1787" s="149">
        <v>2.88</v>
      </c>
      <c r="G1787" s="149">
        <v>0</v>
      </c>
      <c r="H1787" s="149">
        <v>2.73</v>
      </c>
      <c r="I1787" s="150">
        <v>10.92</v>
      </c>
    </row>
    <row r="1788" spans="1:9" ht="15.6" x14ac:dyDescent="0.25">
      <c r="A1788" s="145"/>
      <c r="B1788" s="146">
        <v>6810492</v>
      </c>
      <c r="C1788" s="147"/>
      <c r="D1788" s="148" t="s">
        <v>784</v>
      </c>
      <c r="E1788" s="149">
        <v>0</v>
      </c>
      <c r="F1788" s="149">
        <v>0</v>
      </c>
      <c r="G1788" s="149">
        <v>0</v>
      </c>
      <c r="H1788" s="149">
        <v>2.73</v>
      </c>
      <c r="I1788" s="150">
        <v>2.73</v>
      </c>
    </row>
    <row r="1789" spans="1:9" ht="15.6" x14ac:dyDescent="0.25">
      <c r="A1789" s="145"/>
      <c r="B1789" s="146">
        <v>6810505</v>
      </c>
      <c r="C1789" s="147"/>
      <c r="D1789" s="148" t="s">
        <v>731</v>
      </c>
      <c r="E1789" s="149">
        <v>0</v>
      </c>
      <c r="F1789" s="149">
        <v>0</v>
      </c>
      <c r="G1789" s="149">
        <v>0</v>
      </c>
      <c r="H1789" s="149">
        <v>0</v>
      </c>
      <c r="I1789" s="150">
        <v>0</v>
      </c>
    </row>
    <row r="1790" spans="1:9" ht="15.6" x14ac:dyDescent="0.25">
      <c r="A1790" s="145"/>
      <c r="B1790" s="146">
        <v>6810519</v>
      </c>
      <c r="C1790" s="147"/>
      <c r="D1790" s="148" t="s">
        <v>786</v>
      </c>
      <c r="E1790" s="149">
        <v>0</v>
      </c>
      <c r="F1790" s="149">
        <v>0</v>
      </c>
      <c r="G1790" s="149">
        <v>0</v>
      </c>
      <c r="H1790" s="149">
        <v>0</v>
      </c>
      <c r="I1790" s="150">
        <v>0</v>
      </c>
    </row>
    <row r="1791" spans="1:9" ht="15.6" x14ac:dyDescent="0.25">
      <c r="A1791" s="145"/>
      <c r="B1791" s="146">
        <v>6811798</v>
      </c>
      <c r="C1791" s="147"/>
      <c r="D1791" s="148" t="s">
        <v>868</v>
      </c>
      <c r="E1791" s="149">
        <v>5.31</v>
      </c>
      <c r="F1791" s="149">
        <v>2.88</v>
      </c>
      <c r="G1791" s="149">
        <v>0</v>
      </c>
      <c r="H1791" s="149">
        <v>2.73</v>
      </c>
      <c r="I1791" s="150">
        <v>10.92</v>
      </c>
    </row>
    <row r="1792" spans="1:9" ht="15.6" x14ac:dyDescent="0.25">
      <c r="A1792" s="145"/>
      <c r="B1792" s="146">
        <v>6819655</v>
      </c>
      <c r="C1792" s="147"/>
      <c r="D1792" s="148" t="s">
        <v>805</v>
      </c>
      <c r="E1792" s="149">
        <v>0</v>
      </c>
      <c r="F1792" s="149">
        <v>0</v>
      </c>
      <c r="G1792" s="149">
        <v>0</v>
      </c>
      <c r="H1792" s="149">
        <v>0</v>
      </c>
      <c r="I1792" s="150">
        <v>0</v>
      </c>
    </row>
    <row r="1793" spans="1:9" ht="15.6" x14ac:dyDescent="0.25">
      <c r="A1793" s="145"/>
      <c r="B1793" s="146">
        <v>6832317</v>
      </c>
      <c r="C1793" s="147"/>
      <c r="D1793" s="148" t="s">
        <v>876</v>
      </c>
      <c r="E1793" s="149">
        <v>0</v>
      </c>
      <c r="F1793" s="149">
        <v>0</v>
      </c>
      <c r="G1793" s="149">
        <v>0</v>
      </c>
      <c r="H1793" s="149">
        <v>0</v>
      </c>
      <c r="I1793" s="150">
        <v>0</v>
      </c>
    </row>
    <row r="1794" spans="1:9" ht="15.6" x14ac:dyDescent="0.25">
      <c r="A1794" s="145"/>
      <c r="B1794" s="146">
        <v>6838675</v>
      </c>
      <c r="C1794" s="147"/>
      <c r="D1794" s="148" t="s">
        <v>868</v>
      </c>
      <c r="E1794" s="149">
        <v>5.31</v>
      </c>
      <c r="F1794" s="149">
        <v>2.88</v>
      </c>
      <c r="G1794" s="149">
        <v>0</v>
      </c>
      <c r="H1794" s="149">
        <v>2.73</v>
      </c>
      <c r="I1794" s="150">
        <v>10.92</v>
      </c>
    </row>
    <row r="1795" spans="1:9" ht="15.6" x14ac:dyDescent="0.25">
      <c r="A1795" s="145"/>
      <c r="B1795" s="146">
        <v>6839712</v>
      </c>
      <c r="C1795" s="147"/>
      <c r="D1795" s="148" t="s">
        <v>871</v>
      </c>
      <c r="E1795" s="149">
        <v>5.31</v>
      </c>
      <c r="F1795" s="149">
        <v>2.88</v>
      </c>
      <c r="G1795" s="149">
        <v>0</v>
      </c>
      <c r="H1795" s="149">
        <v>2.73</v>
      </c>
      <c r="I1795" s="150">
        <v>10.92</v>
      </c>
    </row>
    <row r="1796" spans="1:9" ht="15.6" x14ac:dyDescent="0.25">
      <c r="A1796" s="145"/>
      <c r="B1796" s="146">
        <v>6845082</v>
      </c>
      <c r="C1796" s="147"/>
      <c r="D1796" s="148" t="s">
        <v>816</v>
      </c>
      <c r="E1796" s="149">
        <v>5.31</v>
      </c>
      <c r="F1796" s="149">
        <v>2.88</v>
      </c>
      <c r="G1796" s="149">
        <v>0</v>
      </c>
      <c r="H1796" s="149">
        <v>2.73</v>
      </c>
      <c r="I1796" s="150">
        <v>10.92</v>
      </c>
    </row>
    <row r="1797" spans="1:9" ht="15.6" x14ac:dyDescent="0.25">
      <c r="A1797" s="145"/>
      <c r="B1797" s="146">
        <v>6846179</v>
      </c>
      <c r="C1797" s="147"/>
      <c r="D1797" s="148" t="s">
        <v>920</v>
      </c>
      <c r="E1797" s="149">
        <v>0</v>
      </c>
      <c r="F1797" s="149">
        <v>0</v>
      </c>
      <c r="G1797" s="149">
        <v>0</v>
      </c>
      <c r="H1797" s="149">
        <v>0</v>
      </c>
      <c r="I1797" s="150">
        <v>0</v>
      </c>
    </row>
    <row r="1798" spans="1:9" ht="15.6" x14ac:dyDescent="0.25">
      <c r="A1798" s="145"/>
      <c r="B1798" s="146">
        <v>6853955</v>
      </c>
      <c r="C1798" s="147"/>
      <c r="D1798" s="148" t="s">
        <v>856</v>
      </c>
      <c r="E1798" s="149">
        <v>5.31</v>
      </c>
      <c r="F1798" s="149">
        <v>2.88</v>
      </c>
      <c r="G1798" s="149">
        <v>0</v>
      </c>
      <c r="H1798" s="149">
        <v>2.73</v>
      </c>
      <c r="I1798" s="150">
        <v>10.92</v>
      </c>
    </row>
    <row r="1799" spans="1:9" ht="15.6" x14ac:dyDescent="0.25">
      <c r="A1799" s="145"/>
      <c r="B1799" s="146">
        <v>6862717</v>
      </c>
      <c r="C1799" s="147"/>
      <c r="D1799" s="148" t="s">
        <v>910</v>
      </c>
      <c r="E1799" s="149">
        <v>5.31</v>
      </c>
      <c r="F1799" s="149">
        <v>2.88</v>
      </c>
      <c r="G1799" s="149">
        <v>0</v>
      </c>
      <c r="H1799" s="149">
        <v>2.73</v>
      </c>
      <c r="I1799" s="150">
        <v>10.92</v>
      </c>
    </row>
    <row r="1800" spans="1:9" ht="15.6" x14ac:dyDescent="0.25">
      <c r="A1800" s="145"/>
      <c r="B1800" s="146">
        <v>6865587</v>
      </c>
      <c r="C1800" s="147"/>
      <c r="D1800" s="148" t="s">
        <v>851</v>
      </c>
      <c r="E1800" s="149">
        <v>5.31</v>
      </c>
      <c r="F1800" s="149">
        <v>2.88</v>
      </c>
      <c r="G1800" s="149">
        <v>22.66</v>
      </c>
      <c r="H1800" s="149">
        <v>2.73</v>
      </c>
      <c r="I1800" s="150">
        <v>33.58</v>
      </c>
    </row>
    <row r="1801" spans="1:9" ht="15.6" x14ac:dyDescent="0.25">
      <c r="A1801" s="145"/>
      <c r="B1801" s="146">
        <v>6865835</v>
      </c>
      <c r="C1801" s="147"/>
      <c r="D1801" s="148" t="s">
        <v>857</v>
      </c>
      <c r="E1801" s="149">
        <v>0</v>
      </c>
      <c r="F1801" s="149">
        <v>0</v>
      </c>
      <c r="G1801" s="149">
        <v>0</v>
      </c>
      <c r="H1801" s="149">
        <v>0</v>
      </c>
      <c r="I1801" s="150">
        <v>0</v>
      </c>
    </row>
    <row r="1802" spans="1:9" ht="15.6" x14ac:dyDescent="0.25">
      <c r="A1802" s="145"/>
      <c r="B1802" s="146">
        <v>6878419</v>
      </c>
      <c r="C1802" s="147"/>
      <c r="D1802" s="148" t="s">
        <v>764</v>
      </c>
      <c r="E1802" s="149">
        <v>5.31</v>
      </c>
      <c r="F1802" s="149">
        <v>2.88</v>
      </c>
      <c r="G1802" s="149">
        <v>0</v>
      </c>
      <c r="H1802" s="149">
        <v>2.73</v>
      </c>
      <c r="I1802" s="150">
        <v>10.92</v>
      </c>
    </row>
    <row r="1803" spans="1:9" ht="15.6" x14ac:dyDescent="0.25">
      <c r="A1803" s="145"/>
      <c r="B1803" s="146">
        <v>6880914</v>
      </c>
      <c r="C1803" s="147"/>
      <c r="D1803" s="148" t="s">
        <v>911</v>
      </c>
      <c r="E1803" s="149">
        <v>5.31</v>
      </c>
      <c r="F1803" s="149">
        <v>0</v>
      </c>
      <c r="G1803" s="149">
        <v>0</v>
      </c>
      <c r="H1803" s="149">
        <v>2.73</v>
      </c>
      <c r="I1803" s="150">
        <v>8.0399999999999991</v>
      </c>
    </row>
    <row r="1804" spans="1:9" ht="15.6" x14ac:dyDescent="0.25">
      <c r="A1804" s="145"/>
      <c r="B1804" s="146">
        <v>6882944</v>
      </c>
      <c r="C1804" s="147"/>
      <c r="D1804" s="148" t="s">
        <v>731</v>
      </c>
      <c r="E1804" s="149">
        <v>0</v>
      </c>
      <c r="F1804" s="149">
        <v>0</v>
      </c>
      <c r="G1804" s="149">
        <v>0</v>
      </c>
      <c r="H1804" s="149">
        <v>0</v>
      </c>
      <c r="I1804" s="150">
        <v>0</v>
      </c>
    </row>
    <row r="1805" spans="1:9" ht="15.6" x14ac:dyDescent="0.25">
      <c r="A1805" s="145"/>
      <c r="B1805" s="146">
        <v>6883232</v>
      </c>
      <c r="C1805" s="147"/>
      <c r="D1805" s="148" t="s">
        <v>877</v>
      </c>
      <c r="E1805" s="149">
        <v>0</v>
      </c>
      <c r="F1805" s="149">
        <v>0</v>
      </c>
      <c r="G1805" s="149">
        <v>0</v>
      </c>
      <c r="H1805" s="149">
        <v>2.73</v>
      </c>
      <c r="I1805" s="150">
        <v>2.73</v>
      </c>
    </row>
    <row r="1806" spans="1:9" ht="15.6" x14ac:dyDescent="0.25">
      <c r="A1806" s="145"/>
      <c r="B1806" s="146">
        <v>6884103</v>
      </c>
      <c r="C1806" s="147"/>
      <c r="D1806" s="148" t="s">
        <v>870</v>
      </c>
      <c r="E1806" s="149">
        <v>0</v>
      </c>
      <c r="F1806" s="149">
        <v>0</v>
      </c>
      <c r="G1806" s="149">
        <v>0</v>
      </c>
      <c r="H1806" s="149">
        <v>0</v>
      </c>
      <c r="I1806" s="150">
        <v>0</v>
      </c>
    </row>
    <row r="1807" spans="1:9" ht="15.6" x14ac:dyDescent="0.25">
      <c r="A1807" s="145"/>
      <c r="B1807" s="146">
        <v>6884178</v>
      </c>
      <c r="C1807" s="147"/>
      <c r="D1807" s="148" t="s">
        <v>921</v>
      </c>
      <c r="E1807" s="149">
        <v>0</v>
      </c>
      <c r="F1807" s="149">
        <v>0</v>
      </c>
      <c r="G1807" s="149">
        <v>0</v>
      </c>
      <c r="H1807" s="149">
        <v>0</v>
      </c>
      <c r="I1807" s="150">
        <v>0</v>
      </c>
    </row>
    <row r="1808" spans="1:9" ht="15.6" x14ac:dyDescent="0.25">
      <c r="A1808" s="145"/>
      <c r="B1808" s="146">
        <v>6886560</v>
      </c>
      <c r="C1808" s="147"/>
      <c r="D1808" s="148" t="s">
        <v>763</v>
      </c>
      <c r="E1808" s="149">
        <v>5.31</v>
      </c>
      <c r="F1808" s="149">
        <v>0</v>
      </c>
      <c r="G1808" s="149">
        <v>0</v>
      </c>
      <c r="H1808" s="149">
        <v>0</v>
      </c>
      <c r="I1808" s="150">
        <v>5.31</v>
      </c>
    </row>
    <row r="1809" spans="1:9" ht="15.6" x14ac:dyDescent="0.25">
      <c r="A1809" s="145"/>
      <c r="B1809" s="146">
        <v>6887581</v>
      </c>
      <c r="C1809" s="147"/>
      <c r="D1809" s="148" t="s">
        <v>754</v>
      </c>
      <c r="E1809" s="149">
        <v>0</v>
      </c>
      <c r="F1809" s="149">
        <v>0</v>
      </c>
      <c r="G1809" s="149">
        <v>0</v>
      </c>
      <c r="H1809" s="149">
        <v>2.73</v>
      </c>
      <c r="I1809" s="150">
        <v>2.73</v>
      </c>
    </row>
    <row r="1810" spans="1:9" ht="15.6" x14ac:dyDescent="0.25">
      <c r="A1810" s="145"/>
      <c r="B1810" s="146">
        <v>6900945</v>
      </c>
      <c r="C1810" s="147"/>
      <c r="D1810" s="148" t="s">
        <v>851</v>
      </c>
      <c r="E1810" s="149">
        <v>5.31</v>
      </c>
      <c r="F1810" s="149">
        <v>2.88</v>
      </c>
      <c r="G1810" s="149">
        <v>22.66</v>
      </c>
      <c r="H1810" s="149">
        <v>2.73</v>
      </c>
      <c r="I1810" s="150">
        <v>33.58</v>
      </c>
    </row>
    <row r="1811" spans="1:9" ht="15.6" x14ac:dyDescent="0.25">
      <c r="A1811" s="145"/>
      <c r="B1811" s="146">
        <v>6916834</v>
      </c>
      <c r="C1811" s="147"/>
      <c r="D1811" s="148" t="s">
        <v>784</v>
      </c>
      <c r="E1811" s="149">
        <v>0</v>
      </c>
      <c r="F1811" s="149">
        <v>0</v>
      </c>
      <c r="G1811" s="149">
        <v>0</v>
      </c>
      <c r="H1811" s="149">
        <v>0</v>
      </c>
      <c r="I1811" s="150">
        <v>0</v>
      </c>
    </row>
    <row r="1812" spans="1:9" ht="15.6" x14ac:dyDescent="0.25">
      <c r="A1812" s="145"/>
      <c r="B1812" s="146">
        <v>6918480</v>
      </c>
      <c r="C1812" s="147"/>
      <c r="D1812" s="148" t="s">
        <v>868</v>
      </c>
      <c r="E1812" s="149">
        <v>5.31</v>
      </c>
      <c r="F1812" s="149">
        <v>2.88</v>
      </c>
      <c r="G1812" s="149">
        <v>0</v>
      </c>
      <c r="H1812" s="149">
        <v>2.73</v>
      </c>
      <c r="I1812" s="150">
        <v>10.92</v>
      </c>
    </row>
    <row r="1813" spans="1:9" ht="15.6" x14ac:dyDescent="0.25">
      <c r="A1813" s="145"/>
      <c r="B1813" s="146">
        <v>6924748</v>
      </c>
      <c r="C1813" s="147"/>
      <c r="D1813" s="148" t="s">
        <v>816</v>
      </c>
      <c r="E1813" s="149">
        <v>5.31</v>
      </c>
      <c r="F1813" s="149">
        <v>2.88</v>
      </c>
      <c r="G1813" s="149">
        <v>0</v>
      </c>
      <c r="H1813" s="149">
        <v>2.73</v>
      </c>
      <c r="I1813" s="150">
        <v>10.92</v>
      </c>
    </row>
    <row r="1814" spans="1:9" ht="15.6" x14ac:dyDescent="0.25">
      <c r="A1814" s="145"/>
      <c r="B1814" s="146">
        <v>6927468</v>
      </c>
      <c r="C1814" s="147"/>
      <c r="D1814" s="148" t="s">
        <v>789</v>
      </c>
      <c r="E1814" s="149">
        <v>5.31</v>
      </c>
      <c r="F1814" s="149">
        <v>2.88</v>
      </c>
      <c r="G1814" s="149">
        <v>24.03</v>
      </c>
      <c r="H1814" s="149">
        <v>2.73</v>
      </c>
      <c r="I1814" s="150">
        <v>34.949999999999996</v>
      </c>
    </row>
    <row r="1815" spans="1:9" ht="15.6" x14ac:dyDescent="0.25">
      <c r="A1815" s="145"/>
      <c r="B1815" s="146">
        <v>6932444</v>
      </c>
      <c r="C1815" s="147"/>
      <c r="D1815" s="148" t="s">
        <v>874</v>
      </c>
      <c r="E1815" s="149">
        <v>5.31</v>
      </c>
      <c r="F1815" s="149">
        <v>2.88</v>
      </c>
      <c r="G1815" s="149">
        <v>0</v>
      </c>
      <c r="H1815" s="149">
        <v>2.73</v>
      </c>
      <c r="I1815" s="150">
        <v>10.92</v>
      </c>
    </row>
    <row r="1816" spans="1:9" ht="15.6" x14ac:dyDescent="0.25">
      <c r="A1816" s="145"/>
      <c r="B1816" s="146">
        <v>6941127</v>
      </c>
      <c r="C1816" s="147"/>
      <c r="D1816" s="148" t="s">
        <v>904</v>
      </c>
      <c r="E1816" s="149">
        <v>0</v>
      </c>
      <c r="F1816" s="149">
        <v>0</v>
      </c>
      <c r="G1816" s="149">
        <v>0</v>
      </c>
      <c r="H1816" s="149">
        <v>2.73</v>
      </c>
      <c r="I1816" s="150">
        <v>2.73</v>
      </c>
    </row>
    <row r="1817" spans="1:9" ht="15.6" x14ac:dyDescent="0.25">
      <c r="A1817" s="145"/>
      <c r="B1817" s="146">
        <v>6949105</v>
      </c>
      <c r="C1817" s="147"/>
      <c r="D1817" s="148" t="s">
        <v>851</v>
      </c>
      <c r="E1817" s="149">
        <v>5.31</v>
      </c>
      <c r="F1817" s="149">
        <v>2.88</v>
      </c>
      <c r="G1817" s="149">
        <v>22.66</v>
      </c>
      <c r="H1817" s="149">
        <v>2.73</v>
      </c>
      <c r="I1817" s="150">
        <v>33.58</v>
      </c>
    </row>
    <row r="1818" spans="1:9" ht="15.6" x14ac:dyDescent="0.25">
      <c r="A1818" s="145"/>
      <c r="B1818" s="146">
        <v>6950890</v>
      </c>
      <c r="C1818" s="147"/>
      <c r="D1818" s="148" t="s">
        <v>918</v>
      </c>
      <c r="E1818" s="149">
        <v>5.31</v>
      </c>
      <c r="F1818" s="149">
        <v>2.88</v>
      </c>
      <c r="G1818" s="149">
        <v>0</v>
      </c>
      <c r="H1818" s="149">
        <v>0</v>
      </c>
      <c r="I1818" s="150">
        <v>8.19</v>
      </c>
    </row>
    <row r="1819" spans="1:9" ht="15.6" x14ac:dyDescent="0.25">
      <c r="A1819" s="145"/>
      <c r="B1819" s="146">
        <v>6957642</v>
      </c>
      <c r="C1819" s="147"/>
      <c r="D1819" s="148" t="s">
        <v>865</v>
      </c>
      <c r="E1819" s="149">
        <v>5.31</v>
      </c>
      <c r="F1819" s="149">
        <v>2.88</v>
      </c>
      <c r="G1819" s="149">
        <v>0</v>
      </c>
      <c r="H1819" s="149">
        <v>2.73</v>
      </c>
      <c r="I1819" s="150">
        <v>10.92</v>
      </c>
    </row>
    <row r="1820" spans="1:9" ht="15.6" x14ac:dyDescent="0.25">
      <c r="A1820" s="145"/>
      <c r="B1820" s="146">
        <v>6960358</v>
      </c>
      <c r="C1820" s="147"/>
      <c r="D1820" s="148" t="s">
        <v>868</v>
      </c>
      <c r="E1820" s="149">
        <v>5.31</v>
      </c>
      <c r="F1820" s="149">
        <v>2.88</v>
      </c>
      <c r="G1820" s="149">
        <v>0</v>
      </c>
      <c r="H1820" s="149">
        <v>2.73</v>
      </c>
      <c r="I1820" s="150">
        <v>10.92</v>
      </c>
    </row>
    <row r="1821" spans="1:9" ht="15.6" x14ac:dyDescent="0.25">
      <c r="A1821" s="145"/>
      <c r="B1821" s="146">
        <v>6960789</v>
      </c>
      <c r="C1821" s="147"/>
      <c r="D1821" s="148" t="s">
        <v>818</v>
      </c>
      <c r="E1821" s="149">
        <v>5.31</v>
      </c>
      <c r="F1821" s="149">
        <v>2.88</v>
      </c>
      <c r="G1821" s="149">
        <v>0</v>
      </c>
      <c r="H1821" s="149">
        <v>2.73</v>
      </c>
      <c r="I1821" s="150">
        <v>10.92</v>
      </c>
    </row>
    <row r="1822" spans="1:9" ht="15.6" x14ac:dyDescent="0.25">
      <c r="A1822" s="145"/>
      <c r="B1822" s="146">
        <v>6966971</v>
      </c>
      <c r="C1822" s="147"/>
      <c r="D1822" s="148" t="s">
        <v>919</v>
      </c>
      <c r="E1822" s="149">
        <v>0</v>
      </c>
      <c r="F1822" s="149">
        <v>0</v>
      </c>
      <c r="G1822" s="149">
        <v>0</v>
      </c>
      <c r="H1822" s="149">
        <v>0</v>
      </c>
      <c r="I1822" s="150">
        <v>0</v>
      </c>
    </row>
    <row r="1823" spans="1:9" ht="15.6" x14ac:dyDescent="0.25">
      <c r="A1823" s="145"/>
      <c r="B1823" s="146">
        <v>6973378</v>
      </c>
      <c r="C1823" s="147"/>
      <c r="D1823" s="148" t="s">
        <v>865</v>
      </c>
      <c r="E1823" s="149">
        <v>0</v>
      </c>
      <c r="F1823" s="149">
        <v>0</v>
      </c>
      <c r="G1823" s="149">
        <v>0</v>
      </c>
      <c r="H1823" s="149">
        <v>0</v>
      </c>
      <c r="I1823" s="150">
        <v>0</v>
      </c>
    </row>
    <row r="1824" spans="1:9" ht="15.6" x14ac:dyDescent="0.25">
      <c r="A1824" s="145"/>
      <c r="B1824" s="146">
        <v>6973840</v>
      </c>
      <c r="C1824" s="147"/>
      <c r="D1824" s="148" t="s">
        <v>788</v>
      </c>
      <c r="E1824" s="149">
        <v>5.31</v>
      </c>
      <c r="F1824" s="149">
        <v>2.88</v>
      </c>
      <c r="G1824" s="149">
        <v>0</v>
      </c>
      <c r="H1824" s="149">
        <v>2.73</v>
      </c>
      <c r="I1824" s="150">
        <v>10.92</v>
      </c>
    </row>
    <row r="1825" spans="1:9" ht="15.6" x14ac:dyDescent="0.25">
      <c r="A1825" s="145"/>
      <c r="B1825" s="146">
        <v>6973971</v>
      </c>
      <c r="C1825" s="147"/>
      <c r="D1825" s="148" t="s">
        <v>868</v>
      </c>
      <c r="E1825" s="149">
        <v>5.31</v>
      </c>
      <c r="F1825" s="149">
        <v>2.88</v>
      </c>
      <c r="G1825" s="149">
        <v>0</v>
      </c>
      <c r="H1825" s="149">
        <v>2.73</v>
      </c>
      <c r="I1825" s="150">
        <v>10.92</v>
      </c>
    </row>
    <row r="1826" spans="1:9" ht="15.6" x14ac:dyDescent="0.25">
      <c r="A1826" s="145"/>
      <c r="B1826" s="146">
        <v>6976905</v>
      </c>
      <c r="C1826" s="147"/>
      <c r="D1826" s="148" t="s">
        <v>849</v>
      </c>
      <c r="E1826" s="149">
        <v>0</v>
      </c>
      <c r="F1826" s="149">
        <v>0</v>
      </c>
      <c r="G1826" s="149">
        <v>0</v>
      </c>
      <c r="H1826" s="149">
        <v>2.73</v>
      </c>
      <c r="I1826" s="150">
        <v>2.73</v>
      </c>
    </row>
    <row r="1827" spans="1:9" ht="15.6" x14ac:dyDescent="0.25">
      <c r="A1827" s="145"/>
      <c r="B1827" s="146">
        <v>6986577</v>
      </c>
      <c r="C1827" s="147"/>
      <c r="D1827" s="148" t="s">
        <v>849</v>
      </c>
      <c r="E1827" s="149">
        <v>0</v>
      </c>
      <c r="F1827" s="149">
        <v>0</v>
      </c>
      <c r="G1827" s="149">
        <v>0</v>
      </c>
      <c r="H1827" s="149">
        <v>2.73</v>
      </c>
      <c r="I1827" s="150">
        <v>2.73</v>
      </c>
    </row>
    <row r="1828" spans="1:9" ht="15.6" x14ac:dyDescent="0.25">
      <c r="A1828" s="145"/>
      <c r="B1828" s="146">
        <v>6989781</v>
      </c>
      <c r="C1828" s="147"/>
      <c r="D1828" s="148" t="s">
        <v>921</v>
      </c>
      <c r="E1828" s="149">
        <v>0</v>
      </c>
      <c r="F1828" s="149">
        <v>0</v>
      </c>
      <c r="G1828" s="149">
        <v>0</v>
      </c>
      <c r="H1828" s="149">
        <v>0</v>
      </c>
      <c r="I1828" s="150">
        <v>0</v>
      </c>
    </row>
    <row r="1829" spans="1:9" ht="15.6" x14ac:dyDescent="0.25">
      <c r="A1829" s="145"/>
      <c r="B1829" s="146">
        <v>6991849</v>
      </c>
      <c r="C1829" s="147"/>
      <c r="D1829" s="148" t="s">
        <v>787</v>
      </c>
      <c r="E1829" s="149">
        <v>5.31</v>
      </c>
      <c r="F1829" s="149">
        <v>2.88</v>
      </c>
      <c r="G1829" s="149">
        <v>18.260000000000002</v>
      </c>
      <c r="H1829" s="149">
        <v>2.73</v>
      </c>
      <c r="I1829" s="150">
        <v>29.180000000000003</v>
      </c>
    </row>
    <row r="1830" spans="1:9" ht="15.6" x14ac:dyDescent="0.25">
      <c r="A1830" s="145"/>
      <c r="B1830" s="146">
        <v>6992897</v>
      </c>
      <c r="C1830" s="147"/>
      <c r="D1830" s="148" t="s">
        <v>929</v>
      </c>
      <c r="E1830" s="149">
        <v>5.31</v>
      </c>
      <c r="F1830" s="149">
        <v>2.88</v>
      </c>
      <c r="G1830" s="149">
        <v>0</v>
      </c>
      <c r="H1830" s="149">
        <v>2.73</v>
      </c>
      <c r="I1830" s="150">
        <v>10.92</v>
      </c>
    </row>
    <row r="1831" spans="1:9" ht="15.6" x14ac:dyDescent="0.25">
      <c r="A1831" s="145"/>
      <c r="B1831" s="146">
        <v>6993915</v>
      </c>
      <c r="C1831" s="147"/>
      <c r="D1831" s="148" t="s">
        <v>851</v>
      </c>
      <c r="E1831" s="149">
        <v>5.31</v>
      </c>
      <c r="F1831" s="149">
        <v>2.88</v>
      </c>
      <c r="G1831" s="149">
        <v>22.66</v>
      </c>
      <c r="H1831" s="149">
        <v>2.73</v>
      </c>
      <c r="I1831" s="150">
        <v>33.58</v>
      </c>
    </row>
    <row r="1832" spans="1:9" ht="15.6" x14ac:dyDescent="0.25">
      <c r="A1832" s="145"/>
      <c r="B1832" s="146">
        <v>6994146</v>
      </c>
      <c r="C1832" s="147"/>
      <c r="D1832" s="148" t="s">
        <v>818</v>
      </c>
      <c r="E1832" s="149">
        <v>5.31</v>
      </c>
      <c r="F1832" s="149">
        <v>2.88</v>
      </c>
      <c r="G1832" s="149">
        <v>0</v>
      </c>
      <c r="H1832" s="149">
        <v>2.73</v>
      </c>
      <c r="I1832" s="150">
        <v>10.92</v>
      </c>
    </row>
    <row r="1833" spans="1:9" ht="15.6" x14ac:dyDescent="0.25">
      <c r="A1833" s="145"/>
      <c r="B1833" s="146">
        <v>6997520</v>
      </c>
      <c r="C1833" s="147"/>
      <c r="D1833" s="148" t="s">
        <v>857</v>
      </c>
      <c r="E1833" s="149">
        <v>0</v>
      </c>
      <c r="F1833" s="149">
        <v>0</v>
      </c>
      <c r="G1833" s="149">
        <v>0</v>
      </c>
      <c r="H1833" s="149">
        <v>0</v>
      </c>
      <c r="I1833" s="150">
        <v>0</v>
      </c>
    </row>
    <row r="1834" spans="1:9" ht="15.6" x14ac:dyDescent="0.25">
      <c r="A1834" s="145"/>
      <c r="B1834" s="146">
        <v>7001691</v>
      </c>
      <c r="C1834" s="147"/>
      <c r="D1834" s="148" t="s">
        <v>911</v>
      </c>
      <c r="E1834" s="149">
        <v>5.31</v>
      </c>
      <c r="F1834" s="149">
        <v>0</v>
      </c>
      <c r="G1834" s="149">
        <v>0</v>
      </c>
      <c r="H1834" s="149">
        <v>2.73</v>
      </c>
      <c r="I1834" s="150">
        <v>8.0399999999999991</v>
      </c>
    </row>
    <row r="1835" spans="1:9" ht="15.6" x14ac:dyDescent="0.25">
      <c r="A1835" s="145"/>
      <c r="B1835" s="146">
        <v>7001938</v>
      </c>
      <c r="C1835" s="147"/>
      <c r="D1835" s="148" t="s">
        <v>873</v>
      </c>
      <c r="E1835" s="149">
        <v>5.31</v>
      </c>
      <c r="F1835" s="149">
        <v>2.88</v>
      </c>
      <c r="G1835" s="149">
        <v>0</v>
      </c>
      <c r="H1835" s="149">
        <v>2.73</v>
      </c>
      <c r="I1835" s="150">
        <v>10.92</v>
      </c>
    </row>
    <row r="1836" spans="1:9" ht="15.6" x14ac:dyDescent="0.25">
      <c r="A1836" s="145"/>
      <c r="B1836" s="146">
        <v>7005512</v>
      </c>
      <c r="C1836" s="147"/>
      <c r="D1836" s="148" t="s">
        <v>843</v>
      </c>
      <c r="E1836" s="149">
        <v>5.31</v>
      </c>
      <c r="F1836" s="149">
        <v>2.88</v>
      </c>
      <c r="G1836" s="149">
        <v>0</v>
      </c>
      <c r="H1836" s="149">
        <v>2.73</v>
      </c>
      <c r="I1836" s="150">
        <v>10.92</v>
      </c>
    </row>
    <row r="1837" spans="1:9" ht="15.6" x14ac:dyDescent="0.25">
      <c r="A1837" s="145"/>
      <c r="B1837" s="146">
        <v>7019986</v>
      </c>
      <c r="C1837" s="147"/>
      <c r="D1837" s="148" t="s">
        <v>868</v>
      </c>
      <c r="E1837" s="149">
        <v>5.31</v>
      </c>
      <c r="F1837" s="149">
        <v>2.88</v>
      </c>
      <c r="G1837" s="149">
        <v>0</v>
      </c>
      <c r="H1837" s="149">
        <v>2.73</v>
      </c>
      <c r="I1837" s="150">
        <v>10.92</v>
      </c>
    </row>
    <row r="1838" spans="1:9" ht="15.6" x14ac:dyDescent="0.25">
      <c r="A1838" s="145"/>
      <c r="B1838" s="146">
        <v>7020686</v>
      </c>
      <c r="C1838" s="147"/>
      <c r="D1838" s="148" t="s">
        <v>856</v>
      </c>
      <c r="E1838" s="149">
        <v>5.31</v>
      </c>
      <c r="F1838" s="149">
        <v>2.88</v>
      </c>
      <c r="G1838" s="149">
        <v>0</v>
      </c>
      <c r="H1838" s="149">
        <v>2.73</v>
      </c>
      <c r="I1838" s="150">
        <v>10.92</v>
      </c>
    </row>
    <row r="1839" spans="1:9" ht="15.6" x14ac:dyDescent="0.25">
      <c r="A1839" s="145"/>
      <c r="B1839" s="146">
        <v>7021757</v>
      </c>
      <c r="C1839" s="147"/>
      <c r="D1839" s="148" t="s">
        <v>934</v>
      </c>
      <c r="E1839" s="149">
        <v>5.31</v>
      </c>
      <c r="F1839" s="149">
        <v>2.88</v>
      </c>
      <c r="G1839" s="149">
        <v>0</v>
      </c>
      <c r="H1839" s="149">
        <v>2.73</v>
      </c>
      <c r="I1839" s="150">
        <v>10.92</v>
      </c>
    </row>
    <row r="1840" spans="1:9" ht="15.6" x14ac:dyDescent="0.25">
      <c r="A1840" s="145"/>
      <c r="B1840" s="146">
        <v>7023595</v>
      </c>
      <c r="C1840" s="147"/>
      <c r="D1840" s="148" t="s">
        <v>919</v>
      </c>
      <c r="E1840" s="149">
        <v>5.31</v>
      </c>
      <c r="F1840" s="149">
        <v>2.88</v>
      </c>
      <c r="G1840" s="149">
        <v>0</v>
      </c>
      <c r="H1840" s="149">
        <v>2.73</v>
      </c>
      <c r="I1840" s="150">
        <v>10.92</v>
      </c>
    </row>
    <row r="1841" spans="1:9" ht="15.6" x14ac:dyDescent="0.25">
      <c r="A1841" s="145"/>
      <c r="B1841" s="146">
        <v>7024096</v>
      </c>
      <c r="C1841" s="147"/>
      <c r="D1841" s="148" t="s">
        <v>948</v>
      </c>
      <c r="E1841" s="149">
        <v>5.31</v>
      </c>
      <c r="F1841" s="149">
        <v>2.88</v>
      </c>
      <c r="G1841" s="149">
        <v>0</v>
      </c>
      <c r="H1841" s="149">
        <v>2.73</v>
      </c>
      <c r="I1841" s="150">
        <v>10.92</v>
      </c>
    </row>
    <row r="1842" spans="1:9" ht="15.6" x14ac:dyDescent="0.25">
      <c r="A1842" s="145"/>
      <c r="B1842" s="146">
        <v>7030057</v>
      </c>
      <c r="C1842" s="147"/>
      <c r="D1842" s="148" t="s">
        <v>853</v>
      </c>
      <c r="E1842" s="149">
        <v>5.31</v>
      </c>
      <c r="F1842" s="149">
        <v>2.88</v>
      </c>
      <c r="G1842" s="149">
        <v>0</v>
      </c>
      <c r="H1842" s="149">
        <v>2.73</v>
      </c>
      <c r="I1842" s="150">
        <v>10.92</v>
      </c>
    </row>
    <row r="1843" spans="1:9" ht="15.6" x14ac:dyDescent="0.25">
      <c r="A1843" s="145"/>
      <c r="B1843" s="146">
        <v>7036047</v>
      </c>
      <c r="C1843" s="147"/>
      <c r="D1843" s="148" t="s">
        <v>871</v>
      </c>
      <c r="E1843" s="149">
        <v>5.31</v>
      </c>
      <c r="F1843" s="149">
        <v>2.88</v>
      </c>
      <c r="G1843" s="149">
        <v>0</v>
      </c>
      <c r="H1843" s="149">
        <v>2.73</v>
      </c>
      <c r="I1843" s="150">
        <v>10.92</v>
      </c>
    </row>
    <row r="1844" spans="1:9" ht="15.6" x14ac:dyDescent="0.25">
      <c r="A1844" s="145"/>
      <c r="B1844" s="146">
        <v>7036511</v>
      </c>
      <c r="C1844" s="147"/>
      <c r="D1844" s="148" t="s">
        <v>879</v>
      </c>
      <c r="E1844" s="149">
        <v>0</v>
      </c>
      <c r="F1844" s="149">
        <v>0</v>
      </c>
      <c r="G1844" s="149">
        <v>0</v>
      </c>
      <c r="H1844" s="149">
        <v>0</v>
      </c>
      <c r="I1844" s="150">
        <v>0</v>
      </c>
    </row>
    <row r="1845" spans="1:9" ht="15.6" x14ac:dyDescent="0.25">
      <c r="A1845" s="145"/>
      <c r="B1845" s="146">
        <v>7044010</v>
      </c>
      <c r="C1845" s="147"/>
      <c r="D1845" s="148" t="s">
        <v>919</v>
      </c>
      <c r="E1845" s="149">
        <v>5.31</v>
      </c>
      <c r="F1845" s="149">
        <v>2.88</v>
      </c>
      <c r="G1845" s="149">
        <v>0</v>
      </c>
      <c r="H1845" s="149">
        <v>2.73</v>
      </c>
      <c r="I1845" s="150">
        <v>10.92</v>
      </c>
    </row>
    <row r="1846" spans="1:9" ht="15.6" x14ac:dyDescent="0.25">
      <c r="A1846" s="145"/>
      <c r="B1846" s="146">
        <v>7046350</v>
      </c>
      <c r="C1846" s="147"/>
      <c r="D1846" s="148" t="s">
        <v>921</v>
      </c>
      <c r="E1846" s="149">
        <v>0</v>
      </c>
      <c r="F1846" s="149">
        <v>0</v>
      </c>
      <c r="G1846" s="149">
        <v>0</v>
      </c>
      <c r="H1846" s="149">
        <v>0</v>
      </c>
      <c r="I1846" s="150">
        <v>0</v>
      </c>
    </row>
    <row r="1847" spans="1:9" ht="15.6" x14ac:dyDescent="0.25">
      <c r="A1847" s="145"/>
      <c r="B1847" s="146">
        <v>7047817</v>
      </c>
      <c r="C1847" s="147"/>
      <c r="D1847" s="148" t="s">
        <v>813</v>
      </c>
      <c r="E1847" s="149">
        <v>0</v>
      </c>
      <c r="F1847" s="149">
        <v>0</v>
      </c>
      <c r="G1847" s="149">
        <v>0</v>
      </c>
      <c r="H1847" s="149">
        <v>0</v>
      </c>
      <c r="I1847" s="150">
        <v>0</v>
      </c>
    </row>
    <row r="1848" spans="1:9" ht="15.6" x14ac:dyDescent="0.25">
      <c r="A1848" s="145"/>
      <c r="B1848" s="146">
        <v>7048293</v>
      </c>
      <c r="C1848" s="147"/>
      <c r="D1848" s="148" t="s">
        <v>781</v>
      </c>
      <c r="E1848" s="149">
        <v>5.31</v>
      </c>
      <c r="F1848" s="149">
        <v>2.88</v>
      </c>
      <c r="G1848" s="149">
        <v>0</v>
      </c>
      <c r="H1848" s="149">
        <v>2.73</v>
      </c>
      <c r="I1848" s="150">
        <v>10.92</v>
      </c>
    </row>
    <row r="1849" spans="1:9" ht="15.6" x14ac:dyDescent="0.25">
      <c r="A1849" s="145"/>
      <c r="B1849" s="146">
        <v>7048908</v>
      </c>
      <c r="C1849" s="147"/>
      <c r="D1849" s="148" t="s">
        <v>945</v>
      </c>
      <c r="E1849" s="149">
        <v>0</v>
      </c>
      <c r="F1849" s="149">
        <v>0</v>
      </c>
      <c r="G1849" s="149">
        <v>0</v>
      </c>
      <c r="H1849" s="149">
        <v>0</v>
      </c>
      <c r="I1849" s="150">
        <v>0</v>
      </c>
    </row>
    <row r="1850" spans="1:9" ht="15.6" x14ac:dyDescent="0.25">
      <c r="A1850" s="145"/>
      <c r="B1850" s="146">
        <v>7053750</v>
      </c>
      <c r="C1850" s="147"/>
      <c r="D1850" s="148" t="s">
        <v>880</v>
      </c>
      <c r="E1850" s="149">
        <v>5.31</v>
      </c>
      <c r="F1850" s="149">
        <v>2.88</v>
      </c>
      <c r="G1850" s="149">
        <v>0</v>
      </c>
      <c r="H1850" s="149">
        <v>0</v>
      </c>
      <c r="I1850" s="150">
        <v>8.19</v>
      </c>
    </row>
    <row r="1851" spans="1:9" ht="15.6" x14ac:dyDescent="0.25">
      <c r="A1851" s="145"/>
      <c r="B1851" s="146">
        <v>7059156</v>
      </c>
      <c r="C1851" s="147"/>
      <c r="D1851" s="148" t="s">
        <v>956</v>
      </c>
      <c r="E1851" s="149">
        <v>0</v>
      </c>
      <c r="F1851" s="149">
        <v>2.88</v>
      </c>
      <c r="G1851" s="149">
        <v>0</v>
      </c>
      <c r="H1851" s="149">
        <v>2.73</v>
      </c>
      <c r="I1851" s="150">
        <v>5.6099999999999994</v>
      </c>
    </row>
    <row r="1852" spans="1:9" ht="15.6" x14ac:dyDescent="0.25">
      <c r="A1852" s="145"/>
      <c r="B1852" s="146">
        <v>7061259</v>
      </c>
      <c r="C1852" s="147"/>
      <c r="D1852" s="148" t="s">
        <v>966</v>
      </c>
      <c r="E1852" s="149">
        <v>5.31</v>
      </c>
      <c r="F1852" s="149">
        <v>2.88</v>
      </c>
      <c r="G1852" s="149">
        <v>0</v>
      </c>
      <c r="H1852" s="149">
        <v>2.73</v>
      </c>
      <c r="I1852" s="150">
        <v>10.92</v>
      </c>
    </row>
    <row r="1853" spans="1:9" ht="15.6" x14ac:dyDescent="0.25">
      <c r="A1853" s="145"/>
      <c r="B1853" s="146">
        <v>7063137</v>
      </c>
      <c r="C1853" s="147"/>
      <c r="D1853" s="148" t="s">
        <v>927</v>
      </c>
      <c r="E1853" s="149">
        <v>0</v>
      </c>
      <c r="F1853" s="149">
        <v>0</v>
      </c>
      <c r="G1853" s="149">
        <v>0</v>
      </c>
      <c r="H1853" s="149">
        <v>2.73</v>
      </c>
      <c r="I1853" s="150">
        <v>2.73</v>
      </c>
    </row>
    <row r="1854" spans="1:9" ht="15.6" x14ac:dyDescent="0.25">
      <c r="A1854" s="145"/>
      <c r="B1854" s="146">
        <v>7064581</v>
      </c>
      <c r="C1854" s="147"/>
      <c r="D1854" s="148" t="s">
        <v>764</v>
      </c>
      <c r="E1854" s="149">
        <v>5.31</v>
      </c>
      <c r="F1854" s="149">
        <v>2.88</v>
      </c>
      <c r="G1854" s="149">
        <v>0</v>
      </c>
      <c r="H1854" s="149">
        <v>2.73</v>
      </c>
      <c r="I1854" s="150">
        <v>10.92</v>
      </c>
    </row>
    <row r="1855" spans="1:9" ht="15.6" x14ac:dyDescent="0.25">
      <c r="A1855" s="145"/>
      <c r="B1855" s="146">
        <v>7071908</v>
      </c>
      <c r="C1855" s="147"/>
      <c r="D1855" s="148" t="s">
        <v>850</v>
      </c>
      <c r="E1855" s="149">
        <v>0</v>
      </c>
      <c r="F1855" s="149">
        <v>0</v>
      </c>
      <c r="G1855" s="149">
        <v>0</v>
      </c>
      <c r="H1855" s="149">
        <v>0</v>
      </c>
      <c r="I1855" s="150">
        <v>0</v>
      </c>
    </row>
    <row r="1856" spans="1:9" ht="15.6" x14ac:dyDescent="0.25">
      <c r="A1856" s="145"/>
      <c r="B1856" s="146">
        <v>7076997</v>
      </c>
      <c r="C1856" s="147"/>
      <c r="D1856" s="148" t="s">
        <v>768</v>
      </c>
      <c r="E1856" s="149">
        <v>0</v>
      </c>
      <c r="F1856" s="149">
        <v>0</v>
      </c>
      <c r="G1856" s="149">
        <v>0</v>
      </c>
      <c r="H1856" s="149">
        <v>0</v>
      </c>
      <c r="I1856" s="150">
        <v>0</v>
      </c>
    </row>
    <row r="1857" spans="1:9" ht="15.6" x14ac:dyDescent="0.25">
      <c r="A1857" s="145"/>
      <c r="B1857" s="146">
        <v>7080468</v>
      </c>
      <c r="C1857" s="147"/>
      <c r="D1857" s="148" t="s">
        <v>849</v>
      </c>
      <c r="E1857" s="149">
        <v>0</v>
      </c>
      <c r="F1857" s="149">
        <v>0</v>
      </c>
      <c r="G1857" s="149">
        <v>0</v>
      </c>
      <c r="H1857" s="149">
        <v>2.73</v>
      </c>
      <c r="I1857" s="150">
        <v>2.73</v>
      </c>
    </row>
    <row r="1858" spans="1:9" ht="15.6" x14ac:dyDescent="0.25">
      <c r="A1858" s="145"/>
      <c r="B1858" s="146">
        <v>7081884</v>
      </c>
      <c r="C1858" s="147"/>
      <c r="D1858" s="148" t="s">
        <v>904</v>
      </c>
      <c r="E1858" s="149">
        <v>0</v>
      </c>
      <c r="F1858" s="149">
        <v>0</v>
      </c>
      <c r="G1858" s="149">
        <v>0</v>
      </c>
      <c r="H1858" s="149">
        <v>2.73</v>
      </c>
      <c r="I1858" s="150">
        <v>2.73</v>
      </c>
    </row>
    <row r="1859" spans="1:9" ht="15.6" x14ac:dyDescent="0.25">
      <c r="A1859" s="145"/>
      <c r="B1859" s="146">
        <v>7084595</v>
      </c>
      <c r="C1859" s="147"/>
      <c r="D1859" s="148" t="s">
        <v>938</v>
      </c>
      <c r="E1859" s="149">
        <v>0</v>
      </c>
      <c r="F1859" s="149">
        <v>2.88</v>
      </c>
      <c r="G1859" s="149">
        <v>0</v>
      </c>
      <c r="H1859" s="149">
        <v>0</v>
      </c>
      <c r="I1859" s="150">
        <v>2.88</v>
      </c>
    </row>
    <row r="1860" spans="1:9" ht="15.6" x14ac:dyDescent="0.25">
      <c r="A1860" s="145"/>
      <c r="B1860" s="146">
        <v>7094198</v>
      </c>
      <c r="C1860" s="147"/>
      <c r="D1860" s="148" t="s">
        <v>787</v>
      </c>
      <c r="E1860" s="149">
        <v>5.31</v>
      </c>
      <c r="F1860" s="149">
        <v>2.88</v>
      </c>
      <c r="G1860" s="149">
        <v>18.260000000000002</v>
      </c>
      <c r="H1860" s="149">
        <v>2.73</v>
      </c>
      <c r="I1860" s="150">
        <v>29.180000000000003</v>
      </c>
    </row>
    <row r="1861" spans="1:9" ht="15.6" x14ac:dyDescent="0.25">
      <c r="A1861" s="145"/>
      <c r="B1861" s="146">
        <v>7100418</v>
      </c>
      <c r="C1861" s="147"/>
      <c r="D1861" s="148" t="s">
        <v>890</v>
      </c>
      <c r="E1861" s="149">
        <v>0</v>
      </c>
      <c r="F1861" s="149">
        <v>0</v>
      </c>
      <c r="G1861" s="149">
        <v>0</v>
      </c>
      <c r="H1861" s="149">
        <v>2.73</v>
      </c>
      <c r="I1861" s="150">
        <v>2.73</v>
      </c>
    </row>
    <row r="1862" spans="1:9" ht="15.6" x14ac:dyDescent="0.25">
      <c r="A1862" s="145"/>
      <c r="B1862" s="146">
        <v>7100806</v>
      </c>
      <c r="C1862" s="147"/>
      <c r="D1862" s="148" t="s">
        <v>790</v>
      </c>
      <c r="E1862" s="149">
        <v>5.31</v>
      </c>
      <c r="F1862" s="149">
        <v>2.88</v>
      </c>
      <c r="G1862" s="149">
        <v>24.03</v>
      </c>
      <c r="H1862" s="149">
        <v>2.73</v>
      </c>
      <c r="I1862" s="150">
        <v>34.949999999999996</v>
      </c>
    </row>
    <row r="1863" spans="1:9" ht="15.6" x14ac:dyDescent="0.25">
      <c r="A1863" s="145"/>
      <c r="B1863" s="146">
        <v>7103371</v>
      </c>
      <c r="C1863" s="147"/>
      <c r="D1863" s="148" t="s">
        <v>873</v>
      </c>
      <c r="E1863" s="149">
        <v>5.31</v>
      </c>
      <c r="F1863" s="149">
        <v>2.88</v>
      </c>
      <c r="G1863" s="149">
        <v>0</v>
      </c>
      <c r="H1863" s="149">
        <v>2.73</v>
      </c>
      <c r="I1863" s="150">
        <v>10.92</v>
      </c>
    </row>
    <row r="1864" spans="1:9" ht="15.6" x14ac:dyDescent="0.25">
      <c r="A1864" s="145"/>
      <c r="B1864" s="146">
        <v>7107591</v>
      </c>
      <c r="C1864" s="147"/>
      <c r="D1864" s="148" t="s">
        <v>857</v>
      </c>
      <c r="E1864" s="149">
        <v>0</v>
      </c>
      <c r="F1864" s="149">
        <v>0</v>
      </c>
      <c r="G1864" s="149">
        <v>0</v>
      </c>
      <c r="H1864" s="149">
        <v>0</v>
      </c>
      <c r="I1864" s="150">
        <v>0</v>
      </c>
    </row>
    <row r="1865" spans="1:9" ht="15.6" x14ac:dyDescent="0.25">
      <c r="A1865" s="145"/>
      <c r="B1865" s="146">
        <v>7109693</v>
      </c>
      <c r="C1865" s="147"/>
      <c r="D1865" s="148" t="s">
        <v>830</v>
      </c>
      <c r="E1865" s="149">
        <v>5.31</v>
      </c>
      <c r="F1865" s="149">
        <v>2.88</v>
      </c>
      <c r="G1865" s="149">
        <v>0</v>
      </c>
      <c r="H1865" s="149">
        <v>2.73</v>
      </c>
      <c r="I1865" s="150">
        <v>10.92</v>
      </c>
    </row>
    <row r="1866" spans="1:9" ht="15.6" x14ac:dyDescent="0.25">
      <c r="A1866" s="145"/>
      <c r="B1866" s="146">
        <v>7114222</v>
      </c>
      <c r="C1866" s="147"/>
      <c r="D1866" s="148" t="s">
        <v>868</v>
      </c>
      <c r="E1866" s="149">
        <v>5.31</v>
      </c>
      <c r="F1866" s="149">
        <v>2.88</v>
      </c>
      <c r="G1866" s="149">
        <v>0</v>
      </c>
      <c r="H1866" s="149">
        <v>2.73</v>
      </c>
      <c r="I1866" s="150">
        <v>10.92</v>
      </c>
    </row>
    <row r="1867" spans="1:9" ht="15.6" x14ac:dyDescent="0.25">
      <c r="A1867" s="145"/>
      <c r="B1867" s="146">
        <v>7116130</v>
      </c>
      <c r="C1867" s="147"/>
      <c r="D1867" s="148" t="s">
        <v>929</v>
      </c>
      <c r="E1867" s="149">
        <v>5.31</v>
      </c>
      <c r="F1867" s="149">
        <v>2.88</v>
      </c>
      <c r="G1867" s="149">
        <v>0</v>
      </c>
      <c r="H1867" s="149">
        <v>2.73</v>
      </c>
      <c r="I1867" s="150">
        <v>10.92</v>
      </c>
    </row>
    <row r="1868" spans="1:9" ht="15.6" x14ac:dyDescent="0.25">
      <c r="A1868" s="145"/>
      <c r="B1868" s="146">
        <v>7117411</v>
      </c>
      <c r="C1868" s="147"/>
      <c r="D1868" s="148" t="s">
        <v>868</v>
      </c>
      <c r="E1868" s="149">
        <v>5.31</v>
      </c>
      <c r="F1868" s="149">
        <v>2.88</v>
      </c>
      <c r="G1868" s="149">
        <v>0</v>
      </c>
      <c r="H1868" s="149">
        <v>2.73</v>
      </c>
      <c r="I1868" s="150">
        <v>10.92</v>
      </c>
    </row>
    <row r="1869" spans="1:9" ht="15.6" x14ac:dyDescent="0.25">
      <c r="A1869" s="145"/>
      <c r="B1869" s="146">
        <v>7120771</v>
      </c>
      <c r="C1869" s="147"/>
      <c r="D1869" s="148" t="s">
        <v>789</v>
      </c>
      <c r="E1869" s="149">
        <v>5.31</v>
      </c>
      <c r="F1869" s="149">
        <v>2.88</v>
      </c>
      <c r="G1869" s="149">
        <v>24.03</v>
      </c>
      <c r="H1869" s="149">
        <v>2.73</v>
      </c>
      <c r="I1869" s="150">
        <v>34.949999999999996</v>
      </c>
    </row>
    <row r="1870" spans="1:9" ht="15.6" x14ac:dyDescent="0.25">
      <c r="A1870" s="145"/>
      <c r="B1870" s="146">
        <v>7121162</v>
      </c>
      <c r="C1870" s="147"/>
      <c r="D1870" s="148" t="s">
        <v>720</v>
      </c>
      <c r="E1870" s="149">
        <v>0</v>
      </c>
      <c r="F1870" s="149">
        <v>0</v>
      </c>
      <c r="G1870" s="149">
        <v>0</v>
      </c>
      <c r="H1870" s="149">
        <v>0</v>
      </c>
      <c r="I1870" s="150">
        <v>0</v>
      </c>
    </row>
    <row r="1871" spans="1:9" ht="15.6" x14ac:dyDescent="0.25">
      <c r="A1871" s="145"/>
      <c r="B1871" s="146">
        <v>7130175</v>
      </c>
      <c r="C1871" s="147"/>
      <c r="D1871" s="148" t="s">
        <v>894</v>
      </c>
      <c r="E1871" s="149">
        <v>5.31</v>
      </c>
      <c r="F1871" s="149">
        <v>2.88</v>
      </c>
      <c r="G1871" s="149">
        <v>0</v>
      </c>
      <c r="H1871" s="149">
        <v>0</v>
      </c>
      <c r="I1871" s="150">
        <v>8.19</v>
      </c>
    </row>
    <row r="1872" spans="1:9" ht="15.6" x14ac:dyDescent="0.25">
      <c r="A1872" s="145"/>
      <c r="B1872" s="146">
        <v>7131189</v>
      </c>
      <c r="C1872" s="147"/>
      <c r="D1872" s="148" t="s">
        <v>911</v>
      </c>
      <c r="E1872" s="149">
        <v>5.31</v>
      </c>
      <c r="F1872" s="149">
        <v>0</v>
      </c>
      <c r="G1872" s="149">
        <v>0</v>
      </c>
      <c r="H1872" s="149">
        <v>2.73</v>
      </c>
      <c r="I1872" s="150">
        <v>8.0399999999999991</v>
      </c>
    </row>
    <row r="1873" spans="1:9" ht="15.6" x14ac:dyDescent="0.25">
      <c r="A1873" s="145"/>
      <c r="B1873" s="146">
        <v>7131931</v>
      </c>
      <c r="C1873" s="147"/>
      <c r="D1873" s="148" t="s">
        <v>831</v>
      </c>
      <c r="E1873" s="149">
        <v>5.31</v>
      </c>
      <c r="F1873" s="149">
        <v>2.88</v>
      </c>
      <c r="G1873" s="149">
        <v>0</v>
      </c>
      <c r="H1873" s="149">
        <v>2.73</v>
      </c>
      <c r="I1873" s="150">
        <v>10.92</v>
      </c>
    </row>
    <row r="1874" spans="1:9" ht="15.6" x14ac:dyDescent="0.25">
      <c r="A1874" s="145"/>
      <c r="B1874" s="146">
        <v>7131939</v>
      </c>
      <c r="C1874" s="147"/>
      <c r="D1874" s="148" t="s">
        <v>835</v>
      </c>
      <c r="E1874" s="149">
        <v>5.31</v>
      </c>
      <c r="F1874" s="149">
        <v>2.88</v>
      </c>
      <c r="G1874" s="149">
        <v>0</v>
      </c>
      <c r="H1874" s="149">
        <v>2.73</v>
      </c>
      <c r="I1874" s="150">
        <v>10.92</v>
      </c>
    </row>
    <row r="1875" spans="1:9" ht="15.6" x14ac:dyDescent="0.25">
      <c r="A1875" s="145"/>
      <c r="B1875" s="146">
        <v>7133293</v>
      </c>
      <c r="C1875" s="147"/>
      <c r="D1875" s="148" t="s">
        <v>873</v>
      </c>
      <c r="E1875" s="149">
        <v>5.31</v>
      </c>
      <c r="F1875" s="149">
        <v>2.88</v>
      </c>
      <c r="G1875" s="149">
        <v>0</v>
      </c>
      <c r="H1875" s="149">
        <v>2.73</v>
      </c>
      <c r="I1875" s="150">
        <v>10.92</v>
      </c>
    </row>
    <row r="1876" spans="1:9" ht="15.6" x14ac:dyDescent="0.25">
      <c r="A1876" s="145"/>
      <c r="B1876" s="146">
        <v>7137737</v>
      </c>
      <c r="C1876" s="147"/>
      <c r="D1876" s="148" t="s">
        <v>911</v>
      </c>
      <c r="E1876" s="149">
        <v>5.31</v>
      </c>
      <c r="F1876" s="149">
        <v>0</v>
      </c>
      <c r="G1876" s="149">
        <v>0</v>
      </c>
      <c r="H1876" s="149">
        <v>2.73</v>
      </c>
      <c r="I1876" s="150">
        <v>8.0399999999999991</v>
      </c>
    </row>
    <row r="1877" spans="1:9" ht="15.6" x14ac:dyDescent="0.25">
      <c r="A1877" s="145"/>
      <c r="B1877" s="146">
        <v>7138134</v>
      </c>
      <c r="C1877" s="147"/>
      <c r="D1877" s="148" t="s">
        <v>857</v>
      </c>
      <c r="E1877" s="149">
        <v>0</v>
      </c>
      <c r="F1877" s="149">
        <v>0</v>
      </c>
      <c r="G1877" s="149">
        <v>0</v>
      </c>
      <c r="H1877" s="149">
        <v>0</v>
      </c>
      <c r="I1877" s="150">
        <v>0</v>
      </c>
    </row>
    <row r="1878" spans="1:9" ht="15.6" x14ac:dyDescent="0.25">
      <c r="A1878" s="145"/>
      <c r="B1878" s="146">
        <v>7141619</v>
      </c>
      <c r="C1878" s="147"/>
      <c r="D1878" s="148" t="s">
        <v>868</v>
      </c>
      <c r="E1878" s="149">
        <v>5.31</v>
      </c>
      <c r="F1878" s="149">
        <v>2.88</v>
      </c>
      <c r="G1878" s="149">
        <v>0</v>
      </c>
      <c r="H1878" s="149">
        <v>2.73</v>
      </c>
      <c r="I1878" s="150">
        <v>10.92</v>
      </c>
    </row>
    <row r="1879" spans="1:9" ht="15.6" x14ac:dyDescent="0.25">
      <c r="A1879" s="145"/>
      <c r="B1879" s="146">
        <v>7142025</v>
      </c>
      <c r="C1879" s="147"/>
      <c r="D1879" s="148" t="s">
        <v>780</v>
      </c>
      <c r="E1879" s="149">
        <v>5.31</v>
      </c>
      <c r="F1879" s="149">
        <v>2.88</v>
      </c>
      <c r="G1879" s="149">
        <v>43.83</v>
      </c>
      <c r="H1879" s="149">
        <v>2.73</v>
      </c>
      <c r="I1879" s="150">
        <v>54.749999999999993</v>
      </c>
    </row>
    <row r="1880" spans="1:9" ht="15.6" x14ac:dyDescent="0.25">
      <c r="A1880" s="145"/>
      <c r="B1880" s="146">
        <v>7145400</v>
      </c>
      <c r="C1880" s="147"/>
      <c r="D1880" s="148" t="s">
        <v>747</v>
      </c>
      <c r="E1880" s="149">
        <v>5.31</v>
      </c>
      <c r="F1880" s="149">
        <v>2.88</v>
      </c>
      <c r="G1880" s="149">
        <v>0</v>
      </c>
      <c r="H1880" s="149">
        <v>2.73</v>
      </c>
      <c r="I1880" s="150">
        <v>10.92</v>
      </c>
    </row>
    <row r="1881" spans="1:9" ht="15.6" x14ac:dyDescent="0.25">
      <c r="A1881" s="145"/>
      <c r="B1881" s="146">
        <v>7147914</v>
      </c>
      <c r="C1881" s="147"/>
      <c r="D1881" s="148" t="s">
        <v>762</v>
      </c>
      <c r="E1881" s="149">
        <v>0</v>
      </c>
      <c r="F1881" s="149">
        <v>0</v>
      </c>
      <c r="G1881" s="149">
        <v>0</v>
      </c>
      <c r="H1881" s="149">
        <v>0</v>
      </c>
      <c r="I1881" s="150">
        <v>0</v>
      </c>
    </row>
    <row r="1882" spans="1:9" ht="15.6" x14ac:dyDescent="0.25">
      <c r="A1882" s="145"/>
      <c r="B1882" s="146">
        <v>7153379</v>
      </c>
      <c r="C1882" s="147"/>
      <c r="D1882" s="148" t="s">
        <v>789</v>
      </c>
      <c r="E1882" s="149">
        <v>5.31</v>
      </c>
      <c r="F1882" s="149">
        <v>2.88</v>
      </c>
      <c r="G1882" s="149">
        <v>32.92</v>
      </c>
      <c r="H1882" s="149">
        <v>2.73</v>
      </c>
      <c r="I1882" s="150">
        <v>43.839999999999996</v>
      </c>
    </row>
    <row r="1883" spans="1:9" ht="15.6" x14ac:dyDescent="0.25">
      <c r="A1883" s="145"/>
      <c r="B1883" s="146">
        <v>7154594</v>
      </c>
      <c r="C1883" s="147"/>
      <c r="D1883" s="148" t="s">
        <v>911</v>
      </c>
      <c r="E1883" s="149">
        <v>5.31</v>
      </c>
      <c r="F1883" s="149">
        <v>0</v>
      </c>
      <c r="G1883" s="149">
        <v>0</v>
      </c>
      <c r="H1883" s="149">
        <v>2.73</v>
      </c>
      <c r="I1883" s="150">
        <v>8.0399999999999991</v>
      </c>
    </row>
    <row r="1884" spans="1:9" ht="15.6" x14ac:dyDescent="0.25">
      <c r="A1884" s="145"/>
      <c r="B1884" s="146">
        <v>7154928</v>
      </c>
      <c r="C1884" s="147"/>
      <c r="D1884" s="148" t="s">
        <v>794</v>
      </c>
      <c r="E1884" s="149">
        <v>0</v>
      </c>
      <c r="F1884" s="149">
        <v>0</v>
      </c>
      <c r="G1884" s="149">
        <v>0</v>
      </c>
      <c r="H1884" s="149">
        <v>0</v>
      </c>
      <c r="I1884" s="150">
        <v>0</v>
      </c>
    </row>
    <row r="1885" spans="1:9" ht="15.6" x14ac:dyDescent="0.25">
      <c r="A1885" s="145"/>
      <c r="B1885" s="146">
        <v>7155649</v>
      </c>
      <c r="C1885" s="147"/>
      <c r="D1885" s="148" t="s">
        <v>874</v>
      </c>
      <c r="E1885" s="149">
        <v>5.31</v>
      </c>
      <c r="F1885" s="149">
        <v>2.88</v>
      </c>
      <c r="G1885" s="149">
        <v>0</v>
      </c>
      <c r="H1885" s="149">
        <v>2.73</v>
      </c>
      <c r="I1885" s="150">
        <v>10.92</v>
      </c>
    </row>
    <row r="1886" spans="1:9" ht="15.6" x14ac:dyDescent="0.25">
      <c r="A1886" s="145"/>
      <c r="B1886" s="146">
        <v>7168492</v>
      </c>
      <c r="C1886" s="147"/>
      <c r="D1886" s="148" t="s">
        <v>848</v>
      </c>
      <c r="E1886" s="149">
        <v>5.31</v>
      </c>
      <c r="F1886" s="149">
        <v>2.88</v>
      </c>
      <c r="G1886" s="149">
        <v>0</v>
      </c>
      <c r="H1886" s="149">
        <v>2.73</v>
      </c>
      <c r="I1886" s="150">
        <v>10.92</v>
      </c>
    </row>
    <row r="1887" spans="1:9" ht="15.6" x14ac:dyDescent="0.25">
      <c r="A1887" s="145"/>
      <c r="B1887" s="146">
        <v>7169004</v>
      </c>
      <c r="C1887" s="147"/>
      <c r="D1887" s="148" t="s">
        <v>747</v>
      </c>
      <c r="E1887" s="149">
        <v>5.31</v>
      </c>
      <c r="F1887" s="149">
        <v>2.88</v>
      </c>
      <c r="G1887" s="149">
        <v>0</v>
      </c>
      <c r="H1887" s="149">
        <v>2.73</v>
      </c>
      <c r="I1887" s="150">
        <v>10.92</v>
      </c>
    </row>
    <row r="1888" spans="1:9" ht="15.6" x14ac:dyDescent="0.25">
      <c r="A1888" s="145"/>
      <c r="B1888" s="146">
        <v>7169121</v>
      </c>
      <c r="C1888" s="147"/>
      <c r="D1888" s="148" t="s">
        <v>846</v>
      </c>
      <c r="E1888" s="149">
        <v>0</v>
      </c>
      <c r="F1888" s="149">
        <v>0</v>
      </c>
      <c r="G1888" s="149">
        <v>0</v>
      </c>
      <c r="H1888" s="149">
        <v>0</v>
      </c>
      <c r="I1888" s="150">
        <v>0</v>
      </c>
    </row>
    <row r="1889" spans="1:9" ht="15.6" x14ac:dyDescent="0.25">
      <c r="A1889" s="145"/>
      <c r="B1889" s="146">
        <v>7180086</v>
      </c>
      <c r="C1889" s="147"/>
      <c r="D1889" s="148" t="s">
        <v>885</v>
      </c>
      <c r="E1889" s="149">
        <v>5.31</v>
      </c>
      <c r="F1889" s="149">
        <v>2.88</v>
      </c>
      <c r="G1889" s="149">
        <v>0</v>
      </c>
      <c r="H1889" s="149">
        <v>2.73</v>
      </c>
      <c r="I1889" s="150">
        <v>10.92</v>
      </c>
    </row>
    <row r="1890" spans="1:9" ht="15.6" x14ac:dyDescent="0.25">
      <c r="A1890" s="145"/>
      <c r="B1890" s="146">
        <v>7185357</v>
      </c>
      <c r="C1890" s="147"/>
      <c r="D1890" s="148" t="s">
        <v>746</v>
      </c>
      <c r="E1890" s="149">
        <v>5.31</v>
      </c>
      <c r="F1890" s="149">
        <v>2.88</v>
      </c>
      <c r="G1890" s="149">
        <v>0</v>
      </c>
      <c r="H1890" s="149">
        <v>2.73</v>
      </c>
      <c r="I1890" s="150">
        <v>10.92</v>
      </c>
    </row>
    <row r="1891" spans="1:9" ht="15.6" x14ac:dyDescent="0.25">
      <c r="A1891" s="145"/>
      <c r="B1891" s="146">
        <v>7188123</v>
      </c>
      <c r="C1891" s="147"/>
      <c r="D1891" s="148" t="s">
        <v>832</v>
      </c>
      <c r="E1891" s="149">
        <v>5.31</v>
      </c>
      <c r="F1891" s="149">
        <v>2.88</v>
      </c>
      <c r="G1891" s="149">
        <v>0</v>
      </c>
      <c r="H1891" s="149">
        <v>2.73</v>
      </c>
      <c r="I1891" s="150">
        <v>10.92</v>
      </c>
    </row>
    <row r="1892" spans="1:9" ht="15.6" x14ac:dyDescent="0.25">
      <c r="A1892" s="145"/>
      <c r="B1892" s="146">
        <v>7188925</v>
      </c>
      <c r="C1892" s="147"/>
      <c r="D1892" s="148" t="s">
        <v>872</v>
      </c>
      <c r="E1892" s="149">
        <v>5.31</v>
      </c>
      <c r="F1892" s="149">
        <v>2.88</v>
      </c>
      <c r="G1892" s="149">
        <v>0</v>
      </c>
      <c r="H1892" s="149">
        <v>2.73</v>
      </c>
      <c r="I1892" s="150">
        <v>10.92</v>
      </c>
    </row>
    <row r="1893" spans="1:9" ht="15.6" x14ac:dyDescent="0.25">
      <c r="A1893" s="145"/>
      <c r="B1893" s="146">
        <v>7189432</v>
      </c>
      <c r="C1893" s="147"/>
      <c r="D1893" s="148" t="s">
        <v>868</v>
      </c>
      <c r="E1893" s="149">
        <v>5.31</v>
      </c>
      <c r="F1893" s="149">
        <v>2.88</v>
      </c>
      <c r="G1893" s="149">
        <v>0</v>
      </c>
      <c r="H1893" s="149">
        <v>2.73</v>
      </c>
      <c r="I1893" s="150">
        <v>10.92</v>
      </c>
    </row>
    <row r="1894" spans="1:9" ht="15.6" x14ac:dyDescent="0.25">
      <c r="A1894" s="145"/>
      <c r="B1894" s="146">
        <v>7197282</v>
      </c>
      <c r="C1894" s="147"/>
      <c r="D1894" s="148" t="s">
        <v>867</v>
      </c>
      <c r="E1894" s="149">
        <v>5.31</v>
      </c>
      <c r="F1894" s="149">
        <v>2.88</v>
      </c>
      <c r="G1894" s="149">
        <v>0</v>
      </c>
      <c r="H1894" s="149">
        <v>2.73</v>
      </c>
      <c r="I1894" s="150">
        <v>10.92</v>
      </c>
    </row>
    <row r="1895" spans="1:9" ht="15.6" x14ac:dyDescent="0.25">
      <c r="A1895" s="145"/>
      <c r="B1895" s="146">
        <v>7197407</v>
      </c>
      <c r="C1895" s="147"/>
      <c r="D1895" s="148" t="s">
        <v>851</v>
      </c>
      <c r="E1895" s="149">
        <v>5.31</v>
      </c>
      <c r="F1895" s="149">
        <v>2.88</v>
      </c>
      <c r="G1895" s="149">
        <v>22.66</v>
      </c>
      <c r="H1895" s="149">
        <v>2.73</v>
      </c>
      <c r="I1895" s="150">
        <v>33.58</v>
      </c>
    </row>
    <row r="1896" spans="1:9" ht="15.6" x14ac:dyDescent="0.25">
      <c r="A1896" s="145"/>
      <c r="B1896" s="146">
        <v>7206359</v>
      </c>
      <c r="C1896" s="147"/>
      <c r="D1896" s="148" t="s">
        <v>933</v>
      </c>
      <c r="E1896" s="149">
        <v>5.31</v>
      </c>
      <c r="F1896" s="149">
        <v>2.88</v>
      </c>
      <c r="G1896" s="149">
        <v>0</v>
      </c>
      <c r="H1896" s="149">
        <v>2.73</v>
      </c>
      <c r="I1896" s="150">
        <v>10.92</v>
      </c>
    </row>
    <row r="1897" spans="1:9" ht="15.6" x14ac:dyDescent="0.25">
      <c r="A1897" s="145"/>
      <c r="B1897" s="146">
        <v>7210203</v>
      </c>
      <c r="C1897" s="147"/>
      <c r="D1897" s="148" t="s">
        <v>853</v>
      </c>
      <c r="E1897" s="149">
        <v>5.31</v>
      </c>
      <c r="F1897" s="149">
        <v>2.88</v>
      </c>
      <c r="G1897" s="149">
        <v>0</v>
      </c>
      <c r="H1897" s="149">
        <v>2.73</v>
      </c>
      <c r="I1897" s="150">
        <v>10.92</v>
      </c>
    </row>
    <row r="1898" spans="1:9" ht="15.6" x14ac:dyDescent="0.25">
      <c r="A1898" s="145"/>
      <c r="B1898" s="146">
        <v>7210961</v>
      </c>
      <c r="C1898" s="147"/>
      <c r="D1898" s="148" t="s">
        <v>923</v>
      </c>
      <c r="E1898" s="149">
        <v>0</v>
      </c>
      <c r="F1898" s="149">
        <v>0</v>
      </c>
      <c r="G1898" s="149">
        <v>0</v>
      </c>
      <c r="H1898" s="149">
        <v>2.73</v>
      </c>
      <c r="I1898" s="150">
        <v>2.73</v>
      </c>
    </row>
    <row r="1899" spans="1:9" ht="15.6" x14ac:dyDescent="0.25">
      <c r="A1899" s="145"/>
      <c r="B1899" s="146">
        <v>7212288</v>
      </c>
      <c r="C1899" s="147"/>
      <c r="D1899" s="148" t="s">
        <v>868</v>
      </c>
      <c r="E1899" s="149">
        <v>5.31</v>
      </c>
      <c r="F1899" s="149">
        <v>2.88</v>
      </c>
      <c r="G1899" s="149">
        <v>0</v>
      </c>
      <c r="H1899" s="149">
        <v>2.73</v>
      </c>
      <c r="I1899" s="150">
        <v>10.92</v>
      </c>
    </row>
    <row r="1900" spans="1:9" ht="15.6" x14ac:dyDescent="0.25">
      <c r="A1900" s="145"/>
      <c r="B1900" s="146">
        <v>7213704</v>
      </c>
      <c r="C1900" s="147"/>
      <c r="D1900" s="148" t="s">
        <v>749</v>
      </c>
      <c r="E1900" s="149">
        <v>5.31</v>
      </c>
      <c r="F1900" s="149">
        <v>2.88</v>
      </c>
      <c r="G1900" s="149">
        <v>0</v>
      </c>
      <c r="H1900" s="149">
        <v>2.73</v>
      </c>
      <c r="I1900" s="150">
        <v>10.92</v>
      </c>
    </row>
    <row r="1901" spans="1:9" ht="15.6" x14ac:dyDescent="0.25">
      <c r="A1901" s="145"/>
      <c r="B1901" s="146">
        <v>7213958</v>
      </c>
      <c r="C1901" s="147"/>
      <c r="D1901" s="148" t="s">
        <v>881</v>
      </c>
      <c r="E1901" s="149">
        <v>5.31</v>
      </c>
      <c r="F1901" s="149">
        <v>2.88</v>
      </c>
      <c r="G1901" s="149">
        <v>0</v>
      </c>
      <c r="H1901" s="149">
        <v>2.73</v>
      </c>
      <c r="I1901" s="150">
        <v>10.92</v>
      </c>
    </row>
    <row r="1902" spans="1:9" ht="15.6" x14ac:dyDescent="0.25">
      <c r="A1902" s="145"/>
      <c r="B1902" s="146">
        <v>7217595</v>
      </c>
      <c r="C1902" s="147"/>
      <c r="D1902" s="148" t="s">
        <v>816</v>
      </c>
      <c r="E1902" s="149">
        <v>5.31</v>
      </c>
      <c r="F1902" s="149">
        <v>2.88</v>
      </c>
      <c r="G1902" s="149">
        <v>0</v>
      </c>
      <c r="H1902" s="149">
        <v>2.73</v>
      </c>
      <c r="I1902" s="150">
        <v>10.92</v>
      </c>
    </row>
    <row r="1903" spans="1:9" ht="15.6" x14ac:dyDescent="0.25">
      <c r="A1903" s="145"/>
      <c r="B1903" s="146">
        <v>7217603</v>
      </c>
      <c r="C1903" s="147"/>
      <c r="D1903" s="148" t="s">
        <v>886</v>
      </c>
      <c r="E1903" s="149">
        <v>5.31</v>
      </c>
      <c r="F1903" s="149">
        <v>2.88</v>
      </c>
      <c r="G1903" s="149">
        <v>0</v>
      </c>
      <c r="H1903" s="149">
        <v>2.73</v>
      </c>
      <c r="I1903" s="150">
        <v>10.92</v>
      </c>
    </row>
    <row r="1904" spans="1:9" ht="15.6" x14ac:dyDescent="0.25">
      <c r="A1904" s="145"/>
      <c r="B1904" s="146">
        <v>7218230</v>
      </c>
      <c r="C1904" s="147"/>
      <c r="D1904" s="148" t="s">
        <v>780</v>
      </c>
      <c r="E1904" s="149">
        <v>0</v>
      </c>
      <c r="F1904" s="149">
        <v>0</v>
      </c>
      <c r="G1904" s="149">
        <v>0</v>
      </c>
      <c r="H1904" s="149">
        <v>0</v>
      </c>
      <c r="I1904" s="150">
        <v>0</v>
      </c>
    </row>
    <row r="1905" spans="1:9" ht="15.6" x14ac:dyDescent="0.25">
      <c r="A1905" s="145"/>
      <c r="B1905" s="146">
        <v>7222118</v>
      </c>
      <c r="C1905" s="147"/>
      <c r="D1905" s="148" t="s">
        <v>773</v>
      </c>
      <c r="E1905" s="149">
        <v>5.31</v>
      </c>
      <c r="F1905" s="149">
        <v>2.88</v>
      </c>
      <c r="G1905" s="149">
        <v>0</v>
      </c>
      <c r="H1905" s="149">
        <v>2.73</v>
      </c>
      <c r="I1905" s="150">
        <v>10.92</v>
      </c>
    </row>
    <row r="1906" spans="1:9" ht="15.6" x14ac:dyDescent="0.25">
      <c r="A1906" s="145"/>
      <c r="B1906" s="146">
        <v>7222768</v>
      </c>
      <c r="C1906" s="147"/>
      <c r="D1906" s="148" t="s">
        <v>738</v>
      </c>
      <c r="E1906" s="149">
        <v>5.31</v>
      </c>
      <c r="F1906" s="149">
        <v>2.88</v>
      </c>
      <c r="G1906" s="149">
        <v>0</v>
      </c>
      <c r="H1906" s="149">
        <v>2.73</v>
      </c>
      <c r="I1906" s="150">
        <v>10.92</v>
      </c>
    </row>
    <row r="1907" spans="1:9" ht="15.6" x14ac:dyDescent="0.25">
      <c r="A1907" s="145"/>
      <c r="B1907" s="146">
        <v>7230371</v>
      </c>
      <c r="C1907" s="147"/>
      <c r="D1907" s="148" t="s">
        <v>858</v>
      </c>
      <c r="E1907" s="149">
        <v>5.31</v>
      </c>
      <c r="F1907" s="149">
        <v>2.88</v>
      </c>
      <c r="G1907" s="149">
        <v>0</v>
      </c>
      <c r="H1907" s="149">
        <v>2.73</v>
      </c>
      <c r="I1907" s="150">
        <v>10.92</v>
      </c>
    </row>
    <row r="1908" spans="1:9" ht="15.6" x14ac:dyDescent="0.25">
      <c r="A1908" s="145"/>
      <c r="B1908" s="146">
        <v>7231706</v>
      </c>
      <c r="C1908" s="147"/>
      <c r="D1908" s="148" t="s">
        <v>921</v>
      </c>
      <c r="E1908" s="149">
        <v>5.31</v>
      </c>
      <c r="F1908" s="149">
        <v>2.88</v>
      </c>
      <c r="G1908" s="149">
        <v>0</v>
      </c>
      <c r="H1908" s="149">
        <v>2.73</v>
      </c>
      <c r="I1908" s="150">
        <v>10.92</v>
      </c>
    </row>
    <row r="1909" spans="1:9" ht="15.6" x14ac:dyDescent="0.25">
      <c r="A1909" s="145"/>
      <c r="B1909" s="146">
        <v>7242130</v>
      </c>
      <c r="C1909" s="147"/>
      <c r="D1909" s="148" t="s">
        <v>908</v>
      </c>
      <c r="E1909" s="149">
        <v>5.31</v>
      </c>
      <c r="F1909" s="149">
        <v>2.88</v>
      </c>
      <c r="G1909" s="149">
        <v>0</v>
      </c>
      <c r="H1909" s="149">
        <v>2.73</v>
      </c>
      <c r="I1909" s="150">
        <v>10.92</v>
      </c>
    </row>
    <row r="1910" spans="1:9" ht="15.6" x14ac:dyDescent="0.25">
      <c r="A1910" s="145"/>
      <c r="B1910" s="146">
        <v>7242768</v>
      </c>
      <c r="C1910" s="147"/>
      <c r="D1910" s="148" t="s">
        <v>898</v>
      </c>
      <c r="E1910" s="149">
        <v>5.31</v>
      </c>
      <c r="F1910" s="149">
        <v>2.88</v>
      </c>
      <c r="G1910" s="149">
        <v>0</v>
      </c>
      <c r="H1910" s="149">
        <v>2.73</v>
      </c>
      <c r="I1910" s="150">
        <v>10.92</v>
      </c>
    </row>
    <row r="1911" spans="1:9" ht="15.6" x14ac:dyDescent="0.25">
      <c r="A1911" s="145"/>
      <c r="B1911" s="146">
        <v>7246440</v>
      </c>
      <c r="C1911" s="147"/>
      <c r="D1911" s="148" t="s">
        <v>725</v>
      </c>
      <c r="E1911" s="149">
        <v>0</v>
      </c>
      <c r="F1911" s="149">
        <v>0</v>
      </c>
      <c r="G1911" s="149">
        <v>0</v>
      </c>
      <c r="H1911" s="149">
        <v>0</v>
      </c>
      <c r="I1911" s="150">
        <v>0</v>
      </c>
    </row>
    <row r="1912" spans="1:9" ht="15.6" x14ac:dyDescent="0.25">
      <c r="A1912" s="145"/>
      <c r="B1912" s="146">
        <v>7247346</v>
      </c>
      <c r="C1912" s="147"/>
      <c r="D1912" s="148" t="s">
        <v>868</v>
      </c>
      <c r="E1912" s="149">
        <v>5.31</v>
      </c>
      <c r="F1912" s="149">
        <v>2.88</v>
      </c>
      <c r="G1912" s="149">
        <v>0</v>
      </c>
      <c r="H1912" s="149">
        <v>2.73</v>
      </c>
      <c r="I1912" s="150">
        <v>10.92</v>
      </c>
    </row>
    <row r="1913" spans="1:9" ht="15.6" x14ac:dyDescent="0.25">
      <c r="A1913" s="145"/>
      <c r="B1913" s="146">
        <v>7248094</v>
      </c>
      <c r="C1913" s="147"/>
      <c r="D1913" s="148" t="s">
        <v>857</v>
      </c>
      <c r="E1913" s="149">
        <v>0</v>
      </c>
      <c r="F1913" s="149">
        <v>0</v>
      </c>
      <c r="G1913" s="149">
        <v>0</v>
      </c>
      <c r="H1913" s="149">
        <v>0</v>
      </c>
      <c r="I1913" s="150">
        <v>0</v>
      </c>
    </row>
    <row r="1914" spans="1:9" ht="15.6" x14ac:dyDescent="0.25">
      <c r="A1914" s="145"/>
      <c r="B1914" s="146">
        <v>7248451</v>
      </c>
      <c r="C1914" s="147"/>
      <c r="D1914" s="148" t="s">
        <v>830</v>
      </c>
      <c r="E1914" s="149">
        <v>5.31</v>
      </c>
      <c r="F1914" s="149">
        <v>2.88</v>
      </c>
      <c r="G1914" s="149">
        <v>0</v>
      </c>
      <c r="H1914" s="149">
        <v>2.73</v>
      </c>
      <c r="I1914" s="150">
        <v>10.92</v>
      </c>
    </row>
    <row r="1915" spans="1:9" ht="15.6" x14ac:dyDescent="0.25">
      <c r="A1915" s="145"/>
      <c r="B1915" s="146">
        <v>7254410</v>
      </c>
      <c r="C1915" s="147"/>
      <c r="D1915" s="148" t="s">
        <v>764</v>
      </c>
      <c r="E1915" s="149">
        <v>5.31</v>
      </c>
      <c r="F1915" s="149">
        <v>2.88</v>
      </c>
      <c r="G1915" s="149">
        <v>0</v>
      </c>
      <c r="H1915" s="149">
        <v>2.73</v>
      </c>
      <c r="I1915" s="150">
        <v>10.92</v>
      </c>
    </row>
    <row r="1916" spans="1:9" ht="15.6" x14ac:dyDescent="0.25">
      <c r="A1916" s="145"/>
      <c r="B1916" s="146">
        <v>7256182</v>
      </c>
      <c r="C1916" s="147"/>
      <c r="D1916" s="148" t="s">
        <v>944</v>
      </c>
      <c r="E1916" s="149">
        <v>5.31</v>
      </c>
      <c r="F1916" s="149">
        <v>2.88</v>
      </c>
      <c r="G1916" s="149">
        <v>0</v>
      </c>
      <c r="H1916" s="149">
        <v>2.73</v>
      </c>
      <c r="I1916" s="150">
        <v>10.92</v>
      </c>
    </row>
    <row r="1917" spans="1:9" ht="15.6" x14ac:dyDescent="0.25">
      <c r="A1917" s="145"/>
      <c r="B1917" s="146">
        <v>7263159</v>
      </c>
      <c r="C1917" s="147"/>
      <c r="D1917" s="148" t="s">
        <v>782</v>
      </c>
      <c r="E1917" s="149">
        <v>5.31</v>
      </c>
      <c r="F1917" s="149">
        <v>2.88</v>
      </c>
      <c r="G1917" s="149">
        <v>0</v>
      </c>
      <c r="H1917" s="149">
        <v>2.73</v>
      </c>
      <c r="I1917" s="150">
        <v>10.92</v>
      </c>
    </row>
    <row r="1918" spans="1:9" ht="15.6" x14ac:dyDescent="0.25">
      <c r="A1918" s="145"/>
      <c r="B1918" s="146">
        <v>7267432</v>
      </c>
      <c r="C1918" s="147"/>
      <c r="D1918" s="148" t="s">
        <v>756</v>
      </c>
      <c r="E1918" s="149">
        <v>0</v>
      </c>
      <c r="F1918" s="149">
        <v>0</v>
      </c>
      <c r="G1918" s="149">
        <v>0</v>
      </c>
      <c r="H1918" s="149">
        <v>2.73</v>
      </c>
      <c r="I1918" s="150">
        <v>2.73</v>
      </c>
    </row>
    <row r="1919" spans="1:9" ht="15.6" x14ac:dyDescent="0.25">
      <c r="A1919" s="145"/>
      <c r="B1919" s="146">
        <v>7274701</v>
      </c>
      <c r="C1919" s="147"/>
      <c r="D1919" s="148" t="s">
        <v>831</v>
      </c>
      <c r="E1919" s="149">
        <v>5.31</v>
      </c>
      <c r="F1919" s="149">
        <v>2.88</v>
      </c>
      <c r="G1919" s="149">
        <v>0</v>
      </c>
      <c r="H1919" s="149">
        <v>2.73</v>
      </c>
      <c r="I1919" s="150">
        <v>10.92</v>
      </c>
    </row>
    <row r="1920" spans="1:9" ht="15.6" x14ac:dyDescent="0.25">
      <c r="A1920" s="145"/>
      <c r="B1920" s="146">
        <v>7278172</v>
      </c>
      <c r="C1920" s="147"/>
      <c r="D1920" s="148" t="s">
        <v>840</v>
      </c>
      <c r="E1920" s="149">
        <v>5.31</v>
      </c>
      <c r="F1920" s="149">
        <v>2.88</v>
      </c>
      <c r="G1920" s="149">
        <v>0</v>
      </c>
      <c r="H1920" s="149">
        <v>0</v>
      </c>
      <c r="I1920" s="150">
        <v>8.19</v>
      </c>
    </row>
    <row r="1921" spans="1:9" ht="15.6" x14ac:dyDescent="0.25">
      <c r="A1921" s="145"/>
      <c r="B1921" s="146">
        <v>7284324</v>
      </c>
      <c r="C1921" s="147"/>
      <c r="D1921" s="148" t="s">
        <v>851</v>
      </c>
      <c r="E1921" s="149">
        <v>5.31</v>
      </c>
      <c r="F1921" s="149">
        <v>2.88</v>
      </c>
      <c r="G1921" s="149">
        <v>22.66</v>
      </c>
      <c r="H1921" s="149">
        <v>2.73</v>
      </c>
      <c r="I1921" s="150">
        <v>33.58</v>
      </c>
    </row>
    <row r="1922" spans="1:9" ht="15.6" x14ac:dyDescent="0.25">
      <c r="A1922" s="145"/>
      <c r="B1922" s="146">
        <v>7284589</v>
      </c>
      <c r="C1922" s="147"/>
      <c r="D1922" s="148" t="s">
        <v>822</v>
      </c>
      <c r="E1922" s="149">
        <v>5.31</v>
      </c>
      <c r="F1922" s="149">
        <v>2.88</v>
      </c>
      <c r="G1922" s="149">
        <v>0</v>
      </c>
      <c r="H1922" s="149">
        <v>2.73</v>
      </c>
      <c r="I1922" s="150">
        <v>10.92</v>
      </c>
    </row>
    <row r="1923" spans="1:9" ht="15.6" x14ac:dyDescent="0.25">
      <c r="A1923" s="145"/>
      <c r="B1923" s="146">
        <v>7287187</v>
      </c>
      <c r="C1923" s="147"/>
      <c r="D1923" s="148" t="s">
        <v>740</v>
      </c>
      <c r="E1923" s="149">
        <v>5.31</v>
      </c>
      <c r="F1923" s="149">
        <v>2.88</v>
      </c>
      <c r="G1923" s="149">
        <v>0</v>
      </c>
      <c r="H1923" s="149">
        <v>2.73</v>
      </c>
      <c r="I1923" s="150">
        <v>10.92</v>
      </c>
    </row>
    <row r="1924" spans="1:9" ht="15.6" x14ac:dyDescent="0.25">
      <c r="A1924" s="145"/>
      <c r="B1924" s="146">
        <v>7291802</v>
      </c>
      <c r="C1924" s="147"/>
      <c r="D1924" s="148" t="s">
        <v>851</v>
      </c>
      <c r="E1924" s="149">
        <v>5.31</v>
      </c>
      <c r="F1924" s="149">
        <v>2.88</v>
      </c>
      <c r="G1924" s="149">
        <v>28.61</v>
      </c>
      <c r="H1924" s="149">
        <v>2.73</v>
      </c>
      <c r="I1924" s="150">
        <v>39.529999999999994</v>
      </c>
    </row>
    <row r="1925" spans="1:9" ht="15.6" x14ac:dyDescent="0.25">
      <c r="A1925" s="145"/>
      <c r="B1925" s="146">
        <v>7295226</v>
      </c>
      <c r="C1925" s="147"/>
      <c r="D1925" s="148" t="s">
        <v>747</v>
      </c>
      <c r="E1925" s="149">
        <v>5.31</v>
      </c>
      <c r="F1925" s="149">
        <v>2.88</v>
      </c>
      <c r="G1925" s="149">
        <v>0</v>
      </c>
      <c r="H1925" s="149">
        <v>2.73</v>
      </c>
      <c r="I1925" s="150">
        <v>10.92</v>
      </c>
    </row>
    <row r="1926" spans="1:9" ht="15.6" x14ac:dyDescent="0.25">
      <c r="A1926" s="145"/>
      <c r="B1926" s="146">
        <v>7298646</v>
      </c>
      <c r="C1926" s="147"/>
      <c r="D1926" s="148" t="s">
        <v>831</v>
      </c>
      <c r="E1926" s="149">
        <v>5.31</v>
      </c>
      <c r="F1926" s="149">
        <v>2.88</v>
      </c>
      <c r="G1926" s="149">
        <v>0</v>
      </c>
      <c r="H1926" s="149">
        <v>2.73</v>
      </c>
      <c r="I1926" s="150">
        <v>10.92</v>
      </c>
    </row>
    <row r="1927" spans="1:9" ht="15.6" x14ac:dyDescent="0.25">
      <c r="A1927" s="145"/>
      <c r="B1927" s="146">
        <v>7302890</v>
      </c>
      <c r="C1927" s="147"/>
      <c r="D1927" s="148" t="s">
        <v>787</v>
      </c>
      <c r="E1927" s="149">
        <v>5.31</v>
      </c>
      <c r="F1927" s="149">
        <v>2.88</v>
      </c>
      <c r="G1927" s="149">
        <v>32.92</v>
      </c>
      <c r="H1927" s="149">
        <v>2.73</v>
      </c>
      <c r="I1927" s="150">
        <v>43.839999999999996</v>
      </c>
    </row>
    <row r="1928" spans="1:9" ht="15.6" x14ac:dyDescent="0.25">
      <c r="A1928" s="145"/>
      <c r="B1928" s="146">
        <v>7305378</v>
      </c>
      <c r="C1928" s="147"/>
      <c r="D1928" s="148" t="s">
        <v>894</v>
      </c>
      <c r="E1928" s="149">
        <v>5.31</v>
      </c>
      <c r="F1928" s="149">
        <v>2.88</v>
      </c>
      <c r="G1928" s="149">
        <v>0</v>
      </c>
      <c r="H1928" s="149">
        <v>2.73</v>
      </c>
      <c r="I1928" s="150">
        <v>10.92</v>
      </c>
    </row>
    <row r="1929" spans="1:9" ht="15.6" x14ac:dyDescent="0.25">
      <c r="A1929" s="145"/>
      <c r="B1929" s="146">
        <v>7308833</v>
      </c>
      <c r="C1929" s="147"/>
      <c r="D1929" s="148" t="s">
        <v>846</v>
      </c>
      <c r="E1929" s="149">
        <v>0</v>
      </c>
      <c r="F1929" s="149">
        <v>0</v>
      </c>
      <c r="G1929" s="149">
        <v>0</v>
      </c>
      <c r="H1929" s="149">
        <v>0</v>
      </c>
      <c r="I1929" s="150">
        <v>0</v>
      </c>
    </row>
    <row r="1930" spans="1:9" ht="15.6" x14ac:dyDescent="0.25">
      <c r="A1930" s="145"/>
      <c r="B1930" s="146">
        <v>7309562</v>
      </c>
      <c r="C1930" s="147"/>
      <c r="D1930" s="148" t="s">
        <v>851</v>
      </c>
      <c r="E1930" s="149">
        <v>5.31</v>
      </c>
      <c r="F1930" s="149">
        <v>2.88</v>
      </c>
      <c r="G1930" s="149">
        <v>22.66</v>
      </c>
      <c r="H1930" s="149">
        <v>2.73</v>
      </c>
      <c r="I1930" s="150">
        <v>33.58</v>
      </c>
    </row>
    <row r="1931" spans="1:9" ht="15.6" x14ac:dyDescent="0.25">
      <c r="A1931" s="145"/>
      <c r="B1931" s="146">
        <v>7312784</v>
      </c>
      <c r="C1931" s="147"/>
      <c r="D1931" s="148" t="s">
        <v>910</v>
      </c>
      <c r="E1931" s="149">
        <v>5.31</v>
      </c>
      <c r="F1931" s="149">
        <v>2.88</v>
      </c>
      <c r="G1931" s="149">
        <v>0</v>
      </c>
      <c r="H1931" s="149">
        <v>2.73</v>
      </c>
      <c r="I1931" s="150">
        <v>10.92</v>
      </c>
    </row>
    <row r="1932" spans="1:9" ht="15.6" x14ac:dyDescent="0.25">
      <c r="A1932" s="145"/>
      <c r="B1932" s="146">
        <v>7313203</v>
      </c>
      <c r="C1932" s="147"/>
      <c r="D1932" s="148" t="s">
        <v>884</v>
      </c>
      <c r="E1932" s="149">
        <v>5.31</v>
      </c>
      <c r="F1932" s="149">
        <v>2.88</v>
      </c>
      <c r="G1932" s="149">
        <v>0</v>
      </c>
      <c r="H1932" s="149">
        <v>2.73</v>
      </c>
      <c r="I1932" s="150">
        <v>10.92</v>
      </c>
    </row>
    <row r="1933" spans="1:9" ht="15.6" x14ac:dyDescent="0.25">
      <c r="A1933" s="145"/>
      <c r="B1933" s="146">
        <v>7313534</v>
      </c>
      <c r="C1933" s="147"/>
      <c r="D1933" s="148" t="s">
        <v>773</v>
      </c>
      <c r="E1933" s="149">
        <v>5.31</v>
      </c>
      <c r="F1933" s="149">
        <v>2.88</v>
      </c>
      <c r="G1933" s="149">
        <v>35.880000000000003</v>
      </c>
      <c r="H1933" s="149">
        <v>2.73</v>
      </c>
      <c r="I1933" s="150">
        <v>46.8</v>
      </c>
    </row>
    <row r="1934" spans="1:9" ht="15.6" x14ac:dyDescent="0.25">
      <c r="A1934" s="145"/>
      <c r="B1934" s="146">
        <v>7314049</v>
      </c>
      <c r="C1934" s="147"/>
      <c r="D1934" s="148" t="s">
        <v>790</v>
      </c>
      <c r="E1934" s="149">
        <v>5.31</v>
      </c>
      <c r="F1934" s="149">
        <v>2.88</v>
      </c>
      <c r="G1934" s="149">
        <v>18.260000000000002</v>
      </c>
      <c r="H1934" s="149">
        <v>2.73</v>
      </c>
      <c r="I1934" s="150">
        <v>29.180000000000003</v>
      </c>
    </row>
    <row r="1935" spans="1:9" ht="15.6" x14ac:dyDescent="0.25">
      <c r="A1935" s="145"/>
      <c r="B1935" s="146">
        <v>7317085</v>
      </c>
      <c r="C1935" s="147"/>
      <c r="D1935" s="148" t="s">
        <v>732</v>
      </c>
      <c r="E1935" s="149">
        <v>0</v>
      </c>
      <c r="F1935" s="149">
        <v>0</v>
      </c>
      <c r="G1935" s="149">
        <v>0</v>
      </c>
      <c r="H1935" s="149">
        <v>2.73</v>
      </c>
      <c r="I1935" s="150">
        <v>2.73</v>
      </c>
    </row>
    <row r="1936" spans="1:9" ht="15.6" x14ac:dyDescent="0.25">
      <c r="A1936" s="145"/>
      <c r="B1936" s="146">
        <v>7317897</v>
      </c>
      <c r="C1936" s="147"/>
      <c r="D1936" s="148" t="s">
        <v>780</v>
      </c>
      <c r="E1936" s="149">
        <v>5.31</v>
      </c>
      <c r="F1936" s="149">
        <v>2.88</v>
      </c>
      <c r="G1936" s="149">
        <v>0</v>
      </c>
      <c r="H1936" s="149">
        <v>2.73</v>
      </c>
      <c r="I1936" s="150">
        <v>10.92</v>
      </c>
    </row>
    <row r="1937" spans="1:9" ht="15.6" x14ac:dyDescent="0.25">
      <c r="A1937" s="145"/>
      <c r="B1937" s="146">
        <v>7320390</v>
      </c>
      <c r="C1937" s="147"/>
      <c r="D1937" s="148" t="s">
        <v>855</v>
      </c>
      <c r="E1937" s="149">
        <v>5.31</v>
      </c>
      <c r="F1937" s="149">
        <v>2.88</v>
      </c>
      <c r="G1937" s="149">
        <v>0</v>
      </c>
      <c r="H1937" s="149">
        <v>0</v>
      </c>
      <c r="I1937" s="150">
        <v>8.19</v>
      </c>
    </row>
    <row r="1938" spans="1:9" ht="15.6" x14ac:dyDescent="0.25">
      <c r="A1938" s="145"/>
      <c r="B1938" s="146">
        <v>7322982</v>
      </c>
      <c r="C1938" s="147"/>
      <c r="D1938" s="148" t="s">
        <v>910</v>
      </c>
      <c r="E1938" s="149">
        <v>5.31</v>
      </c>
      <c r="F1938" s="149">
        <v>2.88</v>
      </c>
      <c r="G1938" s="149">
        <v>0</v>
      </c>
      <c r="H1938" s="149">
        <v>2.73</v>
      </c>
      <c r="I1938" s="150">
        <v>10.92</v>
      </c>
    </row>
    <row r="1939" spans="1:9" ht="15.6" x14ac:dyDescent="0.25">
      <c r="A1939" s="145"/>
      <c r="B1939" s="146">
        <v>7335303</v>
      </c>
      <c r="C1939" s="147"/>
      <c r="D1939" s="148" t="s">
        <v>935</v>
      </c>
      <c r="E1939" s="149">
        <v>5.31</v>
      </c>
      <c r="F1939" s="149">
        <v>2.88</v>
      </c>
      <c r="G1939" s="149">
        <v>0</v>
      </c>
      <c r="H1939" s="149">
        <v>2.73</v>
      </c>
      <c r="I1939" s="150">
        <v>10.92</v>
      </c>
    </row>
    <row r="1940" spans="1:9" ht="15.6" x14ac:dyDescent="0.25">
      <c r="A1940" s="145"/>
      <c r="B1940" s="146">
        <v>7336138</v>
      </c>
      <c r="C1940" s="147"/>
      <c r="D1940" s="148" t="s">
        <v>886</v>
      </c>
      <c r="E1940" s="149">
        <v>5.31</v>
      </c>
      <c r="F1940" s="149">
        <v>2.88</v>
      </c>
      <c r="G1940" s="149">
        <v>0</v>
      </c>
      <c r="H1940" s="149">
        <v>2.73</v>
      </c>
      <c r="I1940" s="150">
        <v>10.92</v>
      </c>
    </row>
    <row r="1941" spans="1:9" ht="15.6" x14ac:dyDescent="0.25">
      <c r="A1941" s="145"/>
      <c r="B1941" s="146">
        <v>7338299</v>
      </c>
      <c r="C1941" s="147"/>
      <c r="D1941" s="148" t="s">
        <v>757</v>
      </c>
      <c r="E1941" s="149">
        <v>0</v>
      </c>
      <c r="F1941" s="149">
        <v>0</v>
      </c>
      <c r="G1941" s="149">
        <v>0</v>
      </c>
      <c r="H1941" s="149">
        <v>2.73</v>
      </c>
      <c r="I1941" s="150">
        <v>2.73</v>
      </c>
    </row>
    <row r="1942" spans="1:9" ht="15.6" x14ac:dyDescent="0.25">
      <c r="A1942" s="145"/>
      <c r="B1942" s="146">
        <v>7341200</v>
      </c>
      <c r="C1942" s="147"/>
      <c r="D1942" s="148" t="s">
        <v>823</v>
      </c>
      <c r="E1942" s="149">
        <v>5.31</v>
      </c>
      <c r="F1942" s="149">
        <v>2.88</v>
      </c>
      <c r="G1942" s="149">
        <v>0</v>
      </c>
      <c r="H1942" s="149">
        <v>2.73</v>
      </c>
      <c r="I1942" s="150">
        <v>10.92</v>
      </c>
    </row>
    <row r="1943" spans="1:9" ht="15.6" x14ac:dyDescent="0.25">
      <c r="A1943" s="145"/>
      <c r="B1943" s="146">
        <v>7343302</v>
      </c>
      <c r="C1943" s="147"/>
      <c r="D1943" s="148" t="s">
        <v>818</v>
      </c>
      <c r="E1943" s="149">
        <v>5.31</v>
      </c>
      <c r="F1943" s="149">
        <v>2.88</v>
      </c>
      <c r="G1943" s="149">
        <v>0</v>
      </c>
      <c r="H1943" s="149">
        <v>2.73</v>
      </c>
      <c r="I1943" s="150">
        <v>10.92</v>
      </c>
    </row>
    <row r="1944" spans="1:9" ht="15.6" x14ac:dyDescent="0.25">
      <c r="A1944" s="145"/>
      <c r="B1944" s="146">
        <v>7343750</v>
      </c>
      <c r="C1944" s="147"/>
      <c r="D1944" s="148" t="s">
        <v>907</v>
      </c>
      <c r="E1944" s="149">
        <v>0</v>
      </c>
      <c r="F1944" s="149">
        <v>0</v>
      </c>
      <c r="G1944" s="149">
        <v>0</v>
      </c>
      <c r="H1944" s="149">
        <v>0</v>
      </c>
      <c r="I1944" s="150">
        <v>0</v>
      </c>
    </row>
    <row r="1945" spans="1:9" ht="15.6" x14ac:dyDescent="0.25">
      <c r="A1945" s="145"/>
      <c r="B1945" s="146">
        <v>7344249</v>
      </c>
      <c r="C1945" s="147"/>
      <c r="D1945" s="148" t="s">
        <v>857</v>
      </c>
      <c r="E1945" s="149">
        <v>5.31</v>
      </c>
      <c r="F1945" s="149">
        <v>2.88</v>
      </c>
      <c r="G1945" s="149">
        <v>0</v>
      </c>
      <c r="H1945" s="149">
        <v>2.73</v>
      </c>
      <c r="I1945" s="150">
        <v>10.92</v>
      </c>
    </row>
    <row r="1946" spans="1:9" ht="15.6" x14ac:dyDescent="0.25">
      <c r="A1946" s="145"/>
      <c r="B1946" s="146">
        <v>7346225</v>
      </c>
      <c r="C1946" s="147"/>
      <c r="D1946" s="148" t="s">
        <v>921</v>
      </c>
      <c r="E1946" s="149">
        <v>0</v>
      </c>
      <c r="F1946" s="149">
        <v>0</v>
      </c>
      <c r="G1946" s="149">
        <v>0</v>
      </c>
      <c r="H1946" s="149">
        <v>0</v>
      </c>
      <c r="I1946" s="150">
        <v>0</v>
      </c>
    </row>
    <row r="1947" spans="1:9" ht="15.6" x14ac:dyDescent="0.25">
      <c r="A1947" s="145"/>
      <c r="B1947" s="146">
        <v>7349951</v>
      </c>
      <c r="C1947" s="147"/>
      <c r="D1947" s="148" t="s">
        <v>856</v>
      </c>
      <c r="E1947" s="149">
        <v>5.31</v>
      </c>
      <c r="F1947" s="149">
        <v>2.88</v>
      </c>
      <c r="G1947" s="149">
        <v>0</v>
      </c>
      <c r="H1947" s="149">
        <v>2.73</v>
      </c>
      <c r="I1947" s="150">
        <v>10.92</v>
      </c>
    </row>
    <row r="1948" spans="1:9" ht="15.6" x14ac:dyDescent="0.25">
      <c r="A1948" s="145"/>
      <c r="B1948" s="146">
        <v>7356099</v>
      </c>
      <c r="C1948" s="147"/>
      <c r="D1948" s="148" t="s">
        <v>824</v>
      </c>
      <c r="E1948" s="149">
        <v>5.31</v>
      </c>
      <c r="F1948" s="149">
        <v>2.88</v>
      </c>
      <c r="G1948" s="149">
        <v>0</v>
      </c>
      <c r="H1948" s="149">
        <v>2.73</v>
      </c>
      <c r="I1948" s="150">
        <v>10.92</v>
      </c>
    </row>
    <row r="1949" spans="1:9" ht="15.6" x14ac:dyDescent="0.25">
      <c r="A1949" s="145"/>
      <c r="B1949" s="146">
        <v>7362953</v>
      </c>
      <c r="C1949" s="147"/>
      <c r="D1949" s="148" t="s">
        <v>907</v>
      </c>
      <c r="E1949" s="149">
        <v>0</v>
      </c>
      <c r="F1949" s="149">
        <v>0</v>
      </c>
      <c r="G1949" s="149">
        <v>0</v>
      </c>
      <c r="H1949" s="149">
        <v>0</v>
      </c>
      <c r="I1949" s="150">
        <v>0</v>
      </c>
    </row>
    <row r="1950" spans="1:9" ht="15.6" x14ac:dyDescent="0.25">
      <c r="A1950" s="145"/>
      <c r="B1950" s="146">
        <v>7364997</v>
      </c>
      <c r="C1950" s="147"/>
      <c r="D1950" s="148" t="s">
        <v>802</v>
      </c>
      <c r="E1950" s="149">
        <v>0</v>
      </c>
      <c r="F1950" s="149">
        <v>0</v>
      </c>
      <c r="G1950" s="149">
        <v>0</v>
      </c>
      <c r="H1950" s="149">
        <v>0</v>
      </c>
      <c r="I1950" s="150">
        <v>0</v>
      </c>
    </row>
    <row r="1951" spans="1:9" ht="15.6" x14ac:dyDescent="0.25">
      <c r="A1951" s="145"/>
      <c r="B1951" s="146">
        <v>7365659</v>
      </c>
      <c r="C1951" s="147"/>
      <c r="D1951" s="148" t="s">
        <v>886</v>
      </c>
      <c r="E1951" s="149">
        <v>5.31</v>
      </c>
      <c r="F1951" s="149">
        <v>2.88</v>
      </c>
      <c r="G1951" s="149">
        <v>0</v>
      </c>
      <c r="H1951" s="149">
        <v>2.73</v>
      </c>
      <c r="I1951" s="150">
        <v>10.92</v>
      </c>
    </row>
    <row r="1952" spans="1:9" ht="15.6" x14ac:dyDescent="0.25">
      <c r="A1952" s="145"/>
      <c r="B1952" s="146">
        <v>7370113</v>
      </c>
      <c r="C1952" s="147"/>
      <c r="D1952" s="148" t="s">
        <v>911</v>
      </c>
      <c r="E1952" s="149">
        <v>5.31</v>
      </c>
      <c r="F1952" s="149">
        <v>0</v>
      </c>
      <c r="G1952" s="149">
        <v>0</v>
      </c>
      <c r="H1952" s="149">
        <v>2.73</v>
      </c>
      <c r="I1952" s="150">
        <v>8.0399999999999991</v>
      </c>
    </row>
    <row r="1953" spans="1:9" ht="15.6" x14ac:dyDescent="0.25">
      <c r="A1953" s="145"/>
      <c r="B1953" s="146">
        <v>7373737</v>
      </c>
      <c r="C1953" s="147"/>
      <c r="D1953" s="148" t="s">
        <v>917</v>
      </c>
      <c r="E1953" s="149">
        <v>5.31</v>
      </c>
      <c r="F1953" s="149">
        <v>2.88</v>
      </c>
      <c r="G1953" s="149">
        <v>0</v>
      </c>
      <c r="H1953" s="149">
        <v>2.73</v>
      </c>
      <c r="I1953" s="150">
        <v>10.92</v>
      </c>
    </row>
    <row r="1954" spans="1:9" ht="15.6" x14ac:dyDescent="0.25">
      <c r="A1954" s="145"/>
      <c r="B1954" s="146">
        <v>7383292</v>
      </c>
      <c r="C1954" s="147"/>
      <c r="D1954" s="148" t="s">
        <v>853</v>
      </c>
      <c r="E1954" s="149">
        <v>5.31</v>
      </c>
      <c r="F1954" s="149">
        <v>2.88</v>
      </c>
      <c r="G1954" s="149">
        <v>0</v>
      </c>
      <c r="H1954" s="149">
        <v>2.73</v>
      </c>
      <c r="I1954" s="150">
        <v>10.92</v>
      </c>
    </row>
    <row r="1955" spans="1:9" ht="15.6" x14ac:dyDescent="0.25">
      <c r="A1955" s="145"/>
      <c r="B1955" s="146">
        <v>7384766</v>
      </c>
      <c r="C1955" s="147"/>
      <c r="D1955" s="148" t="s">
        <v>868</v>
      </c>
      <c r="E1955" s="149">
        <v>5.31</v>
      </c>
      <c r="F1955" s="149">
        <v>2.88</v>
      </c>
      <c r="G1955" s="149">
        <v>0</v>
      </c>
      <c r="H1955" s="149">
        <v>2.73</v>
      </c>
      <c r="I1955" s="150">
        <v>10.92</v>
      </c>
    </row>
    <row r="1956" spans="1:9" ht="15.6" x14ac:dyDescent="0.25">
      <c r="A1956" s="145"/>
      <c r="B1956" s="146">
        <v>7388414</v>
      </c>
      <c r="C1956" s="147"/>
      <c r="D1956" s="148" t="s">
        <v>828</v>
      </c>
      <c r="E1956" s="149">
        <v>5.31</v>
      </c>
      <c r="F1956" s="149">
        <v>2.88</v>
      </c>
      <c r="G1956" s="149">
        <v>0</v>
      </c>
      <c r="H1956" s="149">
        <v>2.73</v>
      </c>
      <c r="I1956" s="150">
        <v>10.92</v>
      </c>
    </row>
    <row r="1957" spans="1:9" ht="15.6" x14ac:dyDescent="0.25">
      <c r="A1957" s="145"/>
      <c r="B1957" s="146">
        <v>7390429</v>
      </c>
      <c r="C1957" s="147"/>
      <c r="D1957" s="148" t="s">
        <v>894</v>
      </c>
      <c r="E1957" s="149">
        <v>5.31</v>
      </c>
      <c r="F1957" s="149">
        <v>2.88</v>
      </c>
      <c r="G1957" s="149">
        <v>0</v>
      </c>
      <c r="H1957" s="149">
        <v>2.73</v>
      </c>
      <c r="I1957" s="150">
        <v>10.92</v>
      </c>
    </row>
    <row r="1958" spans="1:9" ht="15.6" x14ac:dyDescent="0.25">
      <c r="A1958" s="145"/>
      <c r="B1958" s="146">
        <v>7399729</v>
      </c>
      <c r="C1958" s="147"/>
      <c r="D1958" s="148" t="s">
        <v>920</v>
      </c>
      <c r="E1958" s="149">
        <v>0</v>
      </c>
      <c r="F1958" s="149">
        <v>0</v>
      </c>
      <c r="G1958" s="149">
        <v>0</v>
      </c>
      <c r="H1958" s="149">
        <v>0</v>
      </c>
      <c r="I1958" s="150">
        <v>0</v>
      </c>
    </row>
    <row r="1959" spans="1:9" ht="15.6" x14ac:dyDescent="0.25">
      <c r="A1959" s="145"/>
      <c r="B1959" s="146">
        <v>7408368</v>
      </c>
      <c r="C1959" s="147"/>
      <c r="D1959" s="148" t="s">
        <v>766</v>
      </c>
      <c r="E1959" s="149">
        <v>0</v>
      </c>
      <c r="F1959" s="149">
        <v>0</v>
      </c>
      <c r="G1959" s="149">
        <v>0</v>
      </c>
      <c r="H1959" s="149">
        <v>0</v>
      </c>
      <c r="I1959" s="150">
        <v>0</v>
      </c>
    </row>
    <row r="1960" spans="1:9" ht="15.6" x14ac:dyDescent="0.25">
      <c r="A1960" s="145"/>
      <c r="B1960" s="146">
        <v>7413393</v>
      </c>
      <c r="C1960" s="147"/>
      <c r="D1960" s="148" t="s">
        <v>776</v>
      </c>
      <c r="E1960" s="149">
        <v>5.31</v>
      </c>
      <c r="F1960" s="149">
        <v>2.88</v>
      </c>
      <c r="G1960" s="149">
        <v>0</v>
      </c>
      <c r="H1960" s="149">
        <v>2.73</v>
      </c>
      <c r="I1960" s="150">
        <v>10.92</v>
      </c>
    </row>
    <row r="1961" spans="1:9" ht="15.6" x14ac:dyDescent="0.25">
      <c r="A1961" s="145"/>
      <c r="B1961" s="146">
        <v>7414811</v>
      </c>
      <c r="C1961" s="147"/>
      <c r="D1961" s="148" t="s">
        <v>790</v>
      </c>
      <c r="E1961" s="149">
        <v>5.31</v>
      </c>
      <c r="F1961" s="149">
        <v>2.88</v>
      </c>
      <c r="G1961" s="149">
        <v>18.260000000000002</v>
      </c>
      <c r="H1961" s="149">
        <v>2.73</v>
      </c>
      <c r="I1961" s="150">
        <v>29.180000000000003</v>
      </c>
    </row>
    <row r="1962" spans="1:9" ht="15.6" x14ac:dyDescent="0.25">
      <c r="A1962" s="145"/>
      <c r="B1962" s="146">
        <v>7417649</v>
      </c>
      <c r="C1962" s="147"/>
      <c r="D1962" s="148" t="s">
        <v>783</v>
      </c>
      <c r="E1962" s="149">
        <v>5.31</v>
      </c>
      <c r="F1962" s="149">
        <v>2.88</v>
      </c>
      <c r="G1962" s="149">
        <v>0</v>
      </c>
      <c r="H1962" s="149">
        <v>2.73</v>
      </c>
      <c r="I1962" s="150">
        <v>10.92</v>
      </c>
    </row>
    <row r="1963" spans="1:9" ht="15.6" x14ac:dyDescent="0.25">
      <c r="A1963" s="145"/>
      <c r="B1963" s="146">
        <v>7420327</v>
      </c>
      <c r="C1963" s="147"/>
      <c r="D1963" s="148" t="s">
        <v>851</v>
      </c>
      <c r="E1963" s="149">
        <v>5.31</v>
      </c>
      <c r="F1963" s="149">
        <v>2.88</v>
      </c>
      <c r="G1963" s="149">
        <v>28.61</v>
      </c>
      <c r="H1963" s="149">
        <v>2.73</v>
      </c>
      <c r="I1963" s="150">
        <v>39.529999999999994</v>
      </c>
    </row>
    <row r="1964" spans="1:9" ht="15.6" x14ac:dyDescent="0.25">
      <c r="A1964" s="145"/>
      <c r="B1964" s="146">
        <v>7427364</v>
      </c>
      <c r="C1964" s="147"/>
      <c r="D1964" s="148" t="s">
        <v>755</v>
      </c>
      <c r="E1964" s="149">
        <v>0</v>
      </c>
      <c r="F1964" s="149">
        <v>0</v>
      </c>
      <c r="G1964" s="149">
        <v>0</v>
      </c>
      <c r="H1964" s="149">
        <v>2.73</v>
      </c>
      <c r="I1964" s="150">
        <v>2.73</v>
      </c>
    </row>
    <row r="1965" spans="1:9" ht="15.6" x14ac:dyDescent="0.25">
      <c r="A1965" s="145"/>
      <c r="B1965" s="146">
        <v>7432417</v>
      </c>
      <c r="C1965" s="147"/>
      <c r="D1965" s="148" t="s">
        <v>836</v>
      </c>
      <c r="E1965" s="149">
        <v>5.31</v>
      </c>
      <c r="F1965" s="149">
        <v>2.88</v>
      </c>
      <c r="G1965" s="149">
        <v>0</v>
      </c>
      <c r="H1965" s="149">
        <v>2.73</v>
      </c>
      <c r="I1965" s="150">
        <v>10.92</v>
      </c>
    </row>
    <row r="1966" spans="1:9" ht="15.6" x14ac:dyDescent="0.25">
      <c r="A1966" s="145"/>
      <c r="B1966" s="146">
        <v>7436372</v>
      </c>
      <c r="C1966" s="147"/>
      <c r="D1966" s="148" t="s">
        <v>851</v>
      </c>
      <c r="E1966" s="149">
        <v>5.31</v>
      </c>
      <c r="F1966" s="149">
        <v>2.88</v>
      </c>
      <c r="G1966" s="149">
        <v>22.66</v>
      </c>
      <c r="H1966" s="149">
        <v>2.73</v>
      </c>
      <c r="I1966" s="150">
        <v>33.58</v>
      </c>
    </row>
    <row r="1967" spans="1:9" ht="15.6" x14ac:dyDescent="0.25">
      <c r="A1967" s="145"/>
      <c r="B1967" s="146">
        <v>7437015</v>
      </c>
      <c r="C1967" s="147"/>
      <c r="D1967" s="148" t="s">
        <v>822</v>
      </c>
      <c r="E1967" s="149">
        <v>5.31</v>
      </c>
      <c r="F1967" s="149">
        <v>2.88</v>
      </c>
      <c r="G1967" s="149">
        <v>0</v>
      </c>
      <c r="H1967" s="149">
        <v>2.73</v>
      </c>
      <c r="I1967" s="150">
        <v>10.92</v>
      </c>
    </row>
    <row r="1968" spans="1:9" ht="15.6" x14ac:dyDescent="0.25">
      <c r="A1968" s="145"/>
      <c r="B1968" s="146">
        <v>7440080</v>
      </c>
      <c r="C1968" s="147"/>
      <c r="D1968" s="148" t="s">
        <v>907</v>
      </c>
      <c r="E1968" s="149">
        <v>0</v>
      </c>
      <c r="F1968" s="149">
        <v>0</v>
      </c>
      <c r="G1968" s="149">
        <v>0</v>
      </c>
      <c r="H1968" s="149">
        <v>0</v>
      </c>
      <c r="I1968" s="150">
        <v>0</v>
      </c>
    </row>
    <row r="1969" spans="1:9" ht="15.6" x14ac:dyDescent="0.25">
      <c r="A1969" s="145"/>
      <c r="B1969" s="146">
        <v>7440851</v>
      </c>
      <c r="C1969" s="147"/>
      <c r="D1969" s="148" t="s">
        <v>867</v>
      </c>
      <c r="E1969" s="149">
        <v>5.31</v>
      </c>
      <c r="F1969" s="149">
        <v>2.88</v>
      </c>
      <c r="G1969" s="149">
        <v>0</v>
      </c>
      <c r="H1969" s="149">
        <v>2.73</v>
      </c>
      <c r="I1969" s="150">
        <v>10.92</v>
      </c>
    </row>
    <row r="1970" spans="1:9" ht="15.6" x14ac:dyDescent="0.25">
      <c r="A1970" s="145"/>
      <c r="B1970" s="146">
        <v>7443317</v>
      </c>
      <c r="C1970" s="147"/>
      <c r="D1970" s="148" t="s">
        <v>875</v>
      </c>
      <c r="E1970" s="149">
        <v>5.31</v>
      </c>
      <c r="F1970" s="149">
        <v>2.88</v>
      </c>
      <c r="G1970" s="149">
        <v>0</v>
      </c>
      <c r="H1970" s="149">
        <v>2.73</v>
      </c>
      <c r="I1970" s="150">
        <v>10.92</v>
      </c>
    </row>
    <row r="1971" spans="1:9" ht="15.6" x14ac:dyDescent="0.25">
      <c r="A1971" s="145"/>
      <c r="B1971" s="146">
        <v>7454893</v>
      </c>
      <c r="C1971" s="147"/>
      <c r="D1971" s="148" t="s">
        <v>773</v>
      </c>
      <c r="E1971" s="149">
        <v>5.31</v>
      </c>
      <c r="F1971" s="149">
        <v>2.88</v>
      </c>
      <c r="G1971" s="149">
        <v>0</v>
      </c>
      <c r="H1971" s="149">
        <v>2.73</v>
      </c>
      <c r="I1971" s="150">
        <v>10.92</v>
      </c>
    </row>
    <row r="1972" spans="1:9" ht="15.6" x14ac:dyDescent="0.25">
      <c r="A1972" s="145"/>
      <c r="B1972" s="146">
        <v>7456241</v>
      </c>
      <c r="C1972" s="147"/>
      <c r="D1972" s="148" t="s">
        <v>868</v>
      </c>
      <c r="E1972" s="149">
        <v>5.31</v>
      </c>
      <c r="F1972" s="149">
        <v>2.88</v>
      </c>
      <c r="G1972" s="149">
        <v>0</v>
      </c>
      <c r="H1972" s="149">
        <v>2.73</v>
      </c>
      <c r="I1972" s="150">
        <v>10.92</v>
      </c>
    </row>
    <row r="1973" spans="1:9" ht="15.6" x14ac:dyDescent="0.25">
      <c r="A1973" s="145"/>
      <c r="B1973" s="146">
        <v>7466511</v>
      </c>
      <c r="C1973" s="147"/>
      <c r="D1973" s="148" t="s">
        <v>868</v>
      </c>
      <c r="E1973" s="149">
        <v>5.31</v>
      </c>
      <c r="F1973" s="149">
        <v>2.88</v>
      </c>
      <c r="G1973" s="149">
        <v>0</v>
      </c>
      <c r="H1973" s="149">
        <v>2.73</v>
      </c>
      <c r="I1973" s="150">
        <v>10.92</v>
      </c>
    </row>
    <row r="1974" spans="1:9" ht="15.6" x14ac:dyDescent="0.25">
      <c r="A1974" s="145"/>
      <c r="B1974" s="146">
        <v>7468450</v>
      </c>
      <c r="C1974" s="147"/>
      <c r="D1974" s="148" t="s">
        <v>833</v>
      </c>
      <c r="E1974" s="149">
        <v>5.31</v>
      </c>
      <c r="F1974" s="149">
        <v>2.88</v>
      </c>
      <c r="G1974" s="149">
        <v>0</v>
      </c>
      <c r="H1974" s="149">
        <v>2.73</v>
      </c>
      <c r="I1974" s="150">
        <v>10.92</v>
      </c>
    </row>
    <row r="1975" spans="1:9" ht="15.6" x14ac:dyDescent="0.25">
      <c r="A1975" s="145"/>
      <c r="B1975" s="146">
        <v>7472250</v>
      </c>
      <c r="C1975" s="147"/>
      <c r="D1975" s="148" t="s">
        <v>824</v>
      </c>
      <c r="E1975" s="149">
        <v>5.31</v>
      </c>
      <c r="F1975" s="149">
        <v>2.88</v>
      </c>
      <c r="G1975" s="149">
        <v>0</v>
      </c>
      <c r="H1975" s="149">
        <v>2.73</v>
      </c>
      <c r="I1975" s="150">
        <v>10.92</v>
      </c>
    </row>
    <row r="1976" spans="1:9" ht="15.6" x14ac:dyDescent="0.25">
      <c r="A1976" s="145"/>
      <c r="B1976" s="146">
        <v>7472730</v>
      </c>
      <c r="C1976" s="147"/>
      <c r="D1976" s="148" t="s">
        <v>919</v>
      </c>
      <c r="E1976" s="149">
        <v>5.31</v>
      </c>
      <c r="F1976" s="149">
        <v>2.88</v>
      </c>
      <c r="G1976" s="149">
        <v>0</v>
      </c>
      <c r="H1976" s="149">
        <v>2.73</v>
      </c>
      <c r="I1976" s="150">
        <v>10.92</v>
      </c>
    </row>
    <row r="1977" spans="1:9" ht="15.6" x14ac:dyDescent="0.25">
      <c r="A1977" s="145"/>
      <c r="B1977" s="146">
        <v>7474922</v>
      </c>
      <c r="C1977" s="147"/>
      <c r="D1977" s="148" t="s">
        <v>868</v>
      </c>
      <c r="E1977" s="149">
        <v>5.31</v>
      </c>
      <c r="F1977" s="149">
        <v>2.88</v>
      </c>
      <c r="G1977" s="149">
        <v>0</v>
      </c>
      <c r="H1977" s="149">
        <v>2.73</v>
      </c>
      <c r="I1977" s="150">
        <v>10.92</v>
      </c>
    </row>
    <row r="1978" spans="1:9" ht="15.6" x14ac:dyDescent="0.25">
      <c r="A1978" s="145"/>
      <c r="B1978" s="146">
        <v>7475915</v>
      </c>
      <c r="C1978" s="147"/>
      <c r="D1978" s="148" t="s">
        <v>849</v>
      </c>
      <c r="E1978" s="149">
        <v>0</v>
      </c>
      <c r="F1978" s="149">
        <v>0</v>
      </c>
      <c r="G1978" s="149">
        <v>0</v>
      </c>
      <c r="H1978" s="149">
        <v>2.73</v>
      </c>
      <c r="I1978" s="150">
        <v>2.73</v>
      </c>
    </row>
    <row r="1979" spans="1:9" ht="15.6" x14ac:dyDescent="0.25">
      <c r="A1979" s="145"/>
      <c r="B1979" s="146">
        <v>7477731</v>
      </c>
      <c r="C1979" s="147"/>
      <c r="D1979" s="148" t="s">
        <v>887</v>
      </c>
      <c r="E1979" s="149">
        <v>0</v>
      </c>
      <c r="F1979" s="149">
        <v>0</v>
      </c>
      <c r="G1979" s="149">
        <v>0</v>
      </c>
      <c r="H1979" s="149">
        <v>0</v>
      </c>
      <c r="I1979" s="150">
        <v>0</v>
      </c>
    </row>
    <row r="1980" spans="1:9" ht="15.6" x14ac:dyDescent="0.25">
      <c r="A1980" s="145"/>
      <c r="B1980" s="146">
        <v>7489941</v>
      </c>
      <c r="C1980" s="147"/>
      <c r="D1980" s="148" t="s">
        <v>743</v>
      </c>
      <c r="E1980" s="149">
        <v>0</v>
      </c>
      <c r="F1980" s="149">
        <v>0</v>
      </c>
      <c r="G1980" s="149">
        <v>0</v>
      </c>
      <c r="H1980" s="149">
        <v>0</v>
      </c>
      <c r="I1980" s="150">
        <v>0</v>
      </c>
    </row>
    <row r="1981" spans="1:9" ht="15.6" x14ac:dyDescent="0.25">
      <c r="A1981" s="145"/>
      <c r="B1981" s="146">
        <v>7495077</v>
      </c>
      <c r="C1981" s="147"/>
      <c r="D1981" s="148" t="s">
        <v>918</v>
      </c>
      <c r="E1981" s="149">
        <v>0</v>
      </c>
      <c r="F1981" s="149">
        <v>0</v>
      </c>
      <c r="G1981" s="149">
        <v>0</v>
      </c>
      <c r="H1981" s="149">
        <v>0</v>
      </c>
      <c r="I1981" s="150">
        <v>0</v>
      </c>
    </row>
    <row r="1982" spans="1:9" ht="15.6" x14ac:dyDescent="0.25">
      <c r="A1982" s="145"/>
      <c r="B1982" s="146">
        <v>7506967</v>
      </c>
      <c r="C1982" s="147"/>
      <c r="D1982" s="148" t="s">
        <v>816</v>
      </c>
      <c r="E1982" s="149">
        <v>5.31</v>
      </c>
      <c r="F1982" s="149">
        <v>2.88</v>
      </c>
      <c r="G1982" s="149">
        <v>0</v>
      </c>
      <c r="H1982" s="149">
        <v>2.73</v>
      </c>
      <c r="I1982" s="150">
        <v>10.92</v>
      </c>
    </row>
    <row r="1983" spans="1:9" ht="15.6" x14ac:dyDescent="0.25">
      <c r="A1983" s="145"/>
      <c r="B1983" s="146">
        <v>7513862</v>
      </c>
      <c r="C1983" s="147"/>
      <c r="D1983" s="148" t="s">
        <v>851</v>
      </c>
      <c r="E1983" s="149">
        <v>5.31</v>
      </c>
      <c r="F1983" s="149">
        <v>2.88</v>
      </c>
      <c r="G1983" s="149">
        <v>22.66</v>
      </c>
      <c r="H1983" s="149">
        <v>2.73</v>
      </c>
      <c r="I1983" s="150">
        <v>33.58</v>
      </c>
    </row>
    <row r="1984" spans="1:9" ht="15.6" x14ac:dyDescent="0.25">
      <c r="A1984" s="145"/>
      <c r="B1984" s="146">
        <v>7514694</v>
      </c>
      <c r="C1984" s="147"/>
      <c r="D1984" s="148" t="s">
        <v>851</v>
      </c>
      <c r="E1984" s="149">
        <v>5.31</v>
      </c>
      <c r="F1984" s="149">
        <v>2.88</v>
      </c>
      <c r="G1984" s="149">
        <v>22.66</v>
      </c>
      <c r="H1984" s="149">
        <v>2.73</v>
      </c>
      <c r="I1984" s="150">
        <v>33.58</v>
      </c>
    </row>
    <row r="1985" spans="1:9" ht="15.6" x14ac:dyDescent="0.25">
      <c r="A1985" s="145"/>
      <c r="B1985" s="146">
        <v>7516182</v>
      </c>
      <c r="C1985" s="147"/>
      <c r="D1985" s="148" t="s">
        <v>925</v>
      </c>
      <c r="E1985" s="149">
        <v>5.31</v>
      </c>
      <c r="F1985" s="149">
        <v>2.88</v>
      </c>
      <c r="G1985" s="149">
        <v>0</v>
      </c>
      <c r="H1985" s="149">
        <v>0</v>
      </c>
      <c r="I1985" s="150">
        <v>8.19</v>
      </c>
    </row>
    <row r="1986" spans="1:9" ht="15.6" x14ac:dyDescent="0.25">
      <c r="A1986" s="145"/>
      <c r="B1986" s="146">
        <v>7518140</v>
      </c>
      <c r="C1986" s="147"/>
      <c r="D1986" s="148" t="s">
        <v>967</v>
      </c>
      <c r="E1986" s="149">
        <v>5.31</v>
      </c>
      <c r="F1986" s="149">
        <v>2.88</v>
      </c>
      <c r="G1986" s="149">
        <v>0</v>
      </c>
      <c r="H1986" s="149">
        <v>2.73</v>
      </c>
      <c r="I1986" s="150">
        <v>10.92</v>
      </c>
    </row>
    <row r="1987" spans="1:9" ht="15.6" x14ac:dyDescent="0.25">
      <c r="A1987" s="145"/>
      <c r="B1987" s="146">
        <v>7521516</v>
      </c>
      <c r="C1987" s="147"/>
      <c r="D1987" s="148" t="s">
        <v>868</v>
      </c>
      <c r="E1987" s="149">
        <v>5.31</v>
      </c>
      <c r="F1987" s="149">
        <v>2.88</v>
      </c>
      <c r="G1987" s="149">
        <v>0</v>
      </c>
      <c r="H1987" s="149">
        <v>2.73</v>
      </c>
      <c r="I1987" s="150">
        <v>10.92</v>
      </c>
    </row>
    <row r="1988" spans="1:9" ht="15.6" x14ac:dyDescent="0.25">
      <c r="A1988" s="145"/>
      <c r="B1988" s="146">
        <v>7522798</v>
      </c>
      <c r="C1988" s="147"/>
      <c r="D1988" s="148" t="s">
        <v>850</v>
      </c>
      <c r="E1988" s="149">
        <v>0</v>
      </c>
      <c r="F1988" s="149">
        <v>0</v>
      </c>
      <c r="G1988" s="149">
        <v>0</v>
      </c>
      <c r="H1988" s="149">
        <v>0</v>
      </c>
      <c r="I1988" s="150">
        <v>0</v>
      </c>
    </row>
    <row r="1989" spans="1:9" ht="15.6" x14ac:dyDescent="0.25">
      <c r="A1989" s="145"/>
      <c r="B1989" s="146">
        <v>7525529</v>
      </c>
      <c r="C1989" s="147"/>
      <c r="D1989" s="148" t="s">
        <v>781</v>
      </c>
      <c r="E1989" s="149">
        <v>5.31</v>
      </c>
      <c r="F1989" s="149">
        <v>2.88</v>
      </c>
      <c r="G1989" s="149">
        <v>42.13</v>
      </c>
      <c r="H1989" s="149">
        <v>2.73</v>
      </c>
      <c r="I1989" s="150">
        <v>53.05</v>
      </c>
    </row>
    <row r="1990" spans="1:9" ht="15.6" x14ac:dyDescent="0.25">
      <c r="A1990" s="145"/>
      <c r="B1990" s="146">
        <v>7527038</v>
      </c>
      <c r="C1990" s="147"/>
      <c r="D1990" s="148" t="s">
        <v>893</v>
      </c>
      <c r="E1990" s="149">
        <v>5.31</v>
      </c>
      <c r="F1990" s="149">
        <v>2.88</v>
      </c>
      <c r="G1990" s="149">
        <v>0</v>
      </c>
      <c r="H1990" s="149">
        <v>2.73</v>
      </c>
      <c r="I1990" s="150">
        <v>10.92</v>
      </c>
    </row>
    <row r="1991" spans="1:9" ht="15.6" x14ac:dyDescent="0.25">
      <c r="A1991" s="145"/>
      <c r="B1991" s="146">
        <v>7528722</v>
      </c>
      <c r="C1991" s="147"/>
      <c r="D1991" s="148" t="s">
        <v>875</v>
      </c>
      <c r="E1991" s="149">
        <v>5.31</v>
      </c>
      <c r="F1991" s="149">
        <v>2.88</v>
      </c>
      <c r="G1991" s="149">
        <v>0</v>
      </c>
      <c r="H1991" s="149">
        <v>2.73</v>
      </c>
      <c r="I1991" s="150">
        <v>10.92</v>
      </c>
    </row>
    <row r="1992" spans="1:9" ht="15.6" x14ac:dyDescent="0.25">
      <c r="A1992" s="145"/>
      <c r="B1992" s="146">
        <v>7531712</v>
      </c>
      <c r="C1992" s="147"/>
      <c r="D1992" s="148" t="s">
        <v>869</v>
      </c>
      <c r="E1992" s="149">
        <v>5.31</v>
      </c>
      <c r="F1992" s="149">
        <v>2.88</v>
      </c>
      <c r="G1992" s="149">
        <v>0</v>
      </c>
      <c r="H1992" s="149">
        <v>2.73</v>
      </c>
      <c r="I1992" s="150">
        <v>10.92</v>
      </c>
    </row>
    <row r="1993" spans="1:9" ht="15.6" x14ac:dyDescent="0.25">
      <c r="A1993" s="145"/>
      <c r="B1993" s="146">
        <v>7533787</v>
      </c>
      <c r="C1993" s="147"/>
      <c r="D1993" s="148" t="s">
        <v>858</v>
      </c>
      <c r="E1993" s="149">
        <v>0</v>
      </c>
      <c r="F1993" s="149">
        <v>0</v>
      </c>
      <c r="G1993" s="149">
        <v>0</v>
      </c>
      <c r="H1993" s="149">
        <v>2.73</v>
      </c>
      <c r="I1993" s="150">
        <v>2.73</v>
      </c>
    </row>
    <row r="1994" spans="1:9" ht="15.6" x14ac:dyDescent="0.25">
      <c r="A1994" s="145"/>
      <c r="B1994" s="146">
        <v>7533984</v>
      </c>
      <c r="C1994" s="147"/>
      <c r="D1994" s="148" t="s">
        <v>868</v>
      </c>
      <c r="E1994" s="149">
        <v>5.31</v>
      </c>
      <c r="F1994" s="149">
        <v>2.88</v>
      </c>
      <c r="G1994" s="149">
        <v>0</v>
      </c>
      <c r="H1994" s="149">
        <v>2.73</v>
      </c>
      <c r="I1994" s="150">
        <v>10.92</v>
      </c>
    </row>
    <row r="1995" spans="1:9" ht="15.6" x14ac:dyDescent="0.25">
      <c r="A1995" s="145"/>
      <c r="B1995" s="146">
        <v>7539439</v>
      </c>
      <c r="C1995" s="147"/>
      <c r="D1995" s="148" t="s">
        <v>828</v>
      </c>
      <c r="E1995" s="149">
        <v>5.31</v>
      </c>
      <c r="F1995" s="149">
        <v>2.88</v>
      </c>
      <c r="G1995" s="149">
        <v>0</v>
      </c>
      <c r="H1995" s="149">
        <v>2.73</v>
      </c>
      <c r="I1995" s="150">
        <v>10.92</v>
      </c>
    </row>
    <row r="1996" spans="1:9" ht="15.6" x14ac:dyDescent="0.25">
      <c r="A1996" s="145"/>
      <c r="B1996" s="146">
        <v>7546818</v>
      </c>
      <c r="C1996" s="147"/>
      <c r="D1996" s="148" t="s">
        <v>728</v>
      </c>
      <c r="E1996" s="149">
        <v>0</v>
      </c>
      <c r="F1996" s="149">
        <v>0</v>
      </c>
      <c r="G1996" s="149">
        <v>0</v>
      </c>
      <c r="H1996" s="149">
        <v>0</v>
      </c>
      <c r="I1996" s="150">
        <v>0</v>
      </c>
    </row>
    <row r="1997" spans="1:9" ht="15.6" x14ac:dyDescent="0.25">
      <c r="A1997" s="145"/>
      <c r="B1997" s="146">
        <v>7559524</v>
      </c>
      <c r="C1997" s="147"/>
      <c r="D1997" s="148" t="s">
        <v>883</v>
      </c>
      <c r="E1997" s="149">
        <v>0</v>
      </c>
      <c r="F1997" s="149">
        <v>0</v>
      </c>
      <c r="G1997" s="149">
        <v>0</v>
      </c>
      <c r="H1997" s="149">
        <v>0</v>
      </c>
      <c r="I1997" s="150">
        <v>0</v>
      </c>
    </row>
    <row r="1998" spans="1:9" ht="15.6" x14ac:dyDescent="0.25">
      <c r="A1998" s="145"/>
      <c r="B1998" s="146">
        <v>7569653</v>
      </c>
      <c r="C1998" s="147"/>
      <c r="D1998" s="148" t="s">
        <v>891</v>
      </c>
      <c r="E1998" s="149">
        <v>5.31</v>
      </c>
      <c r="F1998" s="149">
        <v>2.88</v>
      </c>
      <c r="G1998" s="149">
        <v>0</v>
      </c>
      <c r="H1998" s="149">
        <v>2.73</v>
      </c>
      <c r="I1998" s="150">
        <v>10.92</v>
      </c>
    </row>
    <row r="1999" spans="1:9" ht="15.6" x14ac:dyDescent="0.25">
      <c r="A1999" s="145"/>
      <c r="B1999" s="146">
        <v>7570714</v>
      </c>
      <c r="C1999" s="147"/>
      <c r="D1999" s="148" t="s">
        <v>851</v>
      </c>
      <c r="E1999" s="149">
        <v>5.31</v>
      </c>
      <c r="F1999" s="149">
        <v>2.88</v>
      </c>
      <c r="G1999" s="149">
        <v>22.66</v>
      </c>
      <c r="H1999" s="149">
        <v>2.73</v>
      </c>
      <c r="I1999" s="150">
        <v>33.58</v>
      </c>
    </row>
    <row r="2000" spans="1:9" ht="15.6" x14ac:dyDescent="0.25">
      <c r="A2000" s="145"/>
      <c r="B2000" s="146">
        <v>7571567</v>
      </c>
      <c r="C2000" s="147"/>
      <c r="D2000" s="148" t="s">
        <v>766</v>
      </c>
      <c r="E2000" s="149">
        <v>0</v>
      </c>
      <c r="F2000" s="149">
        <v>0</v>
      </c>
      <c r="G2000" s="149">
        <v>0</v>
      </c>
      <c r="H2000" s="149">
        <v>0</v>
      </c>
      <c r="I2000" s="150">
        <v>0</v>
      </c>
    </row>
    <row r="2001" spans="1:9" ht="15.6" x14ac:dyDescent="0.25">
      <c r="A2001" s="145"/>
      <c r="B2001" s="146">
        <v>7571986</v>
      </c>
      <c r="C2001" s="147"/>
      <c r="D2001" s="148" t="s">
        <v>857</v>
      </c>
      <c r="E2001" s="149">
        <v>0</v>
      </c>
      <c r="F2001" s="149">
        <v>0</v>
      </c>
      <c r="G2001" s="149">
        <v>0</v>
      </c>
      <c r="H2001" s="149">
        <v>0</v>
      </c>
      <c r="I2001" s="150">
        <v>0</v>
      </c>
    </row>
    <row r="2002" spans="1:9" ht="15.6" x14ac:dyDescent="0.25">
      <c r="A2002" s="145"/>
      <c r="B2002" s="146">
        <v>7572587</v>
      </c>
      <c r="C2002" s="147"/>
      <c r="D2002" s="148" t="s">
        <v>914</v>
      </c>
      <c r="E2002" s="149">
        <v>0</v>
      </c>
      <c r="F2002" s="149">
        <v>0</v>
      </c>
      <c r="G2002" s="149">
        <v>0</v>
      </c>
      <c r="H2002" s="149">
        <v>0</v>
      </c>
      <c r="I2002" s="150">
        <v>0</v>
      </c>
    </row>
    <row r="2003" spans="1:9" ht="15.6" x14ac:dyDescent="0.25">
      <c r="A2003" s="145"/>
      <c r="B2003" s="146">
        <v>7575792</v>
      </c>
      <c r="C2003" s="147"/>
      <c r="D2003" s="148" t="s">
        <v>733</v>
      </c>
      <c r="E2003" s="149">
        <v>0</v>
      </c>
      <c r="F2003" s="149">
        <v>0</v>
      </c>
      <c r="G2003" s="149">
        <v>0</v>
      </c>
      <c r="H2003" s="149">
        <v>0</v>
      </c>
      <c r="I2003" s="150">
        <v>0</v>
      </c>
    </row>
    <row r="2004" spans="1:9" ht="15.6" x14ac:dyDescent="0.25">
      <c r="A2004" s="145"/>
      <c r="B2004" s="146">
        <v>7586555</v>
      </c>
      <c r="C2004" s="147"/>
      <c r="D2004" s="148" t="s">
        <v>857</v>
      </c>
      <c r="E2004" s="149">
        <v>0</v>
      </c>
      <c r="F2004" s="149">
        <v>0</v>
      </c>
      <c r="G2004" s="149">
        <v>0</v>
      </c>
      <c r="H2004" s="149">
        <v>0</v>
      </c>
      <c r="I2004" s="150">
        <v>0</v>
      </c>
    </row>
    <row r="2005" spans="1:9" ht="15.6" x14ac:dyDescent="0.25">
      <c r="A2005" s="145"/>
      <c r="B2005" s="146">
        <v>7594994</v>
      </c>
      <c r="C2005" s="147"/>
      <c r="D2005" s="148" t="s">
        <v>909</v>
      </c>
      <c r="E2005" s="149">
        <v>5.31</v>
      </c>
      <c r="F2005" s="149">
        <v>0</v>
      </c>
      <c r="G2005" s="149">
        <v>0</v>
      </c>
      <c r="H2005" s="149">
        <v>2.73</v>
      </c>
      <c r="I2005" s="150">
        <v>8.0399999999999991</v>
      </c>
    </row>
    <row r="2006" spans="1:9" ht="15.6" x14ac:dyDescent="0.25">
      <c r="A2006" s="145"/>
      <c r="B2006" s="146">
        <v>7596114</v>
      </c>
      <c r="C2006" s="147"/>
      <c r="D2006" s="148" t="s">
        <v>932</v>
      </c>
      <c r="E2006" s="149">
        <v>0</v>
      </c>
      <c r="F2006" s="149">
        <v>0</v>
      </c>
      <c r="G2006" s="149">
        <v>0</v>
      </c>
      <c r="H2006" s="149">
        <v>2.73</v>
      </c>
      <c r="I2006" s="150">
        <v>2.73</v>
      </c>
    </row>
    <row r="2007" spans="1:9" ht="15.6" x14ac:dyDescent="0.25">
      <c r="A2007" s="145"/>
      <c r="B2007" s="146">
        <v>7596680</v>
      </c>
      <c r="C2007" s="147"/>
      <c r="D2007" s="148" t="s">
        <v>826</v>
      </c>
      <c r="E2007" s="149">
        <v>5.31</v>
      </c>
      <c r="F2007" s="149">
        <v>2.88</v>
      </c>
      <c r="G2007" s="149">
        <v>0</v>
      </c>
      <c r="H2007" s="149">
        <v>2.73</v>
      </c>
      <c r="I2007" s="150">
        <v>10.92</v>
      </c>
    </row>
    <row r="2008" spans="1:9" ht="15.6" x14ac:dyDescent="0.25">
      <c r="A2008" s="145"/>
      <c r="B2008" s="146">
        <v>7597161</v>
      </c>
      <c r="C2008" s="147"/>
      <c r="D2008" s="148" t="s">
        <v>923</v>
      </c>
      <c r="E2008" s="149">
        <v>5.31</v>
      </c>
      <c r="F2008" s="149">
        <v>2.88</v>
      </c>
      <c r="G2008" s="149">
        <v>0</v>
      </c>
      <c r="H2008" s="149">
        <v>2.73</v>
      </c>
      <c r="I2008" s="150">
        <v>10.92</v>
      </c>
    </row>
    <row r="2009" spans="1:9" ht="15.6" x14ac:dyDescent="0.25">
      <c r="A2009" s="145"/>
      <c r="B2009" s="146">
        <v>7605584</v>
      </c>
      <c r="C2009" s="147"/>
      <c r="D2009" s="148" t="s">
        <v>881</v>
      </c>
      <c r="E2009" s="149">
        <v>5.31</v>
      </c>
      <c r="F2009" s="149">
        <v>2.88</v>
      </c>
      <c r="G2009" s="149">
        <v>0</v>
      </c>
      <c r="H2009" s="149">
        <v>2.73</v>
      </c>
      <c r="I2009" s="150">
        <v>10.92</v>
      </c>
    </row>
    <row r="2010" spans="1:9" ht="15.6" x14ac:dyDescent="0.25">
      <c r="A2010" s="145"/>
      <c r="B2010" s="146">
        <v>7606050</v>
      </c>
      <c r="C2010" s="147"/>
      <c r="D2010" s="148" t="s">
        <v>947</v>
      </c>
      <c r="E2010" s="149">
        <v>5.31</v>
      </c>
      <c r="F2010" s="149">
        <v>2.88</v>
      </c>
      <c r="G2010" s="149">
        <v>0</v>
      </c>
      <c r="H2010" s="149">
        <v>2.73</v>
      </c>
      <c r="I2010" s="150">
        <v>10.92</v>
      </c>
    </row>
    <row r="2011" spans="1:9" ht="15.6" x14ac:dyDescent="0.25">
      <c r="A2011" s="145"/>
      <c r="B2011" s="146">
        <v>7610468</v>
      </c>
      <c r="C2011" s="147"/>
      <c r="D2011" s="148" t="s">
        <v>851</v>
      </c>
      <c r="E2011" s="149">
        <v>5.31</v>
      </c>
      <c r="F2011" s="149">
        <v>2.88</v>
      </c>
      <c r="G2011" s="149">
        <v>22.66</v>
      </c>
      <c r="H2011" s="149">
        <v>2.73</v>
      </c>
      <c r="I2011" s="150">
        <v>33.58</v>
      </c>
    </row>
    <row r="2012" spans="1:9" ht="15.6" x14ac:dyDescent="0.25">
      <c r="A2012" s="145"/>
      <c r="B2012" s="146">
        <v>7611061</v>
      </c>
      <c r="C2012" s="147"/>
      <c r="D2012" s="148" t="s">
        <v>908</v>
      </c>
      <c r="E2012" s="149">
        <v>5.31</v>
      </c>
      <c r="F2012" s="149">
        <v>2.88</v>
      </c>
      <c r="G2012" s="149">
        <v>0</v>
      </c>
      <c r="H2012" s="149">
        <v>2.73</v>
      </c>
      <c r="I2012" s="150">
        <v>10.92</v>
      </c>
    </row>
    <row r="2013" spans="1:9" ht="15.6" x14ac:dyDescent="0.25">
      <c r="A2013" s="145"/>
      <c r="B2013" s="146">
        <v>7613813</v>
      </c>
      <c r="C2013" s="147"/>
      <c r="D2013" s="148" t="s">
        <v>745</v>
      </c>
      <c r="E2013" s="149">
        <v>5.31</v>
      </c>
      <c r="F2013" s="149">
        <v>2.88</v>
      </c>
      <c r="G2013" s="149">
        <v>0</v>
      </c>
      <c r="H2013" s="149">
        <v>2.73</v>
      </c>
      <c r="I2013" s="150">
        <v>10.92</v>
      </c>
    </row>
    <row r="2014" spans="1:9" ht="15.6" x14ac:dyDescent="0.25">
      <c r="A2014" s="145"/>
      <c r="B2014" s="146">
        <v>7618113</v>
      </c>
      <c r="C2014" s="147"/>
      <c r="D2014" s="148" t="s">
        <v>759</v>
      </c>
      <c r="E2014" s="149">
        <v>0</v>
      </c>
      <c r="F2014" s="149">
        <v>0</v>
      </c>
      <c r="G2014" s="149">
        <v>0</v>
      </c>
      <c r="H2014" s="149">
        <v>2.73</v>
      </c>
      <c r="I2014" s="150">
        <v>2.73</v>
      </c>
    </row>
    <row r="2015" spans="1:9" ht="15.6" x14ac:dyDescent="0.25">
      <c r="A2015" s="145"/>
      <c r="B2015" s="146">
        <v>7620426</v>
      </c>
      <c r="C2015" s="147"/>
      <c r="D2015" s="148" t="s">
        <v>751</v>
      </c>
      <c r="E2015" s="149">
        <v>5.31</v>
      </c>
      <c r="F2015" s="149">
        <v>0</v>
      </c>
      <c r="G2015" s="149">
        <v>0</v>
      </c>
      <c r="H2015" s="149">
        <v>2.73</v>
      </c>
      <c r="I2015" s="150">
        <v>8.0399999999999991</v>
      </c>
    </row>
    <row r="2016" spans="1:9" ht="15.6" x14ac:dyDescent="0.25">
      <c r="A2016" s="145"/>
      <c r="B2016" s="146">
        <v>7622124</v>
      </c>
      <c r="C2016" s="147"/>
      <c r="D2016" s="148" t="s">
        <v>751</v>
      </c>
      <c r="E2016" s="149">
        <v>0</v>
      </c>
      <c r="F2016" s="149">
        <v>0</v>
      </c>
      <c r="G2016" s="149">
        <v>0</v>
      </c>
      <c r="H2016" s="149">
        <v>0</v>
      </c>
      <c r="I2016" s="150">
        <v>0</v>
      </c>
    </row>
    <row r="2017" spans="1:9" ht="15.6" x14ac:dyDescent="0.25">
      <c r="A2017" s="145"/>
      <c r="B2017" s="146">
        <v>7625174</v>
      </c>
      <c r="C2017" s="147"/>
      <c r="D2017" s="148" t="s">
        <v>826</v>
      </c>
      <c r="E2017" s="149">
        <v>5.31</v>
      </c>
      <c r="F2017" s="149">
        <v>2.88</v>
      </c>
      <c r="G2017" s="149">
        <v>0</v>
      </c>
      <c r="H2017" s="149">
        <v>2.73</v>
      </c>
      <c r="I2017" s="150">
        <v>10.92</v>
      </c>
    </row>
    <row r="2018" spans="1:9" ht="15.6" x14ac:dyDescent="0.25">
      <c r="A2018" s="145"/>
      <c r="B2018" s="146">
        <v>7625796</v>
      </c>
      <c r="C2018" s="147"/>
      <c r="D2018" s="148" t="s">
        <v>931</v>
      </c>
      <c r="E2018" s="149">
        <v>5.31</v>
      </c>
      <c r="F2018" s="149">
        <v>2.88</v>
      </c>
      <c r="G2018" s="149">
        <v>0</v>
      </c>
      <c r="H2018" s="149">
        <v>2.73</v>
      </c>
      <c r="I2018" s="150">
        <v>10.92</v>
      </c>
    </row>
    <row r="2019" spans="1:9" ht="15.6" x14ac:dyDescent="0.25">
      <c r="A2019" s="145"/>
      <c r="B2019" s="146">
        <v>7627282</v>
      </c>
      <c r="C2019" s="147"/>
      <c r="D2019" s="148" t="s">
        <v>828</v>
      </c>
      <c r="E2019" s="149">
        <v>5.31</v>
      </c>
      <c r="F2019" s="149">
        <v>2.88</v>
      </c>
      <c r="G2019" s="149">
        <v>0</v>
      </c>
      <c r="H2019" s="149">
        <v>2.73</v>
      </c>
      <c r="I2019" s="150">
        <v>10.92</v>
      </c>
    </row>
    <row r="2020" spans="1:9" ht="15.6" x14ac:dyDescent="0.25">
      <c r="A2020" s="145"/>
      <c r="B2020" s="146">
        <v>7637254</v>
      </c>
      <c r="C2020" s="147"/>
      <c r="D2020" s="148" t="s">
        <v>851</v>
      </c>
      <c r="E2020" s="149">
        <v>5.31</v>
      </c>
      <c r="F2020" s="149">
        <v>2.88</v>
      </c>
      <c r="G2020" s="149">
        <v>22.66</v>
      </c>
      <c r="H2020" s="149">
        <v>2.73</v>
      </c>
      <c r="I2020" s="150">
        <v>33.58</v>
      </c>
    </row>
    <row r="2021" spans="1:9" ht="15.6" x14ac:dyDescent="0.25">
      <c r="A2021" s="145"/>
      <c r="B2021" s="146">
        <v>7638115</v>
      </c>
      <c r="C2021" s="147"/>
      <c r="D2021" s="148" t="s">
        <v>780</v>
      </c>
      <c r="E2021" s="149">
        <v>5.31</v>
      </c>
      <c r="F2021" s="149">
        <v>2.88</v>
      </c>
      <c r="G2021" s="149">
        <v>0</v>
      </c>
      <c r="H2021" s="149">
        <v>2.73</v>
      </c>
      <c r="I2021" s="150">
        <v>10.92</v>
      </c>
    </row>
    <row r="2022" spans="1:9" ht="15.6" x14ac:dyDescent="0.25">
      <c r="A2022" s="145"/>
      <c r="B2022" s="146">
        <v>7638744</v>
      </c>
      <c r="C2022" s="147"/>
      <c r="D2022" s="148" t="s">
        <v>868</v>
      </c>
      <c r="E2022" s="149">
        <v>5.31</v>
      </c>
      <c r="F2022" s="149">
        <v>2.88</v>
      </c>
      <c r="G2022" s="149">
        <v>0</v>
      </c>
      <c r="H2022" s="149">
        <v>2.73</v>
      </c>
      <c r="I2022" s="150">
        <v>10.92</v>
      </c>
    </row>
    <row r="2023" spans="1:9" ht="15.6" x14ac:dyDescent="0.25">
      <c r="A2023" s="145"/>
      <c r="B2023" s="146">
        <v>7640586</v>
      </c>
      <c r="C2023" s="147"/>
      <c r="D2023" s="148" t="s">
        <v>728</v>
      </c>
      <c r="E2023" s="149">
        <v>0</v>
      </c>
      <c r="F2023" s="149">
        <v>0</v>
      </c>
      <c r="G2023" s="149">
        <v>0</v>
      </c>
      <c r="H2023" s="149">
        <v>0</v>
      </c>
      <c r="I2023" s="150">
        <v>0</v>
      </c>
    </row>
    <row r="2024" spans="1:9" ht="15.6" x14ac:dyDescent="0.25">
      <c r="A2024" s="145"/>
      <c r="B2024" s="146">
        <v>7642618</v>
      </c>
      <c r="C2024" s="147"/>
      <c r="D2024" s="148" t="s">
        <v>734</v>
      </c>
      <c r="E2024" s="149">
        <v>0</v>
      </c>
      <c r="F2024" s="149">
        <v>0</v>
      </c>
      <c r="G2024" s="149">
        <v>0</v>
      </c>
      <c r="H2024" s="149">
        <v>0</v>
      </c>
      <c r="I2024" s="150">
        <v>0</v>
      </c>
    </row>
    <row r="2025" spans="1:9" ht="15.6" x14ac:dyDescent="0.25">
      <c r="A2025" s="145"/>
      <c r="B2025" s="146">
        <v>7650009</v>
      </c>
      <c r="C2025" s="147"/>
      <c r="D2025" s="148" t="s">
        <v>851</v>
      </c>
      <c r="E2025" s="149">
        <v>5.31</v>
      </c>
      <c r="F2025" s="149">
        <v>2.88</v>
      </c>
      <c r="G2025" s="149">
        <v>22.66</v>
      </c>
      <c r="H2025" s="149">
        <v>2.73</v>
      </c>
      <c r="I2025" s="150">
        <v>33.58</v>
      </c>
    </row>
    <row r="2026" spans="1:9" ht="15.6" x14ac:dyDescent="0.25">
      <c r="A2026" s="145"/>
      <c r="B2026" s="146">
        <v>7654905</v>
      </c>
      <c r="C2026" s="147"/>
      <c r="D2026" s="148" t="s">
        <v>773</v>
      </c>
      <c r="E2026" s="149">
        <v>5.31</v>
      </c>
      <c r="F2026" s="149">
        <v>2.88</v>
      </c>
      <c r="G2026" s="149">
        <v>0</v>
      </c>
      <c r="H2026" s="149">
        <v>2.73</v>
      </c>
      <c r="I2026" s="150">
        <v>10.92</v>
      </c>
    </row>
    <row r="2027" spans="1:9" ht="15.6" x14ac:dyDescent="0.25">
      <c r="A2027" s="145"/>
      <c r="B2027" s="146">
        <v>7660391</v>
      </c>
      <c r="C2027" s="147"/>
      <c r="D2027" s="148" t="s">
        <v>881</v>
      </c>
      <c r="E2027" s="149">
        <v>5.31</v>
      </c>
      <c r="F2027" s="149">
        <v>2.88</v>
      </c>
      <c r="G2027" s="149">
        <v>0</v>
      </c>
      <c r="H2027" s="149">
        <v>2.73</v>
      </c>
      <c r="I2027" s="150">
        <v>10.92</v>
      </c>
    </row>
    <row r="2028" spans="1:9" ht="15.6" x14ac:dyDescent="0.25">
      <c r="A2028" s="145"/>
      <c r="B2028" s="146">
        <v>7664467</v>
      </c>
      <c r="C2028" s="147"/>
      <c r="D2028" s="148" t="s">
        <v>766</v>
      </c>
      <c r="E2028" s="149">
        <v>0</v>
      </c>
      <c r="F2028" s="149">
        <v>0</v>
      </c>
      <c r="G2028" s="149">
        <v>0</v>
      </c>
      <c r="H2028" s="149">
        <v>0</v>
      </c>
      <c r="I2028" s="150">
        <v>0</v>
      </c>
    </row>
    <row r="2029" spans="1:9" ht="15.6" x14ac:dyDescent="0.25">
      <c r="A2029" s="145"/>
      <c r="B2029" s="146">
        <v>7665851</v>
      </c>
      <c r="C2029" s="147"/>
      <c r="D2029" s="148" t="s">
        <v>857</v>
      </c>
      <c r="E2029" s="149">
        <v>0</v>
      </c>
      <c r="F2029" s="149">
        <v>0</v>
      </c>
      <c r="G2029" s="149">
        <v>0</v>
      </c>
      <c r="H2029" s="149">
        <v>0</v>
      </c>
      <c r="I2029" s="150">
        <v>0</v>
      </c>
    </row>
    <row r="2030" spans="1:9" ht="15.6" x14ac:dyDescent="0.25">
      <c r="A2030" s="145"/>
      <c r="B2030" s="146">
        <v>7670227</v>
      </c>
      <c r="C2030" s="147"/>
      <c r="D2030" s="148" t="s">
        <v>861</v>
      </c>
      <c r="E2030" s="149">
        <v>5.31</v>
      </c>
      <c r="F2030" s="149">
        <v>2.88</v>
      </c>
      <c r="G2030" s="149">
        <v>0</v>
      </c>
      <c r="H2030" s="149">
        <v>2.73</v>
      </c>
      <c r="I2030" s="150">
        <v>10.92</v>
      </c>
    </row>
    <row r="2031" spans="1:9" ht="15.6" x14ac:dyDescent="0.25">
      <c r="A2031" s="145"/>
      <c r="B2031" s="146">
        <v>7673374</v>
      </c>
      <c r="C2031" s="147"/>
      <c r="D2031" s="148" t="s">
        <v>788</v>
      </c>
      <c r="E2031" s="149">
        <v>5.31</v>
      </c>
      <c r="F2031" s="149">
        <v>0</v>
      </c>
      <c r="G2031" s="149">
        <v>0</v>
      </c>
      <c r="H2031" s="149">
        <v>2.73</v>
      </c>
      <c r="I2031" s="150">
        <v>8.0399999999999991</v>
      </c>
    </row>
    <row r="2032" spans="1:9" ht="15.6" x14ac:dyDescent="0.25">
      <c r="A2032" s="145"/>
      <c r="B2032" s="146">
        <v>7673702</v>
      </c>
      <c r="C2032" s="147"/>
      <c r="D2032" s="148" t="s">
        <v>772</v>
      </c>
      <c r="E2032" s="149">
        <v>5.31</v>
      </c>
      <c r="F2032" s="149">
        <v>2.88</v>
      </c>
      <c r="G2032" s="149">
        <v>39.130000000000003</v>
      </c>
      <c r="H2032" s="149">
        <v>2.73</v>
      </c>
      <c r="I2032" s="150">
        <v>50.05</v>
      </c>
    </row>
    <row r="2033" spans="1:9" ht="15.6" x14ac:dyDescent="0.25">
      <c r="A2033" s="145"/>
      <c r="B2033" s="146">
        <v>7674309</v>
      </c>
      <c r="C2033" s="147"/>
      <c r="D2033" s="148" t="s">
        <v>918</v>
      </c>
      <c r="E2033" s="149">
        <v>0</v>
      </c>
      <c r="F2033" s="149">
        <v>0</v>
      </c>
      <c r="G2033" s="149">
        <v>0</v>
      </c>
      <c r="H2033" s="149">
        <v>0</v>
      </c>
      <c r="I2033" s="150">
        <v>0</v>
      </c>
    </row>
    <row r="2034" spans="1:9" ht="15.6" x14ac:dyDescent="0.25">
      <c r="A2034" s="145"/>
      <c r="B2034" s="146">
        <v>7688783</v>
      </c>
      <c r="C2034" s="147"/>
      <c r="D2034" s="148" t="s">
        <v>868</v>
      </c>
      <c r="E2034" s="149">
        <v>5.31</v>
      </c>
      <c r="F2034" s="149">
        <v>2.88</v>
      </c>
      <c r="G2034" s="149">
        <v>0</v>
      </c>
      <c r="H2034" s="149">
        <v>2.73</v>
      </c>
      <c r="I2034" s="150">
        <v>10.92</v>
      </c>
    </row>
    <row r="2035" spans="1:9" ht="15.6" x14ac:dyDescent="0.25">
      <c r="A2035" s="145"/>
      <c r="B2035" s="146">
        <v>7689960</v>
      </c>
      <c r="C2035" s="147"/>
      <c r="D2035" s="148" t="s">
        <v>790</v>
      </c>
      <c r="E2035" s="149">
        <v>5.31</v>
      </c>
      <c r="F2035" s="149">
        <v>2.88</v>
      </c>
      <c r="G2035" s="149">
        <v>18.260000000000002</v>
      </c>
      <c r="H2035" s="149">
        <v>2.73</v>
      </c>
      <c r="I2035" s="150">
        <v>29.180000000000003</v>
      </c>
    </row>
    <row r="2036" spans="1:9" ht="15.6" x14ac:dyDescent="0.25">
      <c r="A2036" s="145"/>
      <c r="B2036" s="146">
        <v>7695405</v>
      </c>
      <c r="C2036" s="147"/>
      <c r="D2036" s="148" t="s">
        <v>918</v>
      </c>
      <c r="E2036" s="149">
        <v>0</v>
      </c>
      <c r="F2036" s="149">
        <v>0</v>
      </c>
      <c r="G2036" s="149">
        <v>0</v>
      </c>
      <c r="H2036" s="149">
        <v>0</v>
      </c>
      <c r="I2036" s="150">
        <v>0</v>
      </c>
    </row>
    <row r="2037" spans="1:9" ht="15.6" x14ac:dyDescent="0.25">
      <c r="A2037" s="145"/>
      <c r="B2037" s="146">
        <v>7708762</v>
      </c>
      <c r="C2037" s="147"/>
      <c r="D2037" s="148" t="s">
        <v>861</v>
      </c>
      <c r="E2037" s="149">
        <v>5.31</v>
      </c>
      <c r="F2037" s="149">
        <v>2.88</v>
      </c>
      <c r="G2037" s="149">
        <v>0</v>
      </c>
      <c r="H2037" s="149">
        <v>2.73</v>
      </c>
      <c r="I2037" s="150">
        <v>10.92</v>
      </c>
    </row>
    <row r="2038" spans="1:9" ht="15.6" x14ac:dyDescent="0.25">
      <c r="A2038" s="145"/>
      <c r="B2038" s="146">
        <v>7710754</v>
      </c>
      <c r="C2038" s="147"/>
      <c r="D2038" s="148" t="s">
        <v>868</v>
      </c>
      <c r="E2038" s="149">
        <v>5.31</v>
      </c>
      <c r="F2038" s="149">
        <v>2.88</v>
      </c>
      <c r="G2038" s="149">
        <v>0</v>
      </c>
      <c r="H2038" s="149">
        <v>2.73</v>
      </c>
      <c r="I2038" s="150">
        <v>10.92</v>
      </c>
    </row>
    <row r="2039" spans="1:9" ht="15.6" x14ac:dyDescent="0.25">
      <c r="A2039" s="145"/>
      <c r="B2039" s="146">
        <v>7713730</v>
      </c>
      <c r="C2039" s="147"/>
      <c r="D2039" s="148" t="s">
        <v>850</v>
      </c>
      <c r="E2039" s="149">
        <v>0</v>
      </c>
      <c r="F2039" s="149">
        <v>0</v>
      </c>
      <c r="G2039" s="149">
        <v>0</v>
      </c>
      <c r="H2039" s="149">
        <v>0</v>
      </c>
      <c r="I2039" s="150">
        <v>0</v>
      </c>
    </row>
    <row r="2040" spans="1:9" ht="15.6" x14ac:dyDescent="0.25">
      <c r="A2040" s="145"/>
      <c r="B2040" s="146">
        <v>7719897</v>
      </c>
      <c r="C2040" s="147"/>
      <c r="D2040" s="148" t="s">
        <v>848</v>
      </c>
      <c r="E2040" s="149">
        <v>5.31</v>
      </c>
      <c r="F2040" s="149">
        <v>2.88</v>
      </c>
      <c r="G2040" s="149">
        <v>0</v>
      </c>
      <c r="H2040" s="149">
        <v>2.73</v>
      </c>
      <c r="I2040" s="150">
        <v>10.92</v>
      </c>
    </row>
    <row r="2041" spans="1:9" ht="15.6" x14ac:dyDescent="0.25">
      <c r="A2041" s="145"/>
      <c r="B2041" s="146">
        <v>7719901</v>
      </c>
      <c r="C2041" s="147"/>
      <c r="D2041" s="148" t="s">
        <v>875</v>
      </c>
      <c r="E2041" s="149">
        <v>5.31</v>
      </c>
      <c r="F2041" s="149">
        <v>2.88</v>
      </c>
      <c r="G2041" s="149">
        <v>0</v>
      </c>
      <c r="H2041" s="149">
        <v>2.73</v>
      </c>
      <c r="I2041" s="150">
        <v>10.92</v>
      </c>
    </row>
    <row r="2042" spans="1:9" ht="15.6" x14ac:dyDescent="0.25">
      <c r="A2042" s="145"/>
      <c r="B2042" s="146">
        <v>7720455</v>
      </c>
      <c r="C2042" s="147"/>
      <c r="D2042" s="148" t="s">
        <v>857</v>
      </c>
      <c r="E2042" s="149">
        <v>0</v>
      </c>
      <c r="F2042" s="149">
        <v>0</v>
      </c>
      <c r="G2042" s="149">
        <v>0</v>
      </c>
      <c r="H2042" s="149">
        <v>0</v>
      </c>
      <c r="I2042" s="150">
        <v>0</v>
      </c>
    </row>
    <row r="2043" spans="1:9" ht="15.6" x14ac:dyDescent="0.25">
      <c r="A2043" s="145"/>
      <c r="B2043" s="146">
        <v>7722437</v>
      </c>
      <c r="C2043" s="147"/>
      <c r="D2043" s="148" t="s">
        <v>757</v>
      </c>
      <c r="E2043" s="149">
        <v>0</v>
      </c>
      <c r="F2043" s="149">
        <v>0</v>
      </c>
      <c r="G2043" s="149">
        <v>0</v>
      </c>
      <c r="H2043" s="149">
        <v>2.73</v>
      </c>
      <c r="I2043" s="150">
        <v>2.73</v>
      </c>
    </row>
    <row r="2044" spans="1:9" ht="15.6" x14ac:dyDescent="0.25">
      <c r="A2044" s="145"/>
      <c r="B2044" s="146">
        <v>7726481</v>
      </c>
      <c r="C2044" s="147"/>
      <c r="D2044" s="148" t="s">
        <v>851</v>
      </c>
      <c r="E2044" s="149">
        <v>5.31</v>
      </c>
      <c r="F2044" s="149">
        <v>2.88</v>
      </c>
      <c r="G2044" s="149">
        <v>22.66</v>
      </c>
      <c r="H2044" s="149">
        <v>2.73</v>
      </c>
      <c r="I2044" s="150">
        <v>33.58</v>
      </c>
    </row>
    <row r="2045" spans="1:9" ht="15.6" x14ac:dyDescent="0.25">
      <c r="A2045" s="145"/>
      <c r="B2045" s="146">
        <v>7728031</v>
      </c>
      <c r="C2045" s="147"/>
      <c r="D2045" s="148" t="s">
        <v>868</v>
      </c>
      <c r="E2045" s="149">
        <v>5.31</v>
      </c>
      <c r="F2045" s="149">
        <v>2.88</v>
      </c>
      <c r="G2045" s="149">
        <v>0</v>
      </c>
      <c r="H2045" s="149">
        <v>2.73</v>
      </c>
      <c r="I2045" s="150">
        <v>10.92</v>
      </c>
    </row>
    <row r="2046" spans="1:9" ht="15.6" x14ac:dyDescent="0.25">
      <c r="A2046" s="145"/>
      <c r="B2046" s="146">
        <v>7729121</v>
      </c>
      <c r="C2046" s="147"/>
      <c r="D2046" s="148" t="s">
        <v>910</v>
      </c>
      <c r="E2046" s="149">
        <v>5.31</v>
      </c>
      <c r="F2046" s="149">
        <v>2.88</v>
      </c>
      <c r="G2046" s="149">
        <v>0</v>
      </c>
      <c r="H2046" s="149">
        <v>2.73</v>
      </c>
      <c r="I2046" s="150">
        <v>10.92</v>
      </c>
    </row>
    <row r="2047" spans="1:9" ht="15.6" x14ac:dyDescent="0.25">
      <c r="A2047" s="145"/>
      <c r="B2047" s="146">
        <v>7731390</v>
      </c>
      <c r="C2047" s="147"/>
      <c r="D2047" s="148" t="s">
        <v>851</v>
      </c>
      <c r="E2047" s="149">
        <v>5.31</v>
      </c>
      <c r="F2047" s="149">
        <v>2.88</v>
      </c>
      <c r="G2047" s="149">
        <v>22.66</v>
      </c>
      <c r="H2047" s="149">
        <v>2.73</v>
      </c>
      <c r="I2047" s="150">
        <v>33.58</v>
      </c>
    </row>
    <row r="2048" spans="1:9" ht="15.6" x14ac:dyDescent="0.25">
      <c r="A2048" s="145"/>
      <c r="B2048" s="146">
        <v>7733071</v>
      </c>
      <c r="C2048" s="147"/>
      <c r="D2048" s="148" t="s">
        <v>904</v>
      </c>
      <c r="E2048" s="149">
        <v>0</v>
      </c>
      <c r="F2048" s="149">
        <v>0</v>
      </c>
      <c r="G2048" s="149">
        <v>0</v>
      </c>
      <c r="H2048" s="149">
        <v>2.73</v>
      </c>
      <c r="I2048" s="150">
        <v>2.73</v>
      </c>
    </row>
    <row r="2049" spans="1:9" ht="15.6" x14ac:dyDescent="0.25">
      <c r="A2049" s="145"/>
      <c r="B2049" s="146">
        <v>7747221</v>
      </c>
      <c r="C2049" s="147"/>
      <c r="D2049" s="148" t="s">
        <v>909</v>
      </c>
      <c r="E2049" s="149">
        <v>5.31</v>
      </c>
      <c r="F2049" s="149">
        <v>0</v>
      </c>
      <c r="G2049" s="149">
        <v>0</v>
      </c>
      <c r="H2049" s="149">
        <v>2.73</v>
      </c>
      <c r="I2049" s="150">
        <v>8.0399999999999991</v>
      </c>
    </row>
    <row r="2050" spans="1:9" ht="15.6" x14ac:dyDescent="0.25">
      <c r="A2050" s="145"/>
      <c r="B2050" s="146">
        <v>7759049</v>
      </c>
      <c r="C2050" s="147"/>
      <c r="D2050" s="148" t="s">
        <v>869</v>
      </c>
      <c r="E2050" s="149">
        <v>5.31</v>
      </c>
      <c r="F2050" s="149">
        <v>2.88</v>
      </c>
      <c r="G2050" s="149">
        <v>0</v>
      </c>
      <c r="H2050" s="149">
        <v>2.73</v>
      </c>
      <c r="I2050" s="150">
        <v>10.92</v>
      </c>
    </row>
    <row r="2051" spans="1:9" ht="15.6" x14ac:dyDescent="0.25">
      <c r="A2051" s="145"/>
      <c r="B2051" s="146">
        <v>7765889</v>
      </c>
      <c r="C2051" s="147"/>
      <c r="D2051" s="148" t="s">
        <v>751</v>
      </c>
      <c r="E2051" s="149">
        <v>0</v>
      </c>
      <c r="F2051" s="149">
        <v>0</v>
      </c>
      <c r="G2051" s="149">
        <v>0</v>
      </c>
      <c r="H2051" s="149">
        <v>0</v>
      </c>
      <c r="I2051" s="150">
        <v>0</v>
      </c>
    </row>
    <row r="2052" spans="1:9" ht="15.6" x14ac:dyDescent="0.25">
      <c r="A2052" s="145"/>
      <c r="B2052" s="146">
        <v>7766961</v>
      </c>
      <c r="C2052" s="147"/>
      <c r="D2052" s="148" t="s">
        <v>730</v>
      </c>
      <c r="E2052" s="149">
        <v>0</v>
      </c>
      <c r="F2052" s="149">
        <v>0</v>
      </c>
      <c r="G2052" s="149">
        <v>0</v>
      </c>
      <c r="H2052" s="149">
        <v>0</v>
      </c>
      <c r="I2052" s="150">
        <v>0</v>
      </c>
    </row>
    <row r="2053" spans="1:9" ht="15.6" x14ac:dyDescent="0.25">
      <c r="A2053" s="145"/>
      <c r="B2053" s="146">
        <v>7777941</v>
      </c>
      <c r="C2053" s="147"/>
      <c r="D2053" s="148" t="s">
        <v>967</v>
      </c>
      <c r="E2053" s="149">
        <v>5.31</v>
      </c>
      <c r="F2053" s="149">
        <v>2.88</v>
      </c>
      <c r="G2053" s="149">
        <v>0</v>
      </c>
      <c r="H2053" s="149">
        <v>2.73</v>
      </c>
      <c r="I2053" s="150">
        <v>10.92</v>
      </c>
    </row>
    <row r="2054" spans="1:9" ht="15.6" x14ac:dyDescent="0.25">
      <c r="A2054" s="145"/>
      <c r="B2054" s="146">
        <v>7782851</v>
      </c>
      <c r="C2054" s="147"/>
      <c r="D2054" s="148" t="s">
        <v>911</v>
      </c>
      <c r="E2054" s="149">
        <v>5.31</v>
      </c>
      <c r="F2054" s="149">
        <v>0</v>
      </c>
      <c r="G2054" s="149">
        <v>0</v>
      </c>
      <c r="H2054" s="149">
        <v>2.73</v>
      </c>
      <c r="I2054" s="150">
        <v>8.0399999999999991</v>
      </c>
    </row>
    <row r="2055" spans="1:9" ht="15.6" x14ac:dyDescent="0.25">
      <c r="A2055" s="145"/>
      <c r="B2055" s="146">
        <v>7798802</v>
      </c>
      <c r="C2055" s="147"/>
      <c r="D2055" s="148" t="s">
        <v>867</v>
      </c>
      <c r="E2055" s="149">
        <v>5.31</v>
      </c>
      <c r="F2055" s="149">
        <v>2.88</v>
      </c>
      <c r="G2055" s="149">
        <v>0</v>
      </c>
      <c r="H2055" s="149">
        <v>2.73</v>
      </c>
      <c r="I2055" s="150">
        <v>10.92</v>
      </c>
    </row>
    <row r="2056" spans="1:9" ht="15.6" x14ac:dyDescent="0.25">
      <c r="A2056" s="145"/>
      <c r="B2056" s="146">
        <v>7803118</v>
      </c>
      <c r="C2056" s="147"/>
      <c r="D2056" s="148" t="s">
        <v>847</v>
      </c>
      <c r="E2056" s="149">
        <v>5.31</v>
      </c>
      <c r="F2056" s="149">
        <v>2.88</v>
      </c>
      <c r="G2056" s="149">
        <v>0</v>
      </c>
      <c r="H2056" s="149">
        <v>2.73</v>
      </c>
      <c r="I2056" s="150">
        <v>10.92</v>
      </c>
    </row>
    <row r="2057" spans="1:9" ht="15.6" x14ac:dyDescent="0.25">
      <c r="A2057" s="145"/>
      <c r="B2057" s="146">
        <v>7803480</v>
      </c>
      <c r="C2057" s="147"/>
      <c r="D2057" s="148" t="s">
        <v>834</v>
      </c>
      <c r="E2057" s="149">
        <v>5.31</v>
      </c>
      <c r="F2057" s="149">
        <v>2.88</v>
      </c>
      <c r="G2057" s="149">
        <v>0</v>
      </c>
      <c r="H2057" s="149">
        <v>2.73</v>
      </c>
      <c r="I2057" s="150">
        <v>10.92</v>
      </c>
    </row>
    <row r="2058" spans="1:9" ht="15.6" x14ac:dyDescent="0.25">
      <c r="A2058" s="145"/>
      <c r="B2058" s="146">
        <v>7810745</v>
      </c>
      <c r="C2058" s="147"/>
      <c r="D2058" s="148" t="s">
        <v>894</v>
      </c>
      <c r="E2058" s="149">
        <v>5.31</v>
      </c>
      <c r="F2058" s="149">
        <v>2.88</v>
      </c>
      <c r="G2058" s="149">
        <v>0</v>
      </c>
      <c r="H2058" s="149">
        <v>0</v>
      </c>
      <c r="I2058" s="150">
        <v>8.19</v>
      </c>
    </row>
    <row r="2059" spans="1:9" ht="15.6" x14ac:dyDescent="0.25">
      <c r="A2059" s="145"/>
      <c r="B2059" s="146">
        <v>7810886</v>
      </c>
      <c r="C2059" s="147"/>
      <c r="D2059" s="148" t="s">
        <v>885</v>
      </c>
      <c r="E2059" s="149">
        <v>5.31</v>
      </c>
      <c r="F2059" s="149">
        <v>2.88</v>
      </c>
      <c r="G2059" s="149">
        <v>0</v>
      </c>
      <c r="H2059" s="149">
        <v>2.73</v>
      </c>
      <c r="I2059" s="150">
        <v>10.92</v>
      </c>
    </row>
    <row r="2060" spans="1:9" ht="15.6" x14ac:dyDescent="0.25">
      <c r="A2060" s="145"/>
      <c r="B2060" s="146">
        <v>7830368</v>
      </c>
      <c r="C2060" s="147"/>
      <c r="D2060" s="148" t="s">
        <v>887</v>
      </c>
      <c r="E2060" s="149">
        <v>5.31</v>
      </c>
      <c r="F2060" s="149">
        <v>2.88</v>
      </c>
      <c r="G2060" s="149">
        <v>0</v>
      </c>
      <c r="H2060" s="149">
        <v>2.73</v>
      </c>
      <c r="I2060" s="150">
        <v>10.92</v>
      </c>
    </row>
    <row r="2061" spans="1:9" ht="15.6" x14ac:dyDescent="0.25">
      <c r="A2061" s="145"/>
      <c r="B2061" s="146">
        <v>7841311</v>
      </c>
      <c r="C2061" s="147"/>
      <c r="D2061" s="148" t="s">
        <v>851</v>
      </c>
      <c r="E2061" s="149">
        <v>5.31</v>
      </c>
      <c r="F2061" s="149">
        <v>2.88</v>
      </c>
      <c r="G2061" s="149">
        <v>22.66</v>
      </c>
      <c r="H2061" s="149">
        <v>2.73</v>
      </c>
      <c r="I2061" s="150">
        <v>33.58</v>
      </c>
    </row>
    <row r="2062" spans="1:9" ht="15.6" x14ac:dyDescent="0.25">
      <c r="A2062" s="145"/>
      <c r="B2062" s="146">
        <v>7845527</v>
      </c>
      <c r="C2062" s="147"/>
      <c r="D2062" s="148" t="s">
        <v>869</v>
      </c>
      <c r="E2062" s="149">
        <v>5.31</v>
      </c>
      <c r="F2062" s="149">
        <v>2.88</v>
      </c>
      <c r="G2062" s="149">
        <v>0</v>
      </c>
      <c r="H2062" s="149">
        <v>2.73</v>
      </c>
      <c r="I2062" s="150">
        <v>10.92</v>
      </c>
    </row>
    <row r="2063" spans="1:9" ht="15.6" x14ac:dyDescent="0.25">
      <c r="A2063" s="145"/>
      <c r="B2063" s="146">
        <v>7859075</v>
      </c>
      <c r="C2063" s="147"/>
      <c r="D2063" s="148" t="s">
        <v>849</v>
      </c>
      <c r="E2063" s="149">
        <v>0</v>
      </c>
      <c r="F2063" s="149">
        <v>0</v>
      </c>
      <c r="G2063" s="149">
        <v>0</v>
      </c>
      <c r="H2063" s="149">
        <v>2.73</v>
      </c>
      <c r="I2063" s="150">
        <v>2.73</v>
      </c>
    </row>
    <row r="2064" spans="1:9" ht="15.6" x14ac:dyDescent="0.25">
      <c r="A2064" s="145"/>
      <c r="B2064" s="146">
        <v>7859327</v>
      </c>
      <c r="C2064" s="147"/>
      <c r="D2064" s="148" t="s">
        <v>921</v>
      </c>
      <c r="E2064" s="149">
        <v>5.31</v>
      </c>
      <c r="F2064" s="149">
        <v>2.88</v>
      </c>
      <c r="G2064" s="149">
        <v>0</v>
      </c>
      <c r="H2064" s="149">
        <v>2.73</v>
      </c>
      <c r="I2064" s="150">
        <v>10.92</v>
      </c>
    </row>
    <row r="2065" spans="1:9" ht="15.6" x14ac:dyDescent="0.25">
      <c r="A2065" s="145"/>
      <c r="B2065" s="146">
        <v>7866951</v>
      </c>
      <c r="C2065" s="147"/>
      <c r="D2065" s="148" t="s">
        <v>870</v>
      </c>
      <c r="E2065" s="149">
        <v>0</v>
      </c>
      <c r="F2065" s="149">
        <v>0</v>
      </c>
      <c r="G2065" s="149">
        <v>0</v>
      </c>
      <c r="H2065" s="149">
        <v>0</v>
      </c>
      <c r="I2065" s="150">
        <v>0</v>
      </c>
    </row>
    <row r="2066" spans="1:9" ht="15.6" x14ac:dyDescent="0.25">
      <c r="A2066" s="145"/>
      <c r="B2066" s="146">
        <v>7874924</v>
      </c>
      <c r="C2066" s="147"/>
      <c r="D2066" s="148" t="s">
        <v>781</v>
      </c>
      <c r="E2066" s="149">
        <v>5.31</v>
      </c>
      <c r="F2066" s="149">
        <v>2.88</v>
      </c>
      <c r="G2066" s="149">
        <v>42.4</v>
      </c>
      <c r="H2066" s="149">
        <v>2.73</v>
      </c>
      <c r="I2066" s="150">
        <v>53.319999999999993</v>
      </c>
    </row>
    <row r="2067" spans="1:9" ht="15.6" x14ac:dyDescent="0.25">
      <c r="A2067" s="145"/>
      <c r="B2067" s="146">
        <v>7887950</v>
      </c>
      <c r="C2067" s="147"/>
      <c r="D2067" s="148" t="s">
        <v>907</v>
      </c>
      <c r="E2067" s="149">
        <v>0</v>
      </c>
      <c r="F2067" s="149">
        <v>0</v>
      </c>
      <c r="G2067" s="149">
        <v>0</v>
      </c>
      <c r="H2067" s="149">
        <v>0</v>
      </c>
      <c r="I2067" s="150">
        <v>0</v>
      </c>
    </row>
    <row r="2068" spans="1:9" ht="15.6" x14ac:dyDescent="0.25">
      <c r="A2068" s="145"/>
      <c r="B2068" s="146">
        <v>7889703</v>
      </c>
      <c r="C2068" s="147"/>
      <c r="D2068" s="148" t="s">
        <v>732</v>
      </c>
      <c r="E2068" s="149">
        <v>0</v>
      </c>
      <c r="F2068" s="149">
        <v>0</v>
      </c>
      <c r="G2068" s="149">
        <v>0</v>
      </c>
      <c r="H2068" s="149">
        <v>2.73</v>
      </c>
      <c r="I2068" s="150">
        <v>2.73</v>
      </c>
    </row>
    <row r="2069" spans="1:9" ht="15.6" x14ac:dyDescent="0.25">
      <c r="A2069" s="145"/>
      <c r="B2069" s="146">
        <v>7890714</v>
      </c>
      <c r="C2069" s="147"/>
      <c r="D2069" s="148" t="s">
        <v>857</v>
      </c>
      <c r="E2069" s="149">
        <v>5.31</v>
      </c>
      <c r="F2069" s="149">
        <v>2.88</v>
      </c>
      <c r="G2069" s="149">
        <v>0</v>
      </c>
      <c r="H2069" s="149">
        <v>2.73</v>
      </c>
      <c r="I2069" s="150">
        <v>10.92</v>
      </c>
    </row>
    <row r="2070" spans="1:9" ht="15.6" x14ac:dyDescent="0.25">
      <c r="A2070" s="145"/>
      <c r="B2070" s="146">
        <v>7891445</v>
      </c>
      <c r="C2070" s="147"/>
      <c r="D2070" s="148" t="s">
        <v>923</v>
      </c>
      <c r="E2070" s="149">
        <v>5.31</v>
      </c>
      <c r="F2070" s="149">
        <v>2.88</v>
      </c>
      <c r="G2070" s="149">
        <v>0</v>
      </c>
      <c r="H2070" s="149">
        <v>2.73</v>
      </c>
      <c r="I2070" s="150">
        <v>10.92</v>
      </c>
    </row>
    <row r="2071" spans="1:9" ht="15.6" x14ac:dyDescent="0.25">
      <c r="A2071" s="145"/>
      <c r="B2071" s="146">
        <v>7891727</v>
      </c>
      <c r="C2071" s="147"/>
      <c r="D2071" s="148" t="s">
        <v>716</v>
      </c>
      <c r="E2071" s="149">
        <v>0</v>
      </c>
      <c r="F2071" s="149">
        <v>0</v>
      </c>
      <c r="G2071" s="149">
        <v>0</v>
      </c>
      <c r="H2071" s="149">
        <v>0</v>
      </c>
      <c r="I2071" s="150">
        <v>0</v>
      </c>
    </row>
    <row r="2072" spans="1:9" ht="15.6" x14ac:dyDescent="0.25">
      <c r="A2072" s="145"/>
      <c r="B2072" s="146">
        <v>7897759</v>
      </c>
      <c r="C2072" s="147"/>
      <c r="D2072" s="148" t="s">
        <v>811</v>
      </c>
      <c r="E2072" s="149">
        <v>0</v>
      </c>
      <c r="F2072" s="149">
        <v>0</v>
      </c>
      <c r="G2072" s="149">
        <v>0</v>
      </c>
      <c r="H2072" s="149">
        <v>0</v>
      </c>
      <c r="I2072" s="150">
        <v>0</v>
      </c>
    </row>
    <row r="2073" spans="1:9" ht="15.6" x14ac:dyDescent="0.25">
      <c r="A2073" s="145"/>
      <c r="B2073" s="146">
        <v>7901890</v>
      </c>
      <c r="C2073" s="147"/>
      <c r="D2073" s="148" t="s">
        <v>748</v>
      </c>
      <c r="E2073" s="149">
        <v>5.31</v>
      </c>
      <c r="F2073" s="149">
        <v>2.88</v>
      </c>
      <c r="G2073" s="149">
        <v>0</v>
      </c>
      <c r="H2073" s="149">
        <v>2.73</v>
      </c>
      <c r="I2073" s="150">
        <v>10.92</v>
      </c>
    </row>
    <row r="2074" spans="1:9" ht="15.6" x14ac:dyDescent="0.25">
      <c r="A2074" s="145"/>
      <c r="B2074" s="146">
        <v>7905410</v>
      </c>
      <c r="C2074" s="147"/>
      <c r="D2074" s="148" t="s">
        <v>773</v>
      </c>
      <c r="E2074" s="149">
        <v>5.31</v>
      </c>
      <c r="F2074" s="149">
        <v>0</v>
      </c>
      <c r="G2074" s="149">
        <v>0</v>
      </c>
      <c r="H2074" s="149">
        <v>0</v>
      </c>
      <c r="I2074" s="150">
        <v>5.31</v>
      </c>
    </row>
    <row r="2075" spans="1:9" ht="15.6" x14ac:dyDescent="0.25">
      <c r="A2075" s="145"/>
      <c r="B2075" s="146">
        <v>7908261</v>
      </c>
      <c r="C2075" s="147"/>
      <c r="D2075" s="148" t="s">
        <v>853</v>
      </c>
      <c r="E2075" s="149">
        <v>5.31</v>
      </c>
      <c r="F2075" s="149">
        <v>2.88</v>
      </c>
      <c r="G2075" s="149">
        <v>0</v>
      </c>
      <c r="H2075" s="149">
        <v>2.73</v>
      </c>
      <c r="I2075" s="150">
        <v>10.92</v>
      </c>
    </row>
    <row r="2076" spans="1:9" ht="15.6" x14ac:dyDescent="0.25">
      <c r="A2076" s="145"/>
      <c r="B2076" s="146">
        <v>7912374</v>
      </c>
      <c r="C2076" s="147"/>
      <c r="D2076" s="148" t="s">
        <v>748</v>
      </c>
      <c r="E2076" s="149">
        <v>5.31</v>
      </c>
      <c r="F2076" s="149">
        <v>2.88</v>
      </c>
      <c r="G2076" s="149">
        <v>0</v>
      </c>
      <c r="H2076" s="149">
        <v>2.73</v>
      </c>
      <c r="I2076" s="150">
        <v>10.92</v>
      </c>
    </row>
    <row r="2077" spans="1:9" ht="15.6" x14ac:dyDescent="0.25">
      <c r="A2077" s="145"/>
      <c r="B2077" s="146">
        <v>7917457</v>
      </c>
      <c r="C2077" s="147"/>
      <c r="D2077" s="148" t="s">
        <v>820</v>
      </c>
      <c r="E2077" s="149">
        <v>5.31</v>
      </c>
      <c r="F2077" s="149">
        <v>2.88</v>
      </c>
      <c r="G2077" s="149">
        <v>0</v>
      </c>
      <c r="H2077" s="149">
        <v>2.73</v>
      </c>
      <c r="I2077" s="150">
        <v>10.92</v>
      </c>
    </row>
    <row r="2078" spans="1:9" ht="15.6" x14ac:dyDescent="0.25">
      <c r="A2078" s="145"/>
      <c r="B2078" s="146">
        <v>7919577</v>
      </c>
      <c r="C2078" s="147"/>
      <c r="D2078" s="148" t="s">
        <v>851</v>
      </c>
      <c r="E2078" s="149">
        <v>5.31</v>
      </c>
      <c r="F2078" s="149">
        <v>2.88</v>
      </c>
      <c r="G2078" s="149">
        <v>22.66</v>
      </c>
      <c r="H2078" s="149">
        <v>2.73</v>
      </c>
      <c r="I2078" s="150">
        <v>33.58</v>
      </c>
    </row>
    <row r="2079" spans="1:9" ht="15.6" x14ac:dyDescent="0.25">
      <c r="A2079" s="145"/>
      <c r="B2079" s="146">
        <v>7924194</v>
      </c>
      <c r="C2079" s="147"/>
      <c r="D2079" s="148" t="s">
        <v>907</v>
      </c>
      <c r="E2079" s="149">
        <v>0</v>
      </c>
      <c r="F2079" s="149">
        <v>0</v>
      </c>
      <c r="G2079" s="149">
        <v>0</v>
      </c>
      <c r="H2079" s="149">
        <v>0</v>
      </c>
      <c r="I2079" s="150">
        <v>0</v>
      </c>
    </row>
    <row r="2080" spans="1:9" ht="15.6" x14ac:dyDescent="0.25">
      <c r="A2080" s="145"/>
      <c r="B2080" s="146">
        <v>7924236</v>
      </c>
      <c r="C2080" s="147"/>
      <c r="D2080" s="148" t="s">
        <v>822</v>
      </c>
      <c r="E2080" s="149">
        <v>5.31</v>
      </c>
      <c r="F2080" s="149">
        <v>2.88</v>
      </c>
      <c r="G2080" s="149">
        <v>0</v>
      </c>
      <c r="H2080" s="149">
        <v>2.73</v>
      </c>
      <c r="I2080" s="150">
        <v>10.92</v>
      </c>
    </row>
    <row r="2081" spans="1:9" ht="15.6" x14ac:dyDescent="0.25">
      <c r="A2081" s="145"/>
      <c r="B2081" s="146">
        <v>7935882</v>
      </c>
      <c r="C2081" s="147"/>
      <c r="D2081" s="148" t="s">
        <v>868</v>
      </c>
      <c r="E2081" s="149">
        <v>5.31</v>
      </c>
      <c r="F2081" s="149">
        <v>2.88</v>
      </c>
      <c r="G2081" s="149">
        <v>0</v>
      </c>
      <c r="H2081" s="149">
        <v>2.73</v>
      </c>
      <c r="I2081" s="150">
        <v>10.92</v>
      </c>
    </row>
    <row r="2082" spans="1:9" ht="15.6" x14ac:dyDescent="0.25">
      <c r="A2082" s="145"/>
      <c r="B2082" s="146">
        <v>7937025</v>
      </c>
      <c r="C2082" s="147"/>
      <c r="D2082" s="148" t="s">
        <v>789</v>
      </c>
      <c r="E2082" s="149">
        <v>5.31</v>
      </c>
      <c r="F2082" s="149">
        <v>2.88</v>
      </c>
      <c r="G2082" s="149">
        <v>24.03</v>
      </c>
      <c r="H2082" s="149">
        <v>2.73</v>
      </c>
      <c r="I2082" s="150">
        <v>34.949999999999996</v>
      </c>
    </row>
    <row r="2083" spans="1:9" ht="15.6" x14ac:dyDescent="0.25">
      <c r="A2083" s="145"/>
      <c r="B2083" s="146">
        <v>7940025</v>
      </c>
      <c r="C2083" s="147"/>
      <c r="D2083" s="148" t="s">
        <v>851</v>
      </c>
      <c r="E2083" s="149">
        <v>5.31</v>
      </c>
      <c r="F2083" s="149">
        <v>2.88</v>
      </c>
      <c r="G2083" s="149">
        <v>22.66</v>
      </c>
      <c r="H2083" s="149">
        <v>2.73</v>
      </c>
      <c r="I2083" s="150">
        <v>33.58</v>
      </c>
    </row>
    <row r="2084" spans="1:9" ht="15.6" x14ac:dyDescent="0.25">
      <c r="A2084" s="145"/>
      <c r="B2084" s="146">
        <v>7940172</v>
      </c>
      <c r="C2084" s="147"/>
      <c r="D2084" s="148" t="s">
        <v>743</v>
      </c>
      <c r="E2084" s="149">
        <v>0</v>
      </c>
      <c r="F2084" s="149">
        <v>0</v>
      </c>
      <c r="G2084" s="149">
        <v>0</v>
      </c>
      <c r="H2084" s="149">
        <v>0</v>
      </c>
      <c r="I2084" s="150">
        <v>0</v>
      </c>
    </row>
    <row r="2085" spans="1:9" ht="15.6" x14ac:dyDescent="0.25">
      <c r="A2085" s="145"/>
      <c r="B2085" s="146">
        <v>7940174</v>
      </c>
      <c r="C2085" s="147"/>
      <c r="D2085" s="148" t="s">
        <v>822</v>
      </c>
      <c r="E2085" s="149">
        <v>5.31</v>
      </c>
      <c r="F2085" s="149">
        <v>2.88</v>
      </c>
      <c r="G2085" s="149">
        <v>0</v>
      </c>
      <c r="H2085" s="149">
        <v>2.73</v>
      </c>
      <c r="I2085" s="150">
        <v>10.92</v>
      </c>
    </row>
    <row r="2086" spans="1:9" ht="15.6" x14ac:dyDescent="0.25">
      <c r="A2086" s="145"/>
      <c r="B2086" s="146">
        <v>7942217</v>
      </c>
      <c r="C2086" s="147"/>
      <c r="D2086" s="148" t="s">
        <v>944</v>
      </c>
      <c r="E2086" s="149">
        <v>5.31</v>
      </c>
      <c r="F2086" s="149">
        <v>2.88</v>
      </c>
      <c r="G2086" s="149">
        <v>0</v>
      </c>
      <c r="H2086" s="149">
        <v>2.73</v>
      </c>
      <c r="I2086" s="150">
        <v>10.92</v>
      </c>
    </row>
    <row r="2087" spans="1:9" ht="15.6" x14ac:dyDescent="0.25">
      <c r="A2087" s="145"/>
      <c r="B2087" s="146">
        <v>7945303</v>
      </c>
      <c r="C2087" s="147"/>
      <c r="D2087" s="148" t="s">
        <v>902</v>
      </c>
      <c r="E2087" s="149">
        <v>5.31</v>
      </c>
      <c r="F2087" s="149">
        <v>2.88</v>
      </c>
      <c r="G2087" s="149">
        <v>0</v>
      </c>
      <c r="H2087" s="149">
        <v>0</v>
      </c>
      <c r="I2087" s="150">
        <v>8.19</v>
      </c>
    </row>
    <row r="2088" spans="1:9" ht="15.6" x14ac:dyDescent="0.25">
      <c r="A2088" s="145"/>
      <c r="B2088" s="146">
        <v>7948411</v>
      </c>
      <c r="C2088" s="147"/>
      <c r="D2088" s="148" t="s">
        <v>907</v>
      </c>
      <c r="E2088" s="149">
        <v>0</v>
      </c>
      <c r="F2088" s="149">
        <v>0</v>
      </c>
      <c r="G2088" s="149">
        <v>0</v>
      </c>
      <c r="H2088" s="149">
        <v>0</v>
      </c>
      <c r="I2088" s="150">
        <v>0</v>
      </c>
    </row>
    <row r="2089" spans="1:9" ht="15.6" x14ac:dyDescent="0.25">
      <c r="A2089" s="145"/>
      <c r="B2089" s="146">
        <v>7953415</v>
      </c>
      <c r="C2089" s="147"/>
      <c r="D2089" s="148" t="s">
        <v>828</v>
      </c>
      <c r="E2089" s="149">
        <v>5.31</v>
      </c>
      <c r="F2089" s="149">
        <v>2.88</v>
      </c>
      <c r="G2089" s="149">
        <v>0</v>
      </c>
      <c r="H2089" s="149">
        <v>2.73</v>
      </c>
      <c r="I2089" s="150">
        <v>10.92</v>
      </c>
    </row>
    <row r="2090" spans="1:9" ht="15.6" x14ac:dyDescent="0.25">
      <c r="A2090" s="145"/>
      <c r="B2090" s="146">
        <v>7957284</v>
      </c>
      <c r="C2090" s="147"/>
      <c r="D2090" s="148" t="s">
        <v>751</v>
      </c>
      <c r="E2090" s="149">
        <v>0</v>
      </c>
      <c r="F2090" s="149">
        <v>0</v>
      </c>
      <c r="G2090" s="149">
        <v>0</v>
      </c>
      <c r="H2090" s="149">
        <v>0</v>
      </c>
      <c r="I2090" s="150">
        <v>0</v>
      </c>
    </row>
    <row r="2091" spans="1:9" ht="15.6" x14ac:dyDescent="0.25">
      <c r="A2091" s="145"/>
      <c r="B2091" s="146">
        <v>7959062</v>
      </c>
      <c r="C2091" s="147"/>
      <c r="D2091" s="148" t="s">
        <v>869</v>
      </c>
      <c r="E2091" s="149">
        <v>5.31</v>
      </c>
      <c r="F2091" s="149">
        <v>2.88</v>
      </c>
      <c r="G2091" s="149">
        <v>0</v>
      </c>
      <c r="H2091" s="149">
        <v>2.73</v>
      </c>
      <c r="I2091" s="150">
        <v>10.92</v>
      </c>
    </row>
    <row r="2092" spans="1:9" ht="15.6" x14ac:dyDescent="0.25">
      <c r="A2092" s="145"/>
      <c r="B2092" s="146">
        <v>7964288</v>
      </c>
      <c r="C2092" s="147"/>
      <c r="D2092" s="148" t="s">
        <v>747</v>
      </c>
      <c r="E2092" s="149">
        <v>5.31</v>
      </c>
      <c r="F2092" s="149">
        <v>2.88</v>
      </c>
      <c r="G2092" s="149">
        <v>0</v>
      </c>
      <c r="H2092" s="149">
        <v>2.73</v>
      </c>
      <c r="I2092" s="150">
        <v>10.92</v>
      </c>
    </row>
    <row r="2093" spans="1:9" ht="15.6" x14ac:dyDescent="0.25">
      <c r="A2093" s="145"/>
      <c r="B2093" s="146">
        <v>7967130</v>
      </c>
      <c r="C2093" s="147"/>
      <c r="D2093" s="148" t="s">
        <v>752</v>
      </c>
      <c r="E2093" s="149">
        <v>0</v>
      </c>
      <c r="F2093" s="149">
        <v>0</v>
      </c>
      <c r="G2093" s="149">
        <v>0</v>
      </c>
      <c r="H2093" s="149">
        <v>2.73</v>
      </c>
      <c r="I2093" s="150">
        <v>2.73</v>
      </c>
    </row>
    <row r="2094" spans="1:9" ht="15.6" x14ac:dyDescent="0.25">
      <c r="A2094" s="145"/>
      <c r="B2094" s="146">
        <v>7981777</v>
      </c>
      <c r="C2094" s="147"/>
      <c r="D2094" s="148" t="s">
        <v>863</v>
      </c>
      <c r="E2094" s="149">
        <v>5.31</v>
      </c>
      <c r="F2094" s="149">
        <v>2.88</v>
      </c>
      <c r="G2094" s="149">
        <v>0</v>
      </c>
      <c r="H2094" s="149">
        <v>2.73</v>
      </c>
      <c r="I2094" s="150">
        <v>10.92</v>
      </c>
    </row>
    <row r="2095" spans="1:9" ht="15.6" x14ac:dyDescent="0.25">
      <c r="A2095" s="145"/>
      <c r="B2095" s="146">
        <v>7982004</v>
      </c>
      <c r="C2095" s="147"/>
      <c r="D2095" s="148" t="s">
        <v>868</v>
      </c>
      <c r="E2095" s="149">
        <v>5.31</v>
      </c>
      <c r="F2095" s="149">
        <v>2.88</v>
      </c>
      <c r="G2095" s="149">
        <v>0</v>
      </c>
      <c r="H2095" s="149">
        <v>2.73</v>
      </c>
      <c r="I2095" s="150">
        <v>10.92</v>
      </c>
    </row>
    <row r="2096" spans="1:9" ht="15.6" x14ac:dyDescent="0.25">
      <c r="A2096" s="145"/>
      <c r="B2096" s="146">
        <v>7984148</v>
      </c>
      <c r="C2096" s="147"/>
      <c r="D2096" s="148" t="s">
        <v>857</v>
      </c>
      <c r="E2096" s="149">
        <v>0</v>
      </c>
      <c r="F2096" s="149">
        <v>0</v>
      </c>
      <c r="G2096" s="149">
        <v>0</v>
      </c>
      <c r="H2096" s="149">
        <v>0</v>
      </c>
      <c r="I2096" s="150">
        <v>0</v>
      </c>
    </row>
    <row r="2097" spans="1:9" ht="15.6" x14ac:dyDescent="0.25">
      <c r="A2097" s="145"/>
      <c r="B2097" s="146">
        <v>7987238</v>
      </c>
      <c r="C2097" s="147"/>
      <c r="D2097" s="148" t="s">
        <v>746</v>
      </c>
      <c r="E2097" s="149">
        <v>5.31</v>
      </c>
      <c r="F2097" s="149">
        <v>2.88</v>
      </c>
      <c r="G2097" s="149">
        <v>0</v>
      </c>
      <c r="H2097" s="149">
        <v>2.73</v>
      </c>
      <c r="I2097" s="150">
        <v>10.92</v>
      </c>
    </row>
    <row r="2098" spans="1:9" ht="15.6" x14ac:dyDescent="0.25">
      <c r="A2098" s="145"/>
      <c r="B2098" s="146">
        <v>7990436</v>
      </c>
      <c r="C2098" s="147"/>
      <c r="D2098" s="148" t="s">
        <v>825</v>
      </c>
      <c r="E2098" s="149">
        <v>5.31</v>
      </c>
      <c r="F2098" s="149">
        <v>2.88</v>
      </c>
      <c r="G2098" s="149">
        <v>0</v>
      </c>
      <c r="H2098" s="149">
        <v>2.73</v>
      </c>
      <c r="I2098" s="150">
        <v>10.92</v>
      </c>
    </row>
    <row r="2099" spans="1:9" ht="15.6" x14ac:dyDescent="0.25">
      <c r="A2099" s="145"/>
      <c r="B2099" s="146">
        <v>7996718</v>
      </c>
      <c r="C2099" s="147"/>
      <c r="D2099" s="148" t="s">
        <v>905</v>
      </c>
      <c r="E2099" s="149">
        <v>5.31</v>
      </c>
      <c r="F2099" s="149">
        <v>2.88</v>
      </c>
      <c r="G2099" s="149">
        <v>0</v>
      </c>
      <c r="H2099" s="149">
        <v>2.73</v>
      </c>
      <c r="I2099" s="150">
        <v>10.92</v>
      </c>
    </row>
    <row r="2100" spans="1:9" ht="15.6" x14ac:dyDescent="0.25">
      <c r="A2100" s="145"/>
      <c r="B2100" s="146">
        <v>7997004</v>
      </c>
      <c r="C2100" s="147"/>
      <c r="D2100" s="148" t="s">
        <v>857</v>
      </c>
      <c r="E2100" s="149">
        <v>0</v>
      </c>
      <c r="F2100" s="149">
        <v>0</v>
      </c>
      <c r="G2100" s="149">
        <v>0</v>
      </c>
      <c r="H2100" s="149">
        <v>0</v>
      </c>
      <c r="I2100" s="150">
        <v>0</v>
      </c>
    </row>
    <row r="2101" spans="1:9" ht="15.6" x14ac:dyDescent="0.25">
      <c r="A2101" s="145"/>
      <c r="B2101" s="146">
        <v>8002031</v>
      </c>
      <c r="C2101" s="147"/>
      <c r="D2101" s="148" t="s">
        <v>921</v>
      </c>
      <c r="E2101" s="149">
        <v>5.31</v>
      </c>
      <c r="F2101" s="149">
        <v>2.88</v>
      </c>
      <c r="G2101" s="149">
        <v>0</v>
      </c>
      <c r="H2101" s="149">
        <v>2.73</v>
      </c>
      <c r="I2101" s="150">
        <v>10.92</v>
      </c>
    </row>
    <row r="2102" spans="1:9" ht="15.6" x14ac:dyDescent="0.25">
      <c r="A2102" s="145"/>
      <c r="B2102" s="146">
        <v>8005746</v>
      </c>
      <c r="C2102" s="147"/>
      <c r="D2102" s="148" t="s">
        <v>882</v>
      </c>
      <c r="E2102" s="149">
        <v>5.31</v>
      </c>
      <c r="F2102" s="149">
        <v>2.88</v>
      </c>
      <c r="G2102" s="149">
        <v>0</v>
      </c>
      <c r="H2102" s="149">
        <v>2.73</v>
      </c>
      <c r="I2102" s="150">
        <v>10.92</v>
      </c>
    </row>
    <row r="2103" spans="1:9" ht="15.6" x14ac:dyDescent="0.25">
      <c r="A2103" s="145"/>
      <c r="B2103" s="146">
        <v>8005773</v>
      </c>
      <c r="C2103" s="147"/>
      <c r="D2103" s="148" t="s">
        <v>933</v>
      </c>
      <c r="E2103" s="149">
        <v>5.31</v>
      </c>
      <c r="F2103" s="149">
        <v>2.88</v>
      </c>
      <c r="G2103" s="149">
        <v>0</v>
      </c>
      <c r="H2103" s="149">
        <v>2.73</v>
      </c>
      <c r="I2103" s="150">
        <v>10.92</v>
      </c>
    </row>
    <row r="2104" spans="1:9" ht="15.6" x14ac:dyDescent="0.25">
      <c r="A2104" s="145"/>
      <c r="B2104" s="146">
        <v>8008274</v>
      </c>
      <c r="C2104" s="147"/>
      <c r="D2104" s="148" t="s">
        <v>779</v>
      </c>
      <c r="E2104" s="149">
        <v>5.31</v>
      </c>
      <c r="F2104" s="149">
        <v>2.88</v>
      </c>
      <c r="G2104" s="149">
        <v>0</v>
      </c>
      <c r="H2104" s="149">
        <v>2.73</v>
      </c>
      <c r="I2104" s="150">
        <v>10.92</v>
      </c>
    </row>
    <row r="2105" spans="1:9" ht="15.6" x14ac:dyDescent="0.25">
      <c r="A2105" s="145"/>
      <c r="B2105" s="146">
        <v>8014444</v>
      </c>
      <c r="C2105" s="147"/>
      <c r="D2105" s="148" t="s">
        <v>869</v>
      </c>
      <c r="E2105" s="149">
        <v>5.31</v>
      </c>
      <c r="F2105" s="149">
        <v>2.88</v>
      </c>
      <c r="G2105" s="149">
        <v>0</v>
      </c>
      <c r="H2105" s="149">
        <v>2.73</v>
      </c>
      <c r="I2105" s="150">
        <v>10.92</v>
      </c>
    </row>
    <row r="2106" spans="1:9" ht="15.6" x14ac:dyDescent="0.25">
      <c r="A2106" s="145"/>
      <c r="B2106" s="146">
        <v>8019650</v>
      </c>
      <c r="C2106" s="147"/>
      <c r="D2106" s="148" t="s">
        <v>842</v>
      </c>
      <c r="E2106" s="149">
        <v>5.31</v>
      </c>
      <c r="F2106" s="149">
        <v>2.88</v>
      </c>
      <c r="G2106" s="149">
        <v>0</v>
      </c>
      <c r="H2106" s="149">
        <v>2.73</v>
      </c>
      <c r="I2106" s="150">
        <v>10.92</v>
      </c>
    </row>
    <row r="2107" spans="1:9" ht="15.6" x14ac:dyDescent="0.25">
      <c r="A2107" s="145"/>
      <c r="B2107" s="146">
        <v>8022318</v>
      </c>
      <c r="C2107" s="147"/>
      <c r="D2107" s="148" t="s">
        <v>834</v>
      </c>
      <c r="E2107" s="149">
        <v>5.31</v>
      </c>
      <c r="F2107" s="149">
        <v>2.88</v>
      </c>
      <c r="G2107" s="149">
        <v>0</v>
      </c>
      <c r="H2107" s="149">
        <v>2.73</v>
      </c>
      <c r="I2107" s="150">
        <v>10.92</v>
      </c>
    </row>
    <row r="2108" spans="1:9" ht="15.6" x14ac:dyDescent="0.25">
      <c r="A2108" s="145"/>
      <c r="B2108" s="146">
        <v>8030351</v>
      </c>
      <c r="C2108" s="147"/>
      <c r="D2108" s="148" t="s">
        <v>867</v>
      </c>
      <c r="E2108" s="149">
        <v>5.31</v>
      </c>
      <c r="F2108" s="149">
        <v>2.88</v>
      </c>
      <c r="G2108" s="149">
        <v>0</v>
      </c>
      <c r="H2108" s="149">
        <v>2.73</v>
      </c>
      <c r="I2108" s="150">
        <v>10.92</v>
      </c>
    </row>
    <row r="2109" spans="1:9" ht="15.6" x14ac:dyDescent="0.25">
      <c r="A2109" s="145"/>
      <c r="B2109" s="146">
        <v>8033770</v>
      </c>
      <c r="C2109" s="147"/>
      <c r="D2109" s="148" t="s">
        <v>894</v>
      </c>
      <c r="E2109" s="149">
        <v>5.31</v>
      </c>
      <c r="F2109" s="149">
        <v>2.88</v>
      </c>
      <c r="G2109" s="149">
        <v>0</v>
      </c>
      <c r="H2109" s="149">
        <v>0</v>
      </c>
      <c r="I2109" s="150">
        <v>8.19</v>
      </c>
    </row>
    <row r="2110" spans="1:9" ht="15.6" x14ac:dyDescent="0.25">
      <c r="A2110" s="145"/>
      <c r="B2110" s="146">
        <v>8038142</v>
      </c>
      <c r="C2110" s="147"/>
      <c r="D2110" s="148" t="s">
        <v>853</v>
      </c>
      <c r="E2110" s="149">
        <v>5.31</v>
      </c>
      <c r="F2110" s="149">
        <v>2.88</v>
      </c>
      <c r="G2110" s="149">
        <v>0</v>
      </c>
      <c r="H2110" s="149">
        <v>2.73</v>
      </c>
      <c r="I2110" s="150">
        <v>10.92</v>
      </c>
    </row>
    <row r="2111" spans="1:9" ht="15.6" x14ac:dyDescent="0.25">
      <c r="A2111" s="145"/>
      <c r="B2111" s="146">
        <v>8039045</v>
      </c>
      <c r="C2111" s="147"/>
      <c r="D2111" s="148" t="s">
        <v>857</v>
      </c>
      <c r="E2111" s="149">
        <v>5.31</v>
      </c>
      <c r="F2111" s="149">
        <v>2.88</v>
      </c>
      <c r="G2111" s="149">
        <v>0</v>
      </c>
      <c r="H2111" s="149">
        <v>2.73</v>
      </c>
      <c r="I2111" s="150">
        <v>10.92</v>
      </c>
    </row>
    <row r="2112" spans="1:9" ht="15.6" x14ac:dyDescent="0.25">
      <c r="A2112" s="145"/>
      <c r="B2112" s="146">
        <v>8047563</v>
      </c>
      <c r="C2112" s="147"/>
      <c r="D2112" s="148" t="s">
        <v>864</v>
      </c>
      <c r="E2112" s="149">
        <v>5.31</v>
      </c>
      <c r="F2112" s="149">
        <v>2.88</v>
      </c>
      <c r="G2112" s="149">
        <v>0</v>
      </c>
      <c r="H2112" s="149">
        <v>2.73</v>
      </c>
      <c r="I2112" s="150">
        <v>10.92</v>
      </c>
    </row>
    <row r="2113" spans="1:9" ht="15.6" x14ac:dyDescent="0.25">
      <c r="A2113" s="145"/>
      <c r="B2113" s="146">
        <v>8053405</v>
      </c>
      <c r="C2113" s="147"/>
      <c r="D2113" s="148" t="s">
        <v>898</v>
      </c>
      <c r="E2113" s="149">
        <v>5.31</v>
      </c>
      <c r="F2113" s="149">
        <v>2.88</v>
      </c>
      <c r="G2113" s="149">
        <v>0</v>
      </c>
      <c r="H2113" s="149">
        <v>2.73</v>
      </c>
      <c r="I2113" s="150">
        <v>10.92</v>
      </c>
    </row>
    <row r="2114" spans="1:9" ht="15.6" x14ac:dyDescent="0.25">
      <c r="A2114" s="145"/>
      <c r="B2114" s="146">
        <v>8054791</v>
      </c>
      <c r="C2114" s="147"/>
      <c r="D2114" s="148" t="s">
        <v>847</v>
      </c>
      <c r="E2114" s="149">
        <v>5.31</v>
      </c>
      <c r="F2114" s="149">
        <v>2.88</v>
      </c>
      <c r="G2114" s="149">
        <v>0</v>
      </c>
      <c r="H2114" s="149">
        <v>2.73</v>
      </c>
      <c r="I2114" s="150">
        <v>10.92</v>
      </c>
    </row>
    <row r="2115" spans="1:9" ht="15.6" x14ac:dyDescent="0.25">
      <c r="A2115" s="145"/>
      <c r="B2115" s="146">
        <v>8055411</v>
      </c>
      <c r="C2115" s="147"/>
      <c r="D2115" s="148" t="s">
        <v>898</v>
      </c>
      <c r="E2115" s="149">
        <v>5.31</v>
      </c>
      <c r="F2115" s="149">
        <v>2.88</v>
      </c>
      <c r="G2115" s="149">
        <v>0</v>
      </c>
      <c r="H2115" s="149">
        <v>2.73</v>
      </c>
      <c r="I2115" s="150">
        <v>10.92</v>
      </c>
    </row>
    <row r="2116" spans="1:9" ht="15.6" x14ac:dyDescent="0.25">
      <c r="A2116" s="145"/>
      <c r="B2116" s="146">
        <v>8056636</v>
      </c>
      <c r="C2116" s="147"/>
      <c r="D2116" s="148" t="s">
        <v>887</v>
      </c>
      <c r="E2116" s="149">
        <v>5.31</v>
      </c>
      <c r="F2116" s="149">
        <v>2.88</v>
      </c>
      <c r="G2116" s="149">
        <v>0</v>
      </c>
      <c r="H2116" s="149">
        <v>2.73</v>
      </c>
      <c r="I2116" s="150">
        <v>10.92</v>
      </c>
    </row>
    <row r="2117" spans="1:9" ht="15.6" x14ac:dyDescent="0.25">
      <c r="A2117" s="145"/>
      <c r="B2117" s="146">
        <v>8062257</v>
      </c>
      <c r="C2117" s="147"/>
      <c r="D2117" s="148" t="s">
        <v>943</v>
      </c>
      <c r="E2117" s="149">
        <v>5.31</v>
      </c>
      <c r="F2117" s="149">
        <v>2.88</v>
      </c>
      <c r="G2117" s="149">
        <v>0</v>
      </c>
      <c r="H2117" s="149">
        <v>2.73</v>
      </c>
      <c r="I2117" s="150">
        <v>10.92</v>
      </c>
    </row>
    <row r="2118" spans="1:9" ht="15.6" x14ac:dyDescent="0.25">
      <c r="A2118" s="145"/>
      <c r="B2118" s="146">
        <v>8068685</v>
      </c>
      <c r="C2118" s="147"/>
      <c r="D2118" s="148" t="s">
        <v>925</v>
      </c>
      <c r="E2118" s="149">
        <v>5.31</v>
      </c>
      <c r="F2118" s="149">
        <v>2.88</v>
      </c>
      <c r="G2118" s="149">
        <v>0</v>
      </c>
      <c r="H2118" s="149">
        <v>2.73</v>
      </c>
      <c r="I2118" s="150">
        <v>10.92</v>
      </c>
    </row>
    <row r="2119" spans="1:9" ht="15.6" x14ac:dyDescent="0.25">
      <c r="A2119" s="145"/>
      <c r="B2119" s="146">
        <v>8076156</v>
      </c>
      <c r="C2119" s="147"/>
      <c r="D2119" s="148" t="s">
        <v>851</v>
      </c>
      <c r="E2119" s="149">
        <v>5.31</v>
      </c>
      <c r="F2119" s="149">
        <v>2.88</v>
      </c>
      <c r="G2119" s="149">
        <v>30.22</v>
      </c>
      <c r="H2119" s="149">
        <v>2.73</v>
      </c>
      <c r="I2119" s="150">
        <v>41.139999999999993</v>
      </c>
    </row>
    <row r="2120" spans="1:9" ht="15.6" x14ac:dyDescent="0.25">
      <c r="A2120" s="145"/>
      <c r="B2120" s="146">
        <v>8078369</v>
      </c>
      <c r="C2120" s="147"/>
      <c r="D2120" s="148" t="s">
        <v>789</v>
      </c>
      <c r="E2120" s="149">
        <v>5.31</v>
      </c>
      <c r="F2120" s="149">
        <v>2.88</v>
      </c>
      <c r="G2120" s="149">
        <v>24.03</v>
      </c>
      <c r="H2120" s="149">
        <v>2.73</v>
      </c>
      <c r="I2120" s="150">
        <v>34.949999999999996</v>
      </c>
    </row>
    <row r="2121" spans="1:9" ht="15.6" x14ac:dyDescent="0.25">
      <c r="A2121" s="145"/>
      <c r="B2121" s="146">
        <v>8078766</v>
      </c>
      <c r="C2121" s="147"/>
      <c r="D2121" s="148" t="s">
        <v>863</v>
      </c>
      <c r="E2121" s="149">
        <v>5.31</v>
      </c>
      <c r="F2121" s="149">
        <v>2.88</v>
      </c>
      <c r="G2121" s="149">
        <v>0</v>
      </c>
      <c r="H2121" s="149">
        <v>2.73</v>
      </c>
      <c r="I2121" s="150">
        <v>10.92</v>
      </c>
    </row>
    <row r="2122" spans="1:9" ht="15.6" x14ac:dyDescent="0.25">
      <c r="A2122" s="145"/>
      <c r="B2122" s="146">
        <v>8083604</v>
      </c>
      <c r="C2122" s="147"/>
      <c r="D2122" s="148" t="s">
        <v>790</v>
      </c>
      <c r="E2122" s="149">
        <v>5.31</v>
      </c>
      <c r="F2122" s="149">
        <v>2.88</v>
      </c>
      <c r="G2122" s="149">
        <v>24.03</v>
      </c>
      <c r="H2122" s="149">
        <v>2.73</v>
      </c>
      <c r="I2122" s="150">
        <v>34.949999999999996</v>
      </c>
    </row>
    <row r="2123" spans="1:9" ht="15.6" x14ac:dyDescent="0.25">
      <c r="A2123" s="145"/>
      <c r="B2123" s="146">
        <v>8087561</v>
      </c>
      <c r="C2123" s="147"/>
      <c r="D2123" s="148" t="s">
        <v>918</v>
      </c>
      <c r="E2123" s="149">
        <v>0</v>
      </c>
      <c r="F2123" s="149">
        <v>0</v>
      </c>
      <c r="G2123" s="149">
        <v>0</v>
      </c>
      <c r="H2123" s="149">
        <v>0</v>
      </c>
      <c r="I2123" s="150">
        <v>0</v>
      </c>
    </row>
    <row r="2124" spans="1:9" ht="15.6" x14ac:dyDescent="0.25">
      <c r="A2124" s="145"/>
      <c r="B2124" s="146">
        <v>8092367</v>
      </c>
      <c r="C2124" s="147"/>
      <c r="D2124" s="148" t="s">
        <v>862</v>
      </c>
      <c r="E2124" s="149">
        <v>5.31</v>
      </c>
      <c r="F2124" s="149">
        <v>2.88</v>
      </c>
      <c r="G2124" s="149">
        <v>0</v>
      </c>
      <c r="H2124" s="149">
        <v>2.73</v>
      </c>
      <c r="I2124" s="150">
        <v>10.92</v>
      </c>
    </row>
    <row r="2125" spans="1:9" ht="15.6" x14ac:dyDescent="0.25">
      <c r="A2125" s="145"/>
      <c r="B2125" s="146">
        <v>8093588</v>
      </c>
      <c r="C2125" s="147"/>
      <c r="D2125" s="148" t="s">
        <v>744</v>
      </c>
      <c r="E2125" s="149">
        <v>0</v>
      </c>
      <c r="F2125" s="149">
        <v>0</v>
      </c>
      <c r="G2125" s="149">
        <v>0</v>
      </c>
      <c r="H2125" s="149">
        <v>0</v>
      </c>
      <c r="I2125" s="150">
        <v>0</v>
      </c>
    </row>
    <row r="2126" spans="1:9" ht="15.6" x14ac:dyDescent="0.25">
      <c r="A2126" s="145"/>
      <c r="B2126" s="146">
        <v>8097135</v>
      </c>
      <c r="C2126" s="147"/>
      <c r="D2126" s="148" t="s">
        <v>841</v>
      </c>
      <c r="E2126" s="149">
        <v>5.31</v>
      </c>
      <c r="F2126" s="149">
        <v>2.88</v>
      </c>
      <c r="G2126" s="149">
        <v>0</v>
      </c>
      <c r="H2126" s="149">
        <v>0</v>
      </c>
      <c r="I2126" s="150">
        <v>8.19</v>
      </c>
    </row>
    <row r="2127" spans="1:9" ht="15.6" x14ac:dyDescent="0.25">
      <c r="A2127" s="145"/>
      <c r="B2127" s="146">
        <v>8112579</v>
      </c>
      <c r="C2127" s="147"/>
      <c r="D2127" s="148" t="s">
        <v>866</v>
      </c>
      <c r="E2127" s="149">
        <v>0</v>
      </c>
      <c r="F2127" s="149">
        <v>0</v>
      </c>
      <c r="G2127" s="149">
        <v>0</v>
      </c>
      <c r="H2127" s="149">
        <v>2.73</v>
      </c>
      <c r="I2127" s="150">
        <v>2.73</v>
      </c>
    </row>
    <row r="2128" spans="1:9" ht="15.6" x14ac:dyDescent="0.25">
      <c r="A2128" s="145"/>
      <c r="B2128" s="146">
        <v>8118029</v>
      </c>
      <c r="C2128" s="147"/>
      <c r="D2128" s="148" t="s">
        <v>882</v>
      </c>
      <c r="E2128" s="149">
        <v>5.31</v>
      </c>
      <c r="F2128" s="149">
        <v>2.88</v>
      </c>
      <c r="G2128" s="149">
        <v>0</v>
      </c>
      <c r="H2128" s="149">
        <v>2.73</v>
      </c>
      <c r="I2128" s="150">
        <v>10.92</v>
      </c>
    </row>
    <row r="2129" spans="1:9" ht="15.6" x14ac:dyDescent="0.25">
      <c r="A2129" s="145"/>
      <c r="B2129" s="146">
        <v>8124745</v>
      </c>
      <c r="C2129" s="147"/>
      <c r="D2129" s="148" t="s">
        <v>927</v>
      </c>
      <c r="E2129" s="149">
        <v>0</v>
      </c>
      <c r="F2129" s="149">
        <v>0</v>
      </c>
      <c r="G2129" s="149">
        <v>0</v>
      </c>
      <c r="H2129" s="149">
        <v>2.73</v>
      </c>
      <c r="I2129" s="150">
        <v>2.73</v>
      </c>
    </row>
    <row r="2130" spans="1:9" ht="15.6" x14ac:dyDescent="0.25">
      <c r="A2130" s="145"/>
      <c r="B2130" s="146">
        <v>8126369</v>
      </c>
      <c r="C2130" s="147"/>
      <c r="D2130" s="148" t="s">
        <v>732</v>
      </c>
      <c r="E2130" s="149">
        <v>0</v>
      </c>
      <c r="F2130" s="149">
        <v>0</v>
      </c>
      <c r="G2130" s="149">
        <v>0</v>
      </c>
      <c r="H2130" s="149">
        <v>2.73</v>
      </c>
      <c r="I2130" s="150">
        <v>2.73</v>
      </c>
    </row>
    <row r="2131" spans="1:9" ht="15.6" x14ac:dyDescent="0.25">
      <c r="A2131" s="145"/>
      <c r="B2131" s="146">
        <v>8126762</v>
      </c>
      <c r="C2131" s="147"/>
      <c r="D2131" s="148" t="s">
        <v>851</v>
      </c>
      <c r="E2131" s="149">
        <v>5.31</v>
      </c>
      <c r="F2131" s="149">
        <v>2.88</v>
      </c>
      <c r="G2131" s="149">
        <v>22.66</v>
      </c>
      <c r="H2131" s="149">
        <v>2.73</v>
      </c>
      <c r="I2131" s="150">
        <v>33.58</v>
      </c>
    </row>
    <row r="2132" spans="1:9" ht="15.6" x14ac:dyDescent="0.25">
      <c r="A2132" s="145"/>
      <c r="B2132" s="146">
        <v>8127748</v>
      </c>
      <c r="C2132" s="147"/>
      <c r="D2132" s="148" t="s">
        <v>868</v>
      </c>
      <c r="E2132" s="149">
        <v>5.31</v>
      </c>
      <c r="F2132" s="149">
        <v>2.88</v>
      </c>
      <c r="G2132" s="149">
        <v>0</v>
      </c>
      <c r="H2132" s="149">
        <v>2.73</v>
      </c>
      <c r="I2132" s="150">
        <v>10.92</v>
      </c>
    </row>
    <row r="2133" spans="1:9" ht="15.6" x14ac:dyDescent="0.25">
      <c r="A2133" s="145"/>
      <c r="B2133" s="146">
        <v>8128224</v>
      </c>
      <c r="C2133" s="147"/>
      <c r="D2133" s="148" t="s">
        <v>868</v>
      </c>
      <c r="E2133" s="149">
        <v>5.31</v>
      </c>
      <c r="F2133" s="149">
        <v>2.88</v>
      </c>
      <c r="G2133" s="149">
        <v>0</v>
      </c>
      <c r="H2133" s="149">
        <v>2.73</v>
      </c>
      <c r="I2133" s="150">
        <v>10.92</v>
      </c>
    </row>
    <row r="2134" spans="1:9" ht="15.6" x14ac:dyDescent="0.25">
      <c r="A2134" s="145"/>
      <c r="B2134" s="146">
        <v>8129322</v>
      </c>
      <c r="C2134" s="147"/>
      <c r="D2134" s="148" t="s">
        <v>862</v>
      </c>
      <c r="E2134" s="149">
        <v>5.31</v>
      </c>
      <c r="F2134" s="149">
        <v>2.88</v>
      </c>
      <c r="G2134" s="149">
        <v>0</v>
      </c>
      <c r="H2134" s="149">
        <v>2.73</v>
      </c>
      <c r="I2134" s="150">
        <v>10.92</v>
      </c>
    </row>
    <row r="2135" spans="1:9" ht="15.6" x14ac:dyDescent="0.25">
      <c r="A2135" s="145"/>
      <c r="B2135" s="146">
        <v>8132555</v>
      </c>
      <c r="C2135" s="147"/>
      <c r="D2135" s="148" t="s">
        <v>908</v>
      </c>
      <c r="E2135" s="149">
        <v>5.31</v>
      </c>
      <c r="F2135" s="149">
        <v>2.88</v>
      </c>
      <c r="G2135" s="149">
        <v>0</v>
      </c>
      <c r="H2135" s="149">
        <v>2.73</v>
      </c>
      <c r="I2135" s="150">
        <v>10.92</v>
      </c>
    </row>
    <row r="2136" spans="1:9" ht="15.6" x14ac:dyDescent="0.25">
      <c r="A2136" s="145"/>
      <c r="B2136" s="146">
        <v>8141489</v>
      </c>
      <c r="C2136" s="147"/>
      <c r="D2136" s="148" t="s">
        <v>946</v>
      </c>
      <c r="E2136" s="149">
        <v>5.31</v>
      </c>
      <c r="F2136" s="149">
        <v>2.88</v>
      </c>
      <c r="G2136" s="149">
        <v>0</v>
      </c>
      <c r="H2136" s="149">
        <v>2.73</v>
      </c>
      <c r="I2136" s="150">
        <v>10.92</v>
      </c>
    </row>
    <row r="2137" spans="1:9" ht="15.6" x14ac:dyDescent="0.25">
      <c r="A2137" s="145"/>
      <c r="B2137" s="146">
        <v>8141625</v>
      </c>
      <c r="C2137" s="147"/>
      <c r="D2137" s="148" t="s">
        <v>967</v>
      </c>
      <c r="E2137" s="149">
        <v>5.31</v>
      </c>
      <c r="F2137" s="149">
        <v>2.88</v>
      </c>
      <c r="G2137" s="149">
        <v>0</v>
      </c>
      <c r="H2137" s="149">
        <v>2.73</v>
      </c>
      <c r="I2137" s="150">
        <v>10.92</v>
      </c>
    </row>
    <row r="2138" spans="1:9" ht="15.6" x14ac:dyDescent="0.25">
      <c r="A2138" s="145"/>
      <c r="B2138" s="146">
        <v>8149463</v>
      </c>
      <c r="C2138" s="147"/>
      <c r="D2138" s="148" t="s">
        <v>761</v>
      </c>
      <c r="E2138" s="149">
        <v>0</v>
      </c>
      <c r="F2138" s="149">
        <v>0</v>
      </c>
      <c r="G2138" s="149">
        <v>0</v>
      </c>
      <c r="H2138" s="149">
        <v>2.73</v>
      </c>
      <c r="I2138" s="150">
        <v>2.73</v>
      </c>
    </row>
    <row r="2139" spans="1:9" ht="15.6" x14ac:dyDescent="0.25">
      <c r="A2139" s="145"/>
      <c r="B2139" s="146">
        <v>8159765</v>
      </c>
      <c r="C2139" s="147"/>
      <c r="D2139" s="148" t="s">
        <v>933</v>
      </c>
      <c r="E2139" s="149">
        <v>5.31</v>
      </c>
      <c r="F2139" s="149">
        <v>2.88</v>
      </c>
      <c r="G2139" s="149">
        <v>0</v>
      </c>
      <c r="H2139" s="149">
        <v>2.73</v>
      </c>
      <c r="I2139" s="150">
        <v>10.92</v>
      </c>
    </row>
    <row r="2140" spans="1:9" ht="15.6" x14ac:dyDescent="0.25">
      <c r="A2140" s="145"/>
      <c r="B2140" s="146">
        <v>8165331</v>
      </c>
      <c r="C2140" s="147"/>
      <c r="D2140" s="148" t="s">
        <v>868</v>
      </c>
      <c r="E2140" s="149">
        <v>5.31</v>
      </c>
      <c r="F2140" s="149">
        <v>2.88</v>
      </c>
      <c r="G2140" s="149">
        <v>0</v>
      </c>
      <c r="H2140" s="149">
        <v>2.73</v>
      </c>
      <c r="I2140" s="150">
        <v>10.92</v>
      </c>
    </row>
    <row r="2141" spans="1:9" ht="15.6" x14ac:dyDescent="0.25">
      <c r="A2141" s="145"/>
      <c r="B2141" s="146">
        <v>8165827</v>
      </c>
      <c r="C2141" s="147"/>
      <c r="D2141" s="148" t="s">
        <v>769</v>
      </c>
      <c r="E2141" s="149">
        <v>0</v>
      </c>
      <c r="F2141" s="149">
        <v>0</v>
      </c>
      <c r="G2141" s="149">
        <v>0</v>
      </c>
      <c r="H2141" s="149">
        <v>0</v>
      </c>
      <c r="I2141" s="150">
        <v>0</v>
      </c>
    </row>
    <row r="2142" spans="1:9" ht="15.6" x14ac:dyDescent="0.25">
      <c r="A2142" s="145"/>
      <c r="B2142" s="146">
        <v>8169304</v>
      </c>
      <c r="C2142" s="147"/>
      <c r="D2142" s="148" t="s">
        <v>881</v>
      </c>
      <c r="E2142" s="149">
        <v>5.31</v>
      </c>
      <c r="F2142" s="149">
        <v>2.88</v>
      </c>
      <c r="G2142" s="149">
        <v>0</v>
      </c>
      <c r="H2142" s="149">
        <v>2.73</v>
      </c>
      <c r="I2142" s="150">
        <v>10.92</v>
      </c>
    </row>
    <row r="2143" spans="1:9" ht="15.6" x14ac:dyDescent="0.25">
      <c r="A2143" s="145"/>
      <c r="B2143" s="146">
        <v>8170857</v>
      </c>
      <c r="C2143" s="147"/>
      <c r="D2143" s="148" t="s">
        <v>787</v>
      </c>
      <c r="E2143" s="149">
        <v>5.31</v>
      </c>
      <c r="F2143" s="149">
        <v>2.88</v>
      </c>
      <c r="G2143" s="149">
        <v>24.03</v>
      </c>
      <c r="H2143" s="149">
        <v>2.73</v>
      </c>
      <c r="I2143" s="150">
        <v>34.949999999999996</v>
      </c>
    </row>
    <row r="2144" spans="1:9" ht="15.6" x14ac:dyDescent="0.25">
      <c r="A2144" s="145"/>
      <c r="B2144" s="146">
        <v>8175221</v>
      </c>
      <c r="C2144" s="147"/>
      <c r="D2144" s="148" t="s">
        <v>851</v>
      </c>
      <c r="E2144" s="149">
        <v>5.31</v>
      </c>
      <c r="F2144" s="149">
        <v>2.88</v>
      </c>
      <c r="G2144" s="149">
        <v>22.66</v>
      </c>
      <c r="H2144" s="149">
        <v>2.73</v>
      </c>
      <c r="I2144" s="150">
        <v>33.58</v>
      </c>
    </row>
    <row r="2145" spans="1:9" ht="15.6" x14ac:dyDescent="0.25">
      <c r="A2145" s="145"/>
      <c r="B2145" s="146">
        <v>8177045</v>
      </c>
      <c r="C2145" s="147"/>
      <c r="D2145" s="148" t="s">
        <v>868</v>
      </c>
      <c r="E2145" s="149">
        <v>5.31</v>
      </c>
      <c r="F2145" s="149">
        <v>2.88</v>
      </c>
      <c r="G2145" s="149">
        <v>0</v>
      </c>
      <c r="H2145" s="149">
        <v>2.73</v>
      </c>
      <c r="I2145" s="150">
        <v>10.92</v>
      </c>
    </row>
    <row r="2146" spans="1:9" ht="15.6" x14ac:dyDescent="0.25">
      <c r="A2146" s="145"/>
      <c r="B2146" s="146">
        <v>8180639</v>
      </c>
      <c r="C2146" s="147"/>
      <c r="D2146" s="148" t="s">
        <v>866</v>
      </c>
      <c r="E2146" s="149">
        <v>5.31</v>
      </c>
      <c r="F2146" s="149">
        <v>2.88</v>
      </c>
      <c r="G2146" s="149">
        <v>0</v>
      </c>
      <c r="H2146" s="149">
        <v>2.73</v>
      </c>
      <c r="I2146" s="150">
        <v>10.92</v>
      </c>
    </row>
    <row r="2147" spans="1:9" ht="15.6" x14ac:dyDescent="0.25">
      <c r="A2147" s="145"/>
      <c r="B2147" s="146">
        <v>8182319</v>
      </c>
      <c r="C2147" s="147"/>
      <c r="D2147" s="148" t="s">
        <v>887</v>
      </c>
      <c r="E2147" s="149">
        <v>5.31</v>
      </c>
      <c r="F2147" s="149">
        <v>2.88</v>
      </c>
      <c r="G2147" s="149">
        <v>0</v>
      </c>
      <c r="H2147" s="149">
        <v>2.73</v>
      </c>
      <c r="I2147" s="150">
        <v>10.92</v>
      </c>
    </row>
    <row r="2148" spans="1:9" ht="15.6" x14ac:dyDescent="0.25">
      <c r="A2148" s="145"/>
      <c r="B2148" s="146">
        <v>8185411</v>
      </c>
      <c r="C2148" s="147"/>
      <c r="D2148" s="148" t="s">
        <v>787</v>
      </c>
      <c r="E2148" s="149">
        <v>5.31</v>
      </c>
      <c r="F2148" s="149">
        <v>2.88</v>
      </c>
      <c r="G2148" s="149">
        <v>18.260000000000002</v>
      </c>
      <c r="H2148" s="149">
        <v>2.73</v>
      </c>
      <c r="I2148" s="150">
        <v>29.180000000000003</v>
      </c>
    </row>
    <row r="2149" spans="1:9" ht="15.6" x14ac:dyDescent="0.25">
      <c r="A2149" s="145"/>
      <c r="B2149" s="146">
        <v>8188659</v>
      </c>
      <c r="C2149" s="147"/>
      <c r="D2149" s="148" t="s">
        <v>773</v>
      </c>
      <c r="E2149" s="149">
        <v>5.31</v>
      </c>
      <c r="F2149" s="149">
        <v>2.88</v>
      </c>
      <c r="G2149" s="149">
        <v>0</v>
      </c>
      <c r="H2149" s="149">
        <v>2.73</v>
      </c>
      <c r="I2149" s="150">
        <v>10.92</v>
      </c>
    </row>
    <row r="2150" spans="1:9" ht="15.6" x14ac:dyDescent="0.25">
      <c r="A2150" s="145"/>
      <c r="B2150" s="146">
        <v>8189188</v>
      </c>
      <c r="C2150" s="147"/>
      <c r="D2150" s="148" t="s">
        <v>857</v>
      </c>
      <c r="E2150" s="149">
        <v>0</v>
      </c>
      <c r="F2150" s="149">
        <v>0</v>
      </c>
      <c r="G2150" s="149">
        <v>0</v>
      </c>
      <c r="H2150" s="149">
        <v>0</v>
      </c>
      <c r="I2150" s="150">
        <v>0</v>
      </c>
    </row>
    <row r="2151" spans="1:9" ht="15.6" x14ac:dyDescent="0.25">
      <c r="A2151" s="145"/>
      <c r="B2151" s="146">
        <v>8189249</v>
      </c>
      <c r="C2151" s="147"/>
      <c r="D2151" s="148" t="s">
        <v>771</v>
      </c>
      <c r="E2151" s="149">
        <v>5.31</v>
      </c>
      <c r="F2151" s="149">
        <v>2.88</v>
      </c>
      <c r="G2151" s="149">
        <v>0</v>
      </c>
      <c r="H2151" s="149">
        <v>2.73</v>
      </c>
      <c r="I2151" s="150">
        <v>10.92</v>
      </c>
    </row>
    <row r="2152" spans="1:9" ht="15.6" x14ac:dyDescent="0.25">
      <c r="A2152" s="145"/>
      <c r="B2152" s="146">
        <v>8190470</v>
      </c>
      <c r="C2152" s="147"/>
      <c r="D2152" s="148" t="s">
        <v>835</v>
      </c>
      <c r="E2152" s="149">
        <v>5.31</v>
      </c>
      <c r="F2152" s="149">
        <v>2.88</v>
      </c>
      <c r="G2152" s="149">
        <v>0</v>
      </c>
      <c r="H2152" s="149">
        <v>2.73</v>
      </c>
      <c r="I2152" s="150">
        <v>10.92</v>
      </c>
    </row>
    <row r="2153" spans="1:9" ht="15.6" x14ac:dyDescent="0.25">
      <c r="A2153" s="145"/>
      <c r="B2153" s="146">
        <v>8191664</v>
      </c>
      <c r="C2153" s="147"/>
      <c r="D2153" s="148" t="s">
        <v>874</v>
      </c>
      <c r="E2153" s="149">
        <v>5.31</v>
      </c>
      <c r="F2153" s="149">
        <v>2.88</v>
      </c>
      <c r="G2153" s="149">
        <v>0</v>
      </c>
      <c r="H2153" s="149">
        <v>2.73</v>
      </c>
      <c r="I2153" s="150">
        <v>10.92</v>
      </c>
    </row>
    <row r="2154" spans="1:9" ht="15.6" x14ac:dyDescent="0.25">
      <c r="A2154" s="145"/>
      <c r="B2154" s="146">
        <v>8195954</v>
      </c>
      <c r="C2154" s="147"/>
      <c r="D2154" s="148" t="s">
        <v>773</v>
      </c>
      <c r="E2154" s="149">
        <v>5.31</v>
      </c>
      <c r="F2154" s="149">
        <v>2.88</v>
      </c>
      <c r="G2154" s="149">
        <v>0</v>
      </c>
      <c r="H2154" s="149">
        <v>2.73</v>
      </c>
      <c r="I2154" s="150">
        <v>10.92</v>
      </c>
    </row>
    <row r="2155" spans="1:9" ht="15.6" x14ac:dyDescent="0.25">
      <c r="A2155" s="145"/>
      <c r="B2155" s="146">
        <v>8197182</v>
      </c>
      <c r="C2155" s="147"/>
      <c r="D2155" s="148" t="s">
        <v>716</v>
      </c>
      <c r="E2155" s="149">
        <v>0</v>
      </c>
      <c r="F2155" s="149">
        <v>0</v>
      </c>
      <c r="G2155" s="149">
        <v>0</v>
      </c>
      <c r="H2155" s="149">
        <v>0</v>
      </c>
      <c r="I2155" s="150">
        <v>0</v>
      </c>
    </row>
    <row r="2156" spans="1:9" ht="15.6" x14ac:dyDescent="0.25">
      <c r="A2156" s="145"/>
      <c r="B2156" s="146">
        <v>8197874</v>
      </c>
      <c r="C2156" s="147"/>
      <c r="D2156" s="148" t="s">
        <v>918</v>
      </c>
      <c r="E2156" s="149">
        <v>0</v>
      </c>
      <c r="F2156" s="149">
        <v>0</v>
      </c>
      <c r="G2156" s="149">
        <v>0</v>
      </c>
      <c r="H2156" s="149">
        <v>0</v>
      </c>
      <c r="I2156" s="150">
        <v>0</v>
      </c>
    </row>
    <row r="2157" spans="1:9" ht="15.6" x14ac:dyDescent="0.25">
      <c r="A2157" s="145"/>
      <c r="B2157" s="146">
        <v>8198753</v>
      </c>
      <c r="C2157" s="147"/>
      <c r="D2157" s="148" t="s">
        <v>789</v>
      </c>
      <c r="E2157" s="149">
        <v>5.31</v>
      </c>
      <c r="F2157" s="149">
        <v>2.88</v>
      </c>
      <c r="G2157" s="149">
        <v>18.260000000000002</v>
      </c>
      <c r="H2157" s="149">
        <v>2.73</v>
      </c>
      <c r="I2157" s="150">
        <v>29.180000000000003</v>
      </c>
    </row>
    <row r="2158" spans="1:9" ht="15.6" x14ac:dyDescent="0.25">
      <c r="A2158" s="145"/>
      <c r="B2158" s="146">
        <v>8199278</v>
      </c>
      <c r="C2158" s="147"/>
      <c r="D2158" s="148" t="s">
        <v>868</v>
      </c>
      <c r="E2158" s="149">
        <v>5.31</v>
      </c>
      <c r="F2158" s="149">
        <v>2.88</v>
      </c>
      <c r="G2158" s="149">
        <v>0</v>
      </c>
      <c r="H2158" s="149">
        <v>2.73</v>
      </c>
      <c r="I2158" s="150">
        <v>10.92</v>
      </c>
    </row>
    <row r="2159" spans="1:9" ht="15.6" x14ac:dyDescent="0.25">
      <c r="A2159" s="145"/>
      <c r="B2159" s="146">
        <v>8200451</v>
      </c>
      <c r="C2159" s="147"/>
      <c r="D2159" s="148" t="s">
        <v>851</v>
      </c>
      <c r="E2159" s="149">
        <v>5.31</v>
      </c>
      <c r="F2159" s="149">
        <v>2.88</v>
      </c>
      <c r="G2159" s="149">
        <v>22.66</v>
      </c>
      <c r="H2159" s="149">
        <v>2.73</v>
      </c>
      <c r="I2159" s="150">
        <v>33.58</v>
      </c>
    </row>
    <row r="2160" spans="1:9" ht="15.6" x14ac:dyDescent="0.25">
      <c r="A2160" s="145"/>
      <c r="B2160" s="146">
        <v>8219713</v>
      </c>
      <c r="C2160" s="147"/>
      <c r="D2160" s="148" t="s">
        <v>894</v>
      </c>
      <c r="E2160" s="149">
        <v>5.31</v>
      </c>
      <c r="F2160" s="149">
        <v>2.88</v>
      </c>
      <c r="G2160" s="149">
        <v>0</v>
      </c>
      <c r="H2160" s="149">
        <v>0</v>
      </c>
      <c r="I2160" s="150">
        <v>8.19</v>
      </c>
    </row>
    <row r="2161" spans="1:9" ht="15.6" x14ac:dyDescent="0.25">
      <c r="A2161" s="145"/>
      <c r="B2161" s="146">
        <v>8221070</v>
      </c>
      <c r="C2161" s="147"/>
      <c r="D2161" s="148" t="s">
        <v>835</v>
      </c>
      <c r="E2161" s="149">
        <v>5.31</v>
      </c>
      <c r="F2161" s="149">
        <v>2.88</v>
      </c>
      <c r="G2161" s="149">
        <v>0</v>
      </c>
      <c r="H2161" s="149">
        <v>2.73</v>
      </c>
      <c r="I2161" s="150">
        <v>10.92</v>
      </c>
    </row>
    <row r="2162" spans="1:9" ht="15.6" x14ac:dyDescent="0.25">
      <c r="A2162" s="145"/>
      <c r="B2162" s="146">
        <v>8225070</v>
      </c>
      <c r="C2162" s="147"/>
      <c r="D2162" s="148" t="s">
        <v>784</v>
      </c>
      <c r="E2162" s="149">
        <v>0</v>
      </c>
      <c r="F2162" s="149">
        <v>0</v>
      </c>
      <c r="G2162" s="149">
        <v>0</v>
      </c>
      <c r="H2162" s="149">
        <v>0</v>
      </c>
      <c r="I2162" s="150">
        <v>0</v>
      </c>
    </row>
    <row r="2163" spans="1:9" ht="15.6" x14ac:dyDescent="0.25">
      <c r="A2163" s="145"/>
      <c r="B2163" s="146">
        <v>8225398</v>
      </c>
      <c r="C2163" s="147"/>
      <c r="D2163" s="148" t="s">
        <v>822</v>
      </c>
      <c r="E2163" s="149">
        <v>5.31</v>
      </c>
      <c r="F2163" s="149">
        <v>2.88</v>
      </c>
      <c r="G2163" s="149">
        <v>0</v>
      </c>
      <c r="H2163" s="149">
        <v>2.73</v>
      </c>
      <c r="I2163" s="150">
        <v>10.92</v>
      </c>
    </row>
    <row r="2164" spans="1:9" ht="15.6" x14ac:dyDescent="0.25">
      <c r="A2164" s="145"/>
      <c r="B2164" s="146">
        <v>8225819</v>
      </c>
      <c r="C2164" s="147"/>
      <c r="D2164" s="148" t="s">
        <v>851</v>
      </c>
      <c r="E2164" s="149">
        <v>5.31</v>
      </c>
      <c r="F2164" s="149">
        <v>2.88</v>
      </c>
      <c r="G2164" s="149">
        <v>22.66</v>
      </c>
      <c r="H2164" s="149">
        <v>2.73</v>
      </c>
      <c r="I2164" s="150">
        <v>33.58</v>
      </c>
    </row>
    <row r="2165" spans="1:9" ht="15.6" x14ac:dyDescent="0.25">
      <c r="A2165" s="145"/>
      <c r="B2165" s="146">
        <v>8226779</v>
      </c>
      <c r="C2165" s="147"/>
      <c r="D2165" s="148" t="s">
        <v>823</v>
      </c>
      <c r="E2165" s="149">
        <v>5.31</v>
      </c>
      <c r="F2165" s="149">
        <v>2.88</v>
      </c>
      <c r="G2165" s="149">
        <v>0</v>
      </c>
      <c r="H2165" s="149">
        <v>2.73</v>
      </c>
      <c r="I2165" s="150">
        <v>10.92</v>
      </c>
    </row>
    <row r="2166" spans="1:9" ht="15.6" x14ac:dyDescent="0.25">
      <c r="A2166" s="145"/>
      <c r="B2166" s="146">
        <v>8228153</v>
      </c>
      <c r="C2166" s="147"/>
      <c r="D2166" s="148" t="s">
        <v>851</v>
      </c>
      <c r="E2166" s="149">
        <v>5.31</v>
      </c>
      <c r="F2166" s="149">
        <v>2.88</v>
      </c>
      <c r="G2166" s="149">
        <v>30.22</v>
      </c>
      <c r="H2166" s="149">
        <v>2.73</v>
      </c>
      <c r="I2166" s="150">
        <v>41.139999999999993</v>
      </c>
    </row>
    <row r="2167" spans="1:9" ht="15.6" x14ac:dyDescent="0.25">
      <c r="A2167" s="145"/>
      <c r="B2167" s="146">
        <v>8242586</v>
      </c>
      <c r="C2167" s="147"/>
      <c r="D2167" s="148" t="s">
        <v>925</v>
      </c>
      <c r="E2167" s="149">
        <v>5.31</v>
      </c>
      <c r="F2167" s="149">
        <v>2.88</v>
      </c>
      <c r="G2167" s="149">
        <v>0</v>
      </c>
      <c r="H2167" s="149">
        <v>0</v>
      </c>
      <c r="I2167" s="150">
        <v>8.19</v>
      </c>
    </row>
    <row r="2168" spans="1:9" ht="15.6" x14ac:dyDescent="0.25">
      <c r="A2168" s="145"/>
      <c r="B2168" s="146">
        <v>8249886</v>
      </c>
      <c r="C2168" s="147"/>
      <c r="D2168" s="148" t="s">
        <v>893</v>
      </c>
      <c r="E2168" s="149">
        <v>5.31</v>
      </c>
      <c r="F2168" s="149">
        <v>2.88</v>
      </c>
      <c r="G2168" s="149">
        <v>0</v>
      </c>
      <c r="H2168" s="149">
        <v>2.73</v>
      </c>
      <c r="I2168" s="150">
        <v>10.92</v>
      </c>
    </row>
    <row r="2169" spans="1:9" ht="15.6" x14ac:dyDescent="0.25">
      <c r="A2169" s="145"/>
      <c r="B2169" s="146">
        <v>8251215</v>
      </c>
      <c r="C2169" s="147"/>
      <c r="D2169" s="148" t="s">
        <v>944</v>
      </c>
      <c r="E2169" s="149">
        <v>5.31</v>
      </c>
      <c r="F2169" s="149">
        <v>2.88</v>
      </c>
      <c r="G2169" s="149">
        <v>0</v>
      </c>
      <c r="H2169" s="149">
        <v>2.73</v>
      </c>
      <c r="I2169" s="150">
        <v>10.92</v>
      </c>
    </row>
    <row r="2170" spans="1:9" ht="15.6" x14ac:dyDescent="0.25">
      <c r="A2170" s="145"/>
      <c r="B2170" s="146">
        <v>8253095</v>
      </c>
      <c r="C2170" s="147"/>
      <c r="D2170" s="148" t="s">
        <v>787</v>
      </c>
      <c r="E2170" s="149">
        <v>5.31</v>
      </c>
      <c r="F2170" s="149">
        <v>2.88</v>
      </c>
      <c r="G2170" s="149">
        <v>18.260000000000002</v>
      </c>
      <c r="H2170" s="149">
        <v>2.73</v>
      </c>
      <c r="I2170" s="150">
        <v>29.180000000000003</v>
      </c>
    </row>
    <row r="2171" spans="1:9" ht="15.6" x14ac:dyDescent="0.25">
      <c r="A2171" s="145"/>
      <c r="B2171" s="146">
        <v>8258243</v>
      </c>
      <c r="C2171" s="147"/>
      <c r="D2171" s="148" t="s">
        <v>759</v>
      </c>
      <c r="E2171" s="149">
        <v>0</v>
      </c>
      <c r="F2171" s="149">
        <v>0</v>
      </c>
      <c r="G2171" s="149">
        <v>0</v>
      </c>
      <c r="H2171" s="149">
        <v>2.73</v>
      </c>
      <c r="I2171" s="150">
        <v>2.73</v>
      </c>
    </row>
    <row r="2172" spans="1:9" ht="15.6" x14ac:dyDescent="0.25">
      <c r="A2172" s="145"/>
      <c r="B2172" s="146">
        <v>8265879</v>
      </c>
      <c r="C2172" s="147"/>
      <c r="D2172" s="148" t="s">
        <v>851</v>
      </c>
      <c r="E2172" s="149">
        <v>5.31</v>
      </c>
      <c r="F2172" s="149">
        <v>2.88</v>
      </c>
      <c r="G2172" s="149">
        <v>22.66</v>
      </c>
      <c r="H2172" s="149">
        <v>2.73</v>
      </c>
      <c r="I2172" s="150">
        <v>33.58</v>
      </c>
    </row>
    <row r="2173" spans="1:9" ht="15.6" x14ac:dyDescent="0.25">
      <c r="A2173" s="145"/>
      <c r="B2173" s="146">
        <v>8266845</v>
      </c>
      <c r="C2173" s="147"/>
      <c r="D2173" s="148" t="s">
        <v>918</v>
      </c>
      <c r="E2173" s="149">
        <v>0</v>
      </c>
      <c r="F2173" s="149">
        <v>0</v>
      </c>
      <c r="G2173" s="149">
        <v>0</v>
      </c>
      <c r="H2173" s="149">
        <v>0</v>
      </c>
      <c r="I2173" s="150">
        <v>0</v>
      </c>
    </row>
    <row r="2174" spans="1:9" ht="15.6" x14ac:dyDescent="0.25">
      <c r="A2174" s="145"/>
      <c r="B2174" s="146">
        <v>8269122</v>
      </c>
      <c r="C2174" s="147"/>
      <c r="D2174" s="148" t="s">
        <v>834</v>
      </c>
      <c r="E2174" s="149">
        <v>5.31</v>
      </c>
      <c r="F2174" s="149">
        <v>2.88</v>
      </c>
      <c r="G2174" s="149">
        <v>0</v>
      </c>
      <c r="H2174" s="149">
        <v>2.73</v>
      </c>
      <c r="I2174" s="150">
        <v>10.92</v>
      </c>
    </row>
    <row r="2175" spans="1:9" ht="15.6" x14ac:dyDescent="0.25">
      <c r="A2175" s="145"/>
      <c r="B2175" s="146">
        <v>8269604</v>
      </c>
      <c r="C2175" s="147"/>
      <c r="D2175" s="148" t="s">
        <v>816</v>
      </c>
      <c r="E2175" s="149">
        <v>5.31</v>
      </c>
      <c r="F2175" s="149">
        <v>2.88</v>
      </c>
      <c r="G2175" s="149">
        <v>0</v>
      </c>
      <c r="H2175" s="149">
        <v>2.73</v>
      </c>
      <c r="I2175" s="150">
        <v>10.92</v>
      </c>
    </row>
    <row r="2176" spans="1:9" ht="15.6" x14ac:dyDescent="0.25">
      <c r="A2176" s="145"/>
      <c r="B2176" s="146">
        <v>8273980</v>
      </c>
      <c r="C2176" s="147"/>
      <c r="D2176" s="148" t="s">
        <v>746</v>
      </c>
      <c r="E2176" s="149">
        <v>5.31</v>
      </c>
      <c r="F2176" s="149">
        <v>2.88</v>
      </c>
      <c r="G2176" s="149">
        <v>0</v>
      </c>
      <c r="H2176" s="149">
        <v>2.73</v>
      </c>
      <c r="I2176" s="150">
        <v>10.92</v>
      </c>
    </row>
    <row r="2177" spans="1:9" ht="15.6" x14ac:dyDescent="0.25">
      <c r="A2177" s="145"/>
      <c r="B2177" s="146">
        <v>8274360</v>
      </c>
      <c r="C2177" s="147"/>
      <c r="D2177" s="148" t="s">
        <v>834</v>
      </c>
      <c r="E2177" s="149">
        <v>5.31</v>
      </c>
      <c r="F2177" s="149">
        <v>2.88</v>
      </c>
      <c r="G2177" s="149">
        <v>0</v>
      </c>
      <c r="H2177" s="149">
        <v>2.73</v>
      </c>
      <c r="I2177" s="150">
        <v>10.92</v>
      </c>
    </row>
    <row r="2178" spans="1:9" ht="15.6" x14ac:dyDescent="0.25">
      <c r="A2178" s="145"/>
      <c r="B2178" s="146">
        <v>8283319</v>
      </c>
      <c r="C2178" s="147"/>
      <c r="D2178" s="148" t="s">
        <v>868</v>
      </c>
      <c r="E2178" s="149">
        <v>5.31</v>
      </c>
      <c r="F2178" s="149">
        <v>2.88</v>
      </c>
      <c r="G2178" s="149">
        <v>0</v>
      </c>
      <c r="H2178" s="149">
        <v>2.73</v>
      </c>
      <c r="I2178" s="150">
        <v>10.92</v>
      </c>
    </row>
    <row r="2179" spans="1:9" ht="15.6" x14ac:dyDescent="0.25">
      <c r="A2179" s="145"/>
      <c r="B2179" s="146">
        <v>8290672</v>
      </c>
      <c r="C2179" s="147"/>
      <c r="D2179" s="148" t="s">
        <v>725</v>
      </c>
      <c r="E2179" s="149">
        <v>0</v>
      </c>
      <c r="F2179" s="149">
        <v>0</v>
      </c>
      <c r="G2179" s="149">
        <v>0</v>
      </c>
      <c r="H2179" s="149">
        <v>0</v>
      </c>
      <c r="I2179" s="150">
        <v>0</v>
      </c>
    </row>
    <row r="2180" spans="1:9" ht="15.6" x14ac:dyDescent="0.25">
      <c r="A2180" s="145"/>
      <c r="B2180" s="146">
        <v>8291332</v>
      </c>
      <c r="C2180" s="147"/>
      <c r="D2180" s="148" t="s">
        <v>780</v>
      </c>
      <c r="E2180" s="149">
        <v>5.31</v>
      </c>
      <c r="F2180" s="149">
        <v>2.88</v>
      </c>
      <c r="G2180" s="149">
        <v>36.39</v>
      </c>
      <c r="H2180" s="149">
        <v>2.73</v>
      </c>
      <c r="I2180" s="150">
        <v>47.309999999999995</v>
      </c>
    </row>
    <row r="2181" spans="1:9" ht="15.6" x14ac:dyDescent="0.25">
      <c r="A2181" s="145"/>
      <c r="B2181" s="146">
        <v>8292530</v>
      </c>
      <c r="C2181" s="147"/>
      <c r="D2181" s="148" t="s">
        <v>774</v>
      </c>
      <c r="E2181" s="149">
        <v>5.31</v>
      </c>
      <c r="F2181" s="149">
        <v>2.88</v>
      </c>
      <c r="G2181" s="149">
        <v>25.76</v>
      </c>
      <c r="H2181" s="149">
        <v>2.73</v>
      </c>
      <c r="I2181" s="150">
        <v>36.68</v>
      </c>
    </row>
    <row r="2182" spans="1:9" ht="15.6" x14ac:dyDescent="0.25">
      <c r="A2182" s="145"/>
      <c r="B2182" s="146">
        <v>8300573</v>
      </c>
      <c r="C2182" s="147"/>
      <c r="D2182" s="148" t="s">
        <v>929</v>
      </c>
      <c r="E2182" s="149">
        <v>5.31</v>
      </c>
      <c r="F2182" s="149">
        <v>2.88</v>
      </c>
      <c r="G2182" s="149">
        <v>0</v>
      </c>
      <c r="H2182" s="149">
        <v>2.73</v>
      </c>
      <c r="I2182" s="150">
        <v>10.92</v>
      </c>
    </row>
    <row r="2183" spans="1:9" ht="15.6" x14ac:dyDescent="0.25">
      <c r="A2183" s="145"/>
      <c r="B2183" s="146">
        <v>8300931</v>
      </c>
      <c r="C2183" s="147"/>
      <c r="D2183" s="148" t="s">
        <v>857</v>
      </c>
      <c r="E2183" s="149">
        <v>0</v>
      </c>
      <c r="F2183" s="149">
        <v>0</v>
      </c>
      <c r="G2183" s="149">
        <v>0</v>
      </c>
      <c r="H2183" s="149">
        <v>0</v>
      </c>
      <c r="I2183" s="150">
        <v>0</v>
      </c>
    </row>
    <row r="2184" spans="1:9" ht="15.6" x14ac:dyDescent="0.25">
      <c r="A2184" s="145"/>
      <c r="B2184" s="146">
        <v>8302240</v>
      </c>
      <c r="C2184" s="147"/>
      <c r="D2184" s="148" t="s">
        <v>854</v>
      </c>
      <c r="E2184" s="149">
        <v>5.31</v>
      </c>
      <c r="F2184" s="149">
        <v>2.88</v>
      </c>
      <c r="G2184" s="149">
        <v>0</v>
      </c>
      <c r="H2184" s="149">
        <v>2.73</v>
      </c>
      <c r="I2184" s="150">
        <v>10.92</v>
      </c>
    </row>
    <row r="2185" spans="1:9" ht="15.6" x14ac:dyDescent="0.25">
      <c r="A2185" s="145"/>
      <c r="B2185" s="146">
        <v>8307302</v>
      </c>
      <c r="C2185" s="147"/>
      <c r="D2185" s="148" t="s">
        <v>868</v>
      </c>
      <c r="E2185" s="149">
        <v>5.31</v>
      </c>
      <c r="F2185" s="149">
        <v>2.88</v>
      </c>
      <c r="G2185" s="149">
        <v>0</v>
      </c>
      <c r="H2185" s="149">
        <v>2.73</v>
      </c>
      <c r="I2185" s="150">
        <v>10.92</v>
      </c>
    </row>
    <row r="2186" spans="1:9" ht="15.6" x14ac:dyDescent="0.25">
      <c r="A2186" s="145"/>
      <c r="B2186" s="146">
        <v>8310130</v>
      </c>
      <c r="C2186" s="147"/>
      <c r="D2186" s="148" t="s">
        <v>917</v>
      </c>
      <c r="E2186" s="149">
        <v>5.31</v>
      </c>
      <c r="F2186" s="149">
        <v>2.88</v>
      </c>
      <c r="G2186" s="149">
        <v>0</v>
      </c>
      <c r="H2186" s="149">
        <v>2.73</v>
      </c>
      <c r="I2186" s="150">
        <v>10.92</v>
      </c>
    </row>
    <row r="2187" spans="1:9" ht="15.6" x14ac:dyDescent="0.25">
      <c r="A2187" s="145"/>
      <c r="B2187" s="146">
        <v>8313362</v>
      </c>
      <c r="C2187" s="147"/>
      <c r="D2187" s="148" t="s">
        <v>905</v>
      </c>
      <c r="E2187" s="149">
        <v>5.31</v>
      </c>
      <c r="F2187" s="149">
        <v>2.88</v>
      </c>
      <c r="G2187" s="149">
        <v>0</v>
      </c>
      <c r="H2187" s="149">
        <v>2.73</v>
      </c>
      <c r="I2187" s="150">
        <v>10.92</v>
      </c>
    </row>
    <row r="2188" spans="1:9" ht="15.6" x14ac:dyDescent="0.25">
      <c r="A2188" s="145"/>
      <c r="B2188" s="146">
        <v>8318422</v>
      </c>
      <c r="C2188" s="147"/>
      <c r="D2188" s="148" t="s">
        <v>732</v>
      </c>
      <c r="E2188" s="149">
        <v>0</v>
      </c>
      <c r="F2188" s="149">
        <v>0</v>
      </c>
      <c r="G2188" s="149">
        <v>0</v>
      </c>
      <c r="H2188" s="149">
        <v>2.73</v>
      </c>
      <c r="I2188" s="150">
        <v>2.73</v>
      </c>
    </row>
    <row r="2189" spans="1:9" ht="15.6" x14ac:dyDescent="0.25">
      <c r="A2189" s="145"/>
      <c r="B2189" s="146">
        <v>8324878</v>
      </c>
      <c r="C2189" s="147"/>
      <c r="D2189" s="148" t="s">
        <v>868</v>
      </c>
      <c r="E2189" s="149">
        <v>5.31</v>
      </c>
      <c r="F2189" s="149">
        <v>2.88</v>
      </c>
      <c r="G2189" s="149">
        <v>0</v>
      </c>
      <c r="H2189" s="149">
        <v>2.73</v>
      </c>
      <c r="I2189" s="150">
        <v>10.92</v>
      </c>
    </row>
    <row r="2190" spans="1:9" ht="15.6" x14ac:dyDescent="0.25">
      <c r="A2190" s="145"/>
      <c r="B2190" s="146">
        <v>8329555</v>
      </c>
      <c r="C2190" s="147"/>
      <c r="D2190" s="148" t="s">
        <v>756</v>
      </c>
      <c r="E2190" s="149">
        <v>0</v>
      </c>
      <c r="F2190" s="149">
        <v>0</v>
      </c>
      <c r="G2190" s="149">
        <v>0</v>
      </c>
      <c r="H2190" s="149">
        <v>2.73</v>
      </c>
      <c r="I2190" s="150">
        <v>2.73</v>
      </c>
    </row>
    <row r="2191" spans="1:9" ht="15.6" x14ac:dyDescent="0.25">
      <c r="A2191" s="145"/>
      <c r="B2191" s="146">
        <v>8330762</v>
      </c>
      <c r="C2191" s="147"/>
      <c r="D2191" s="148" t="s">
        <v>826</v>
      </c>
      <c r="E2191" s="149">
        <v>5.31</v>
      </c>
      <c r="F2191" s="149">
        <v>2.88</v>
      </c>
      <c r="G2191" s="149">
        <v>0</v>
      </c>
      <c r="H2191" s="149">
        <v>2.73</v>
      </c>
      <c r="I2191" s="150">
        <v>10.92</v>
      </c>
    </row>
    <row r="2192" spans="1:9" ht="15.6" x14ac:dyDescent="0.25">
      <c r="A2192" s="145"/>
      <c r="B2192" s="146">
        <v>8332499</v>
      </c>
      <c r="C2192" s="147"/>
      <c r="D2192" s="148" t="s">
        <v>849</v>
      </c>
      <c r="E2192" s="149">
        <v>0</v>
      </c>
      <c r="F2192" s="149">
        <v>0</v>
      </c>
      <c r="G2192" s="149">
        <v>0</v>
      </c>
      <c r="H2192" s="149">
        <v>2.73</v>
      </c>
      <c r="I2192" s="150">
        <v>2.73</v>
      </c>
    </row>
    <row r="2193" spans="1:9" ht="15.6" x14ac:dyDescent="0.25">
      <c r="A2193" s="145"/>
      <c r="B2193" s="146">
        <v>8338185</v>
      </c>
      <c r="C2193" s="147"/>
      <c r="D2193" s="148" t="s">
        <v>851</v>
      </c>
      <c r="E2193" s="149">
        <v>5.31</v>
      </c>
      <c r="F2193" s="149">
        <v>2.88</v>
      </c>
      <c r="G2193" s="149">
        <v>22.66</v>
      </c>
      <c r="H2193" s="149">
        <v>2.73</v>
      </c>
      <c r="I2193" s="150">
        <v>33.58</v>
      </c>
    </row>
    <row r="2194" spans="1:9" ht="15.6" x14ac:dyDescent="0.25">
      <c r="A2194" s="145"/>
      <c r="B2194" s="146">
        <v>8341713</v>
      </c>
      <c r="C2194" s="147"/>
      <c r="D2194" s="148" t="s">
        <v>765</v>
      </c>
      <c r="E2194" s="149">
        <v>0</v>
      </c>
      <c r="F2194" s="149">
        <v>0</v>
      </c>
      <c r="G2194" s="149">
        <v>0</v>
      </c>
      <c r="H2194" s="149">
        <v>0</v>
      </c>
      <c r="I2194" s="150">
        <v>0</v>
      </c>
    </row>
    <row r="2195" spans="1:9" ht="15.6" x14ac:dyDescent="0.25">
      <c r="A2195" s="145"/>
      <c r="B2195" s="146">
        <v>8345815</v>
      </c>
      <c r="C2195" s="147"/>
      <c r="D2195" s="148" t="s">
        <v>925</v>
      </c>
      <c r="E2195" s="149">
        <v>5.31</v>
      </c>
      <c r="F2195" s="149">
        <v>2.88</v>
      </c>
      <c r="G2195" s="149">
        <v>0</v>
      </c>
      <c r="H2195" s="149">
        <v>0</v>
      </c>
      <c r="I2195" s="150">
        <v>8.19</v>
      </c>
    </row>
    <row r="2196" spans="1:9" ht="15.6" x14ac:dyDescent="0.25">
      <c r="A2196" s="145"/>
      <c r="B2196" s="146">
        <v>8345842</v>
      </c>
      <c r="C2196" s="147"/>
      <c r="D2196" s="148" t="s">
        <v>902</v>
      </c>
      <c r="E2196" s="149">
        <v>5.31</v>
      </c>
      <c r="F2196" s="149">
        <v>2.88</v>
      </c>
      <c r="G2196" s="149">
        <v>0</v>
      </c>
      <c r="H2196" s="149">
        <v>0</v>
      </c>
      <c r="I2196" s="150">
        <v>8.19</v>
      </c>
    </row>
    <row r="2197" spans="1:9" ht="15.6" x14ac:dyDescent="0.25">
      <c r="A2197" s="145"/>
      <c r="B2197" s="146">
        <v>8347498</v>
      </c>
      <c r="C2197" s="147"/>
      <c r="D2197" s="148" t="s">
        <v>886</v>
      </c>
      <c r="E2197" s="149">
        <v>5.31</v>
      </c>
      <c r="F2197" s="149">
        <v>2.88</v>
      </c>
      <c r="G2197" s="149">
        <v>0</v>
      </c>
      <c r="H2197" s="149">
        <v>2.73</v>
      </c>
      <c r="I2197" s="150">
        <v>10.92</v>
      </c>
    </row>
    <row r="2198" spans="1:9" ht="15.6" x14ac:dyDescent="0.25">
      <c r="A2198" s="145"/>
      <c r="B2198" s="146">
        <v>8353974</v>
      </c>
      <c r="C2198" s="147"/>
      <c r="D2198" s="148" t="s">
        <v>885</v>
      </c>
      <c r="E2198" s="149">
        <v>5.31</v>
      </c>
      <c r="F2198" s="149">
        <v>2.88</v>
      </c>
      <c r="G2198" s="149">
        <v>0</v>
      </c>
      <c r="H2198" s="149">
        <v>2.73</v>
      </c>
      <c r="I2198" s="150">
        <v>10.92</v>
      </c>
    </row>
    <row r="2199" spans="1:9" ht="15.6" x14ac:dyDescent="0.25">
      <c r="A2199" s="145"/>
      <c r="B2199" s="146">
        <v>8354069</v>
      </c>
      <c r="C2199" s="147"/>
      <c r="D2199" s="148" t="s">
        <v>894</v>
      </c>
      <c r="E2199" s="149">
        <v>5.31</v>
      </c>
      <c r="F2199" s="149">
        <v>2.88</v>
      </c>
      <c r="G2199" s="149">
        <v>0</v>
      </c>
      <c r="H2199" s="149">
        <v>0</v>
      </c>
      <c r="I2199" s="150">
        <v>8.19</v>
      </c>
    </row>
    <row r="2200" spans="1:9" ht="15.6" x14ac:dyDescent="0.25">
      <c r="A2200" s="145"/>
      <c r="B2200" s="146">
        <v>8355413</v>
      </c>
      <c r="C2200" s="147"/>
      <c r="D2200" s="148" t="s">
        <v>916</v>
      </c>
      <c r="E2200" s="149">
        <v>0</v>
      </c>
      <c r="F2200" s="149">
        <v>0</v>
      </c>
      <c r="G2200" s="149">
        <v>0</v>
      </c>
      <c r="H2200" s="149">
        <v>0</v>
      </c>
      <c r="I2200" s="150">
        <v>0</v>
      </c>
    </row>
    <row r="2201" spans="1:9" ht="15.6" x14ac:dyDescent="0.25">
      <c r="A2201" s="145"/>
      <c r="B2201" s="146">
        <v>8356479</v>
      </c>
      <c r="C2201" s="147"/>
      <c r="D2201" s="148" t="s">
        <v>857</v>
      </c>
      <c r="E2201" s="149">
        <v>0</v>
      </c>
      <c r="F2201" s="149">
        <v>0</v>
      </c>
      <c r="G2201" s="149">
        <v>0</v>
      </c>
      <c r="H2201" s="149">
        <v>0</v>
      </c>
      <c r="I2201" s="150">
        <v>0</v>
      </c>
    </row>
    <row r="2202" spans="1:9" ht="15.6" x14ac:dyDescent="0.25">
      <c r="A2202" s="145"/>
      <c r="B2202" s="146">
        <v>8358800</v>
      </c>
      <c r="C2202" s="147"/>
      <c r="D2202" s="148" t="s">
        <v>868</v>
      </c>
      <c r="E2202" s="149">
        <v>5.31</v>
      </c>
      <c r="F2202" s="149">
        <v>2.88</v>
      </c>
      <c r="G2202" s="149">
        <v>0</v>
      </c>
      <c r="H2202" s="149">
        <v>2.73</v>
      </c>
      <c r="I2202" s="150">
        <v>10.92</v>
      </c>
    </row>
    <row r="2203" spans="1:9" ht="15.6" x14ac:dyDescent="0.25">
      <c r="A2203" s="145"/>
      <c r="B2203" s="146">
        <v>8359782</v>
      </c>
      <c r="C2203" s="147"/>
      <c r="D2203" s="148" t="s">
        <v>780</v>
      </c>
      <c r="E2203" s="149">
        <v>5.31</v>
      </c>
      <c r="F2203" s="149">
        <v>2.88</v>
      </c>
      <c r="G2203" s="149">
        <v>0</v>
      </c>
      <c r="H2203" s="149">
        <v>2.73</v>
      </c>
      <c r="I2203" s="150">
        <v>10.92</v>
      </c>
    </row>
    <row r="2204" spans="1:9" ht="15.6" x14ac:dyDescent="0.25">
      <c r="A2204" s="145"/>
      <c r="B2204" s="146">
        <v>8359892</v>
      </c>
      <c r="C2204" s="147"/>
      <c r="D2204" s="148" t="s">
        <v>857</v>
      </c>
      <c r="E2204" s="149">
        <v>0</v>
      </c>
      <c r="F2204" s="149">
        <v>0</v>
      </c>
      <c r="G2204" s="149">
        <v>0</v>
      </c>
      <c r="H2204" s="149">
        <v>0</v>
      </c>
      <c r="I2204" s="150">
        <v>0</v>
      </c>
    </row>
    <row r="2205" spans="1:9" ht="15.6" x14ac:dyDescent="0.25">
      <c r="A2205" s="145"/>
      <c r="B2205" s="146">
        <v>8361762</v>
      </c>
      <c r="C2205" s="147"/>
      <c r="D2205" s="148" t="s">
        <v>885</v>
      </c>
      <c r="E2205" s="149">
        <v>5.31</v>
      </c>
      <c r="F2205" s="149">
        <v>2.88</v>
      </c>
      <c r="G2205" s="149">
        <v>0</v>
      </c>
      <c r="H2205" s="149">
        <v>2.73</v>
      </c>
      <c r="I2205" s="150">
        <v>10.92</v>
      </c>
    </row>
    <row r="2206" spans="1:9" ht="15.6" x14ac:dyDescent="0.25">
      <c r="A2206" s="145"/>
      <c r="B2206" s="146">
        <v>8365957</v>
      </c>
      <c r="C2206" s="147"/>
      <c r="D2206" s="148" t="s">
        <v>888</v>
      </c>
      <c r="E2206" s="149">
        <v>0</v>
      </c>
      <c r="F2206" s="149">
        <v>0</v>
      </c>
      <c r="G2206" s="149">
        <v>0</v>
      </c>
      <c r="H2206" s="149">
        <v>0</v>
      </c>
      <c r="I2206" s="150">
        <v>0</v>
      </c>
    </row>
    <row r="2207" spans="1:9" ht="15.6" x14ac:dyDescent="0.25">
      <c r="A2207" s="145"/>
      <c r="B2207" s="146">
        <v>8372391</v>
      </c>
      <c r="C2207" s="147"/>
      <c r="D2207" s="148" t="s">
        <v>790</v>
      </c>
      <c r="E2207" s="149">
        <v>5.31</v>
      </c>
      <c r="F2207" s="149">
        <v>2.88</v>
      </c>
      <c r="G2207" s="149">
        <v>24.03</v>
      </c>
      <c r="H2207" s="149">
        <v>2.73</v>
      </c>
      <c r="I2207" s="150">
        <v>34.949999999999996</v>
      </c>
    </row>
    <row r="2208" spans="1:9" ht="15.6" x14ac:dyDescent="0.25">
      <c r="A2208" s="145"/>
      <c r="B2208" s="146">
        <v>8374551</v>
      </c>
      <c r="C2208" s="147"/>
      <c r="D2208" s="148" t="s">
        <v>892</v>
      </c>
      <c r="E2208" s="149">
        <v>5.31</v>
      </c>
      <c r="F2208" s="149">
        <v>2.88</v>
      </c>
      <c r="G2208" s="149">
        <v>0</v>
      </c>
      <c r="H2208" s="149">
        <v>2.73</v>
      </c>
      <c r="I2208" s="150">
        <v>10.92</v>
      </c>
    </row>
    <row r="2209" spans="1:9" ht="15.6" x14ac:dyDescent="0.25">
      <c r="A2209" s="145"/>
      <c r="B2209" s="146">
        <v>8380706</v>
      </c>
      <c r="C2209" s="147"/>
      <c r="D2209" s="148" t="s">
        <v>724</v>
      </c>
      <c r="E2209" s="149">
        <v>0</v>
      </c>
      <c r="F2209" s="149">
        <v>0</v>
      </c>
      <c r="G2209" s="149">
        <v>0</v>
      </c>
      <c r="H2209" s="149">
        <v>0</v>
      </c>
      <c r="I2209" s="150">
        <v>0</v>
      </c>
    </row>
    <row r="2210" spans="1:9" ht="15.6" x14ac:dyDescent="0.25">
      <c r="A2210" s="145"/>
      <c r="B2210" s="146">
        <v>8381171</v>
      </c>
      <c r="C2210" s="147"/>
      <c r="D2210" s="148" t="s">
        <v>868</v>
      </c>
      <c r="E2210" s="149">
        <v>5.31</v>
      </c>
      <c r="F2210" s="149">
        <v>2.88</v>
      </c>
      <c r="G2210" s="149">
        <v>0</v>
      </c>
      <c r="H2210" s="149">
        <v>2.73</v>
      </c>
      <c r="I2210" s="150">
        <v>10.92</v>
      </c>
    </row>
    <row r="2211" spans="1:9" ht="15.6" x14ac:dyDescent="0.25">
      <c r="A2211" s="145"/>
      <c r="B2211" s="146">
        <v>8382828</v>
      </c>
      <c r="C2211" s="147"/>
      <c r="D2211" s="148" t="s">
        <v>934</v>
      </c>
      <c r="E2211" s="149">
        <v>5.31</v>
      </c>
      <c r="F2211" s="149">
        <v>2.88</v>
      </c>
      <c r="G2211" s="149">
        <v>0</v>
      </c>
      <c r="H2211" s="149">
        <v>2.73</v>
      </c>
      <c r="I2211" s="150">
        <v>10.92</v>
      </c>
    </row>
    <row r="2212" spans="1:9" ht="15.6" x14ac:dyDescent="0.25">
      <c r="A2212" s="145"/>
      <c r="B2212" s="146">
        <v>8385647</v>
      </c>
      <c r="C2212" s="147"/>
      <c r="D2212" s="148" t="s">
        <v>868</v>
      </c>
      <c r="E2212" s="149">
        <v>5.31</v>
      </c>
      <c r="F2212" s="149">
        <v>2.88</v>
      </c>
      <c r="G2212" s="149">
        <v>0</v>
      </c>
      <c r="H2212" s="149">
        <v>2.73</v>
      </c>
      <c r="I2212" s="150">
        <v>10.92</v>
      </c>
    </row>
    <row r="2213" spans="1:9" ht="15.6" x14ac:dyDescent="0.25">
      <c r="A2213" s="145"/>
      <c r="B2213" s="146">
        <v>8393205</v>
      </c>
      <c r="C2213" s="147"/>
      <c r="D2213" s="148" t="s">
        <v>866</v>
      </c>
      <c r="E2213" s="149">
        <v>0</v>
      </c>
      <c r="F2213" s="149">
        <v>0</v>
      </c>
      <c r="G2213" s="149">
        <v>0</v>
      </c>
      <c r="H2213" s="149">
        <v>0</v>
      </c>
      <c r="I2213" s="150">
        <v>0</v>
      </c>
    </row>
    <row r="2214" spans="1:9" ht="15.6" x14ac:dyDescent="0.25">
      <c r="A2214" s="145"/>
      <c r="B2214" s="146">
        <v>8397005</v>
      </c>
      <c r="C2214" s="147"/>
      <c r="D2214" s="148" t="s">
        <v>918</v>
      </c>
      <c r="E2214" s="149">
        <v>0</v>
      </c>
      <c r="F2214" s="149">
        <v>0</v>
      </c>
      <c r="G2214" s="149">
        <v>0</v>
      </c>
      <c r="H2214" s="149">
        <v>0</v>
      </c>
      <c r="I2214" s="150">
        <v>0</v>
      </c>
    </row>
    <row r="2215" spans="1:9" ht="15.6" x14ac:dyDescent="0.25">
      <c r="A2215" s="145"/>
      <c r="B2215" s="146">
        <v>8403592</v>
      </c>
      <c r="C2215" s="147"/>
      <c r="D2215" s="148" t="s">
        <v>930</v>
      </c>
      <c r="E2215" s="149">
        <v>0</v>
      </c>
      <c r="F2215" s="149">
        <v>0</v>
      </c>
      <c r="G2215" s="149">
        <v>0</v>
      </c>
      <c r="H2215" s="149">
        <v>0</v>
      </c>
      <c r="I2215" s="150">
        <v>0</v>
      </c>
    </row>
    <row r="2216" spans="1:9" ht="15.6" x14ac:dyDescent="0.25">
      <c r="A2216" s="145"/>
      <c r="B2216" s="146">
        <v>8403959</v>
      </c>
      <c r="C2216" s="147"/>
      <c r="D2216" s="148" t="s">
        <v>861</v>
      </c>
      <c r="E2216" s="149">
        <v>0</v>
      </c>
      <c r="F2216" s="149">
        <v>0</v>
      </c>
      <c r="G2216" s="149">
        <v>0</v>
      </c>
      <c r="H2216" s="149">
        <v>0</v>
      </c>
      <c r="I2216" s="150">
        <v>0</v>
      </c>
    </row>
    <row r="2217" spans="1:9" ht="15.6" x14ac:dyDescent="0.25">
      <c r="A2217" s="145"/>
      <c r="B2217" s="146">
        <v>8404690</v>
      </c>
      <c r="C2217" s="147"/>
      <c r="D2217" s="148" t="s">
        <v>851</v>
      </c>
      <c r="E2217" s="149">
        <v>5.31</v>
      </c>
      <c r="F2217" s="149">
        <v>2.88</v>
      </c>
      <c r="G2217" s="149">
        <v>22.66</v>
      </c>
      <c r="H2217" s="149">
        <v>2.73</v>
      </c>
      <c r="I2217" s="150">
        <v>33.58</v>
      </c>
    </row>
    <row r="2218" spans="1:9" ht="15.6" x14ac:dyDescent="0.25">
      <c r="A2218" s="145"/>
      <c r="B2218" s="146">
        <v>8411376</v>
      </c>
      <c r="C2218" s="147"/>
      <c r="D2218" s="148" t="s">
        <v>776</v>
      </c>
      <c r="E2218" s="149">
        <v>5.31</v>
      </c>
      <c r="F2218" s="149">
        <v>2.88</v>
      </c>
      <c r="G2218" s="149">
        <v>0</v>
      </c>
      <c r="H2218" s="149">
        <v>2.73</v>
      </c>
      <c r="I2218" s="150">
        <v>10.92</v>
      </c>
    </row>
    <row r="2219" spans="1:9" ht="15.6" x14ac:dyDescent="0.25">
      <c r="A2219" s="145"/>
      <c r="B2219" s="146">
        <v>8411487</v>
      </c>
      <c r="C2219" s="147"/>
      <c r="D2219" s="148" t="s">
        <v>878</v>
      </c>
      <c r="E2219" s="149">
        <v>5.31</v>
      </c>
      <c r="F2219" s="149">
        <v>2.88</v>
      </c>
      <c r="G2219" s="149">
        <v>0</v>
      </c>
      <c r="H2219" s="149">
        <v>2.73</v>
      </c>
      <c r="I2219" s="150">
        <v>10.92</v>
      </c>
    </row>
    <row r="2220" spans="1:9" ht="15.6" x14ac:dyDescent="0.25">
      <c r="A2220" s="145"/>
      <c r="B2220" s="146">
        <v>8415014</v>
      </c>
      <c r="C2220" s="147"/>
      <c r="D2220" s="148" t="s">
        <v>868</v>
      </c>
      <c r="E2220" s="149">
        <v>5.31</v>
      </c>
      <c r="F2220" s="149">
        <v>2.88</v>
      </c>
      <c r="G2220" s="149">
        <v>0</v>
      </c>
      <c r="H2220" s="149">
        <v>2.73</v>
      </c>
      <c r="I2220" s="150">
        <v>10.92</v>
      </c>
    </row>
    <row r="2221" spans="1:9" ht="15.6" x14ac:dyDescent="0.25">
      <c r="A2221" s="145"/>
      <c r="B2221" s="146">
        <v>8419840</v>
      </c>
      <c r="C2221" s="147"/>
      <c r="D2221" s="148" t="s">
        <v>904</v>
      </c>
      <c r="E2221" s="149">
        <v>0</v>
      </c>
      <c r="F2221" s="149">
        <v>0</v>
      </c>
      <c r="G2221" s="149">
        <v>0</v>
      </c>
      <c r="H2221" s="149">
        <v>2.73</v>
      </c>
      <c r="I2221" s="150">
        <v>2.73</v>
      </c>
    </row>
    <row r="2222" spans="1:9" ht="15.6" x14ac:dyDescent="0.25">
      <c r="A2222" s="145"/>
      <c r="B2222" s="146">
        <v>8427996</v>
      </c>
      <c r="C2222" s="147"/>
      <c r="D2222" s="148" t="s">
        <v>886</v>
      </c>
      <c r="E2222" s="149">
        <v>5.31</v>
      </c>
      <c r="F2222" s="149">
        <v>2.88</v>
      </c>
      <c r="G2222" s="149">
        <v>0</v>
      </c>
      <c r="H2222" s="149">
        <v>2.73</v>
      </c>
      <c r="I2222" s="150">
        <v>10.92</v>
      </c>
    </row>
    <row r="2223" spans="1:9" ht="15.6" x14ac:dyDescent="0.25">
      <c r="A2223" s="145"/>
      <c r="B2223" s="146">
        <v>8441404</v>
      </c>
      <c r="C2223" s="147"/>
      <c r="D2223" s="148" t="s">
        <v>935</v>
      </c>
      <c r="E2223" s="149">
        <v>5.31</v>
      </c>
      <c r="F2223" s="149">
        <v>2.88</v>
      </c>
      <c r="G2223" s="149">
        <v>0</v>
      </c>
      <c r="H2223" s="149">
        <v>2.73</v>
      </c>
      <c r="I2223" s="150">
        <v>10.92</v>
      </c>
    </row>
    <row r="2224" spans="1:9" ht="15.6" x14ac:dyDescent="0.25">
      <c r="A2224" s="145"/>
      <c r="B2224" s="146">
        <v>8443582</v>
      </c>
      <c r="C2224" s="147"/>
      <c r="D2224" s="148" t="s">
        <v>937</v>
      </c>
      <c r="E2224" s="149">
        <v>0</v>
      </c>
      <c r="F2224" s="149">
        <v>0</v>
      </c>
      <c r="G2224" s="149">
        <v>0</v>
      </c>
      <c r="H2224" s="149">
        <v>0</v>
      </c>
      <c r="I2224" s="150">
        <v>0</v>
      </c>
    </row>
    <row r="2225" spans="1:9" ht="15.6" x14ac:dyDescent="0.25">
      <c r="A2225" s="145"/>
      <c r="B2225" s="146">
        <v>8446518</v>
      </c>
      <c r="C2225" s="147"/>
      <c r="D2225" s="148" t="s">
        <v>864</v>
      </c>
      <c r="E2225" s="149">
        <v>5.31</v>
      </c>
      <c r="F2225" s="149">
        <v>2.88</v>
      </c>
      <c r="G2225" s="149">
        <v>0</v>
      </c>
      <c r="H2225" s="149">
        <v>2.73</v>
      </c>
      <c r="I2225" s="150">
        <v>10.92</v>
      </c>
    </row>
    <row r="2226" spans="1:9" ht="15.6" x14ac:dyDescent="0.25">
      <c r="A2226" s="145"/>
      <c r="B2226" s="146">
        <v>8446803</v>
      </c>
      <c r="C2226" s="147"/>
      <c r="D2226" s="148" t="s">
        <v>734</v>
      </c>
      <c r="E2226" s="149">
        <v>0</v>
      </c>
      <c r="F2226" s="149">
        <v>0</v>
      </c>
      <c r="G2226" s="149">
        <v>0</v>
      </c>
      <c r="H2226" s="149">
        <v>0</v>
      </c>
      <c r="I2226" s="150">
        <v>0</v>
      </c>
    </row>
    <row r="2227" spans="1:9" ht="15.6" x14ac:dyDescent="0.25">
      <c r="A2227" s="145"/>
      <c r="B2227" s="146">
        <v>8448129</v>
      </c>
      <c r="C2227" s="147"/>
      <c r="D2227" s="148" t="s">
        <v>829</v>
      </c>
      <c r="E2227" s="149">
        <v>5.31</v>
      </c>
      <c r="F2227" s="149">
        <v>2.88</v>
      </c>
      <c r="G2227" s="149">
        <v>0</v>
      </c>
      <c r="H2227" s="149">
        <v>2.73</v>
      </c>
      <c r="I2227" s="150">
        <v>10.92</v>
      </c>
    </row>
    <row r="2228" spans="1:9" ht="15.6" x14ac:dyDescent="0.25">
      <c r="A2228" s="145"/>
      <c r="B2228" s="146">
        <v>8453860</v>
      </c>
      <c r="C2228" s="147"/>
      <c r="D2228" s="148" t="s">
        <v>849</v>
      </c>
      <c r="E2228" s="149">
        <v>0</v>
      </c>
      <c r="F2228" s="149">
        <v>0</v>
      </c>
      <c r="G2228" s="149">
        <v>0</v>
      </c>
      <c r="H2228" s="149">
        <v>2.73</v>
      </c>
      <c r="I2228" s="150">
        <v>2.73</v>
      </c>
    </row>
    <row r="2229" spans="1:9" ht="15.6" x14ac:dyDescent="0.25">
      <c r="A2229" s="145"/>
      <c r="B2229" s="146">
        <v>8456456</v>
      </c>
      <c r="C2229" s="147"/>
      <c r="D2229" s="148" t="s">
        <v>873</v>
      </c>
      <c r="E2229" s="149">
        <v>5.31</v>
      </c>
      <c r="F2229" s="149">
        <v>2.88</v>
      </c>
      <c r="G2229" s="149">
        <v>0</v>
      </c>
      <c r="H2229" s="149">
        <v>2.73</v>
      </c>
      <c r="I2229" s="150">
        <v>10.92</v>
      </c>
    </row>
    <row r="2230" spans="1:9" ht="15.6" x14ac:dyDescent="0.25">
      <c r="A2230" s="145"/>
      <c r="B2230" s="146">
        <v>8456927</v>
      </c>
      <c r="C2230" s="147"/>
      <c r="D2230" s="148" t="s">
        <v>892</v>
      </c>
      <c r="E2230" s="149">
        <v>0</v>
      </c>
      <c r="F2230" s="149">
        <v>0</v>
      </c>
      <c r="G2230" s="149">
        <v>0</v>
      </c>
      <c r="H2230" s="149">
        <v>0</v>
      </c>
      <c r="I2230" s="150">
        <v>0</v>
      </c>
    </row>
    <row r="2231" spans="1:9" ht="15.6" x14ac:dyDescent="0.25">
      <c r="A2231" s="145"/>
      <c r="B2231" s="146">
        <v>8465156</v>
      </c>
      <c r="C2231" s="147"/>
      <c r="D2231" s="148" t="s">
        <v>895</v>
      </c>
      <c r="E2231" s="149">
        <v>5.31</v>
      </c>
      <c r="F2231" s="149">
        <v>2.88</v>
      </c>
      <c r="G2231" s="149">
        <v>0</v>
      </c>
      <c r="H2231" s="149">
        <v>2.73</v>
      </c>
      <c r="I2231" s="150">
        <v>10.92</v>
      </c>
    </row>
    <row r="2232" spans="1:9" ht="15.6" x14ac:dyDescent="0.25">
      <c r="A2232" s="145"/>
      <c r="B2232" s="146">
        <v>8469030</v>
      </c>
      <c r="C2232" s="147"/>
      <c r="D2232" s="148" t="s">
        <v>931</v>
      </c>
      <c r="E2232" s="149">
        <v>5.31</v>
      </c>
      <c r="F2232" s="149">
        <v>2.88</v>
      </c>
      <c r="G2232" s="149">
        <v>0</v>
      </c>
      <c r="H2232" s="149">
        <v>2.73</v>
      </c>
      <c r="I2232" s="150">
        <v>10.92</v>
      </c>
    </row>
    <row r="2233" spans="1:9" ht="15.6" x14ac:dyDescent="0.25">
      <c r="A2233" s="145"/>
      <c r="B2233" s="146">
        <v>8475311</v>
      </c>
      <c r="C2233" s="147"/>
      <c r="D2233" s="148" t="s">
        <v>869</v>
      </c>
      <c r="E2233" s="149">
        <v>5.31</v>
      </c>
      <c r="F2233" s="149">
        <v>2.88</v>
      </c>
      <c r="G2233" s="149">
        <v>0</v>
      </c>
      <c r="H2233" s="149">
        <v>2.73</v>
      </c>
      <c r="I2233" s="150">
        <v>10.92</v>
      </c>
    </row>
    <row r="2234" spans="1:9" ht="15.6" x14ac:dyDescent="0.25">
      <c r="A2234" s="145"/>
      <c r="B2234" s="146">
        <v>8481656</v>
      </c>
      <c r="C2234" s="147"/>
      <c r="D2234" s="148" t="s">
        <v>869</v>
      </c>
      <c r="E2234" s="149">
        <v>5.31</v>
      </c>
      <c r="F2234" s="149">
        <v>2.88</v>
      </c>
      <c r="G2234" s="149">
        <v>0</v>
      </c>
      <c r="H2234" s="149">
        <v>2.73</v>
      </c>
      <c r="I2234" s="150">
        <v>10.92</v>
      </c>
    </row>
    <row r="2235" spans="1:9" ht="15.6" x14ac:dyDescent="0.25">
      <c r="A2235" s="145"/>
      <c r="B2235" s="146">
        <v>8486754</v>
      </c>
      <c r="C2235" s="147"/>
      <c r="D2235" s="148" t="s">
        <v>833</v>
      </c>
      <c r="E2235" s="149">
        <v>5.31</v>
      </c>
      <c r="F2235" s="149">
        <v>2.88</v>
      </c>
      <c r="G2235" s="149">
        <v>0</v>
      </c>
      <c r="H2235" s="149">
        <v>2.73</v>
      </c>
      <c r="I2235" s="150">
        <v>10.92</v>
      </c>
    </row>
    <row r="2236" spans="1:9" ht="15.6" x14ac:dyDescent="0.25">
      <c r="A2236" s="145"/>
      <c r="B2236" s="146">
        <v>8490043</v>
      </c>
      <c r="C2236" s="147"/>
      <c r="D2236" s="148" t="s">
        <v>820</v>
      </c>
      <c r="E2236" s="149">
        <v>5.31</v>
      </c>
      <c r="F2236" s="149">
        <v>2.88</v>
      </c>
      <c r="G2236" s="149">
        <v>0</v>
      </c>
      <c r="H2236" s="149">
        <v>2.73</v>
      </c>
      <c r="I2236" s="150">
        <v>10.92</v>
      </c>
    </row>
    <row r="2237" spans="1:9" ht="15.6" x14ac:dyDescent="0.25">
      <c r="A2237" s="145"/>
      <c r="B2237" s="146">
        <v>8491621</v>
      </c>
      <c r="C2237" s="147"/>
      <c r="D2237" s="148" t="s">
        <v>908</v>
      </c>
      <c r="E2237" s="149">
        <v>5.31</v>
      </c>
      <c r="F2237" s="149">
        <v>2.88</v>
      </c>
      <c r="G2237" s="149">
        <v>0</v>
      </c>
      <c r="H2237" s="149">
        <v>2.73</v>
      </c>
      <c r="I2237" s="150">
        <v>10.92</v>
      </c>
    </row>
    <row r="2238" spans="1:9" ht="15.6" x14ac:dyDescent="0.25">
      <c r="A2238" s="145"/>
      <c r="B2238" s="146">
        <v>8492436</v>
      </c>
      <c r="C2238" s="147"/>
      <c r="D2238" s="148" t="s">
        <v>967</v>
      </c>
      <c r="E2238" s="149">
        <v>5.31</v>
      </c>
      <c r="F2238" s="149">
        <v>2.88</v>
      </c>
      <c r="G2238" s="149">
        <v>0</v>
      </c>
      <c r="H2238" s="149">
        <v>2.73</v>
      </c>
      <c r="I2238" s="150">
        <v>10.92</v>
      </c>
    </row>
    <row r="2239" spans="1:9" ht="15.6" x14ac:dyDescent="0.25">
      <c r="A2239" s="145"/>
      <c r="B2239" s="146">
        <v>8501718</v>
      </c>
      <c r="C2239" s="147"/>
      <c r="D2239" s="148" t="s">
        <v>781</v>
      </c>
      <c r="E2239" s="149">
        <v>5.31</v>
      </c>
      <c r="F2239" s="149">
        <v>2.88</v>
      </c>
      <c r="G2239" s="149">
        <v>0</v>
      </c>
      <c r="H2239" s="149">
        <v>2.73</v>
      </c>
      <c r="I2239" s="150">
        <v>10.92</v>
      </c>
    </row>
    <row r="2240" spans="1:9" ht="15.6" x14ac:dyDescent="0.25">
      <c r="A2240" s="145"/>
      <c r="B2240" s="146">
        <v>8503325</v>
      </c>
      <c r="C2240" s="147"/>
      <c r="D2240" s="148" t="s">
        <v>748</v>
      </c>
      <c r="E2240" s="149">
        <v>5.31</v>
      </c>
      <c r="F2240" s="149">
        <v>2.88</v>
      </c>
      <c r="G2240" s="149">
        <v>0</v>
      </c>
      <c r="H2240" s="149">
        <v>2.73</v>
      </c>
      <c r="I2240" s="150">
        <v>10.92</v>
      </c>
    </row>
    <row r="2241" spans="1:9" ht="15.6" x14ac:dyDescent="0.25">
      <c r="A2241" s="145"/>
      <c r="B2241" s="146">
        <v>8503669</v>
      </c>
      <c r="C2241" s="147"/>
      <c r="D2241" s="148" t="s">
        <v>945</v>
      </c>
      <c r="E2241" s="149">
        <v>0</v>
      </c>
      <c r="F2241" s="149">
        <v>0</v>
      </c>
      <c r="G2241" s="149">
        <v>0</v>
      </c>
      <c r="H2241" s="149">
        <v>0</v>
      </c>
      <c r="I2241" s="150">
        <v>0</v>
      </c>
    </row>
    <row r="2242" spans="1:9" ht="15.6" x14ac:dyDescent="0.25">
      <c r="A2242" s="145"/>
      <c r="B2242" s="146">
        <v>8505415</v>
      </c>
      <c r="C2242" s="147"/>
      <c r="D2242" s="148" t="s">
        <v>963</v>
      </c>
      <c r="E2242" s="149">
        <v>5.31</v>
      </c>
      <c r="F2242" s="149">
        <v>2.88</v>
      </c>
      <c r="G2242" s="149">
        <v>0</v>
      </c>
      <c r="H2242" s="149">
        <v>0</v>
      </c>
      <c r="I2242" s="150">
        <v>8.19</v>
      </c>
    </row>
    <row r="2243" spans="1:9" ht="15.6" x14ac:dyDescent="0.25">
      <c r="A2243" s="145"/>
      <c r="B2243" s="146">
        <v>8508818</v>
      </c>
      <c r="C2243" s="147"/>
      <c r="D2243" s="148" t="s">
        <v>854</v>
      </c>
      <c r="E2243" s="149">
        <v>5.31</v>
      </c>
      <c r="F2243" s="149">
        <v>2.88</v>
      </c>
      <c r="G2243" s="149">
        <v>0</v>
      </c>
      <c r="H2243" s="149">
        <v>2.73</v>
      </c>
      <c r="I2243" s="150">
        <v>10.92</v>
      </c>
    </row>
    <row r="2244" spans="1:9" ht="15.6" x14ac:dyDescent="0.25">
      <c r="A2244" s="145"/>
      <c r="B2244" s="146">
        <v>8509378</v>
      </c>
      <c r="C2244" s="147"/>
      <c r="D2244" s="148" t="s">
        <v>911</v>
      </c>
      <c r="E2244" s="149">
        <v>5.31</v>
      </c>
      <c r="F2244" s="149">
        <v>0</v>
      </c>
      <c r="G2244" s="149">
        <v>0</v>
      </c>
      <c r="H2244" s="149">
        <v>2.73</v>
      </c>
      <c r="I2244" s="150">
        <v>8.0399999999999991</v>
      </c>
    </row>
    <row r="2245" spans="1:9" ht="15.6" x14ac:dyDescent="0.25">
      <c r="A2245" s="145"/>
      <c r="B2245" s="146">
        <v>8510797</v>
      </c>
      <c r="C2245" s="147"/>
      <c r="D2245" s="148" t="s">
        <v>771</v>
      </c>
      <c r="E2245" s="149">
        <v>5.31</v>
      </c>
      <c r="F2245" s="149">
        <v>2.88</v>
      </c>
      <c r="G2245" s="149">
        <v>0</v>
      </c>
      <c r="H2245" s="149">
        <v>2.73</v>
      </c>
      <c r="I2245" s="150">
        <v>10.92</v>
      </c>
    </row>
    <row r="2246" spans="1:9" ht="15.6" x14ac:dyDescent="0.25">
      <c r="A2246" s="145"/>
      <c r="B2246" s="146">
        <v>8511118</v>
      </c>
      <c r="C2246" s="147"/>
      <c r="D2246" s="148" t="s">
        <v>863</v>
      </c>
      <c r="E2246" s="149">
        <v>5.31</v>
      </c>
      <c r="F2246" s="149">
        <v>2.88</v>
      </c>
      <c r="G2246" s="149">
        <v>0</v>
      </c>
      <c r="H2246" s="149">
        <v>0</v>
      </c>
      <c r="I2246" s="150">
        <v>8.19</v>
      </c>
    </row>
    <row r="2247" spans="1:9" ht="15.6" x14ac:dyDescent="0.25">
      <c r="A2247" s="145"/>
      <c r="B2247" s="146">
        <v>8512212</v>
      </c>
      <c r="C2247" s="147"/>
      <c r="D2247" s="148" t="s">
        <v>790</v>
      </c>
      <c r="E2247" s="149">
        <v>5.31</v>
      </c>
      <c r="F2247" s="149">
        <v>2.88</v>
      </c>
      <c r="G2247" s="149">
        <v>18.260000000000002</v>
      </c>
      <c r="H2247" s="149">
        <v>2.73</v>
      </c>
      <c r="I2247" s="150">
        <v>29.180000000000003</v>
      </c>
    </row>
    <row r="2248" spans="1:9" ht="15.6" x14ac:dyDescent="0.25">
      <c r="A2248" s="145"/>
      <c r="B2248" s="146">
        <v>8512361</v>
      </c>
      <c r="C2248" s="147"/>
      <c r="D2248" s="148" t="s">
        <v>754</v>
      </c>
      <c r="E2248" s="149">
        <v>0</v>
      </c>
      <c r="F2248" s="149">
        <v>0</v>
      </c>
      <c r="G2248" s="149">
        <v>0</v>
      </c>
      <c r="H2248" s="149">
        <v>2.73</v>
      </c>
      <c r="I2248" s="150">
        <v>2.73</v>
      </c>
    </row>
    <row r="2249" spans="1:9" ht="15.6" x14ac:dyDescent="0.25">
      <c r="A2249" s="145"/>
      <c r="B2249" s="146">
        <v>8517006</v>
      </c>
      <c r="C2249" s="147"/>
      <c r="D2249" s="148" t="s">
        <v>879</v>
      </c>
      <c r="E2249" s="149">
        <v>0</v>
      </c>
      <c r="F2249" s="149">
        <v>0</v>
      </c>
      <c r="G2249" s="149">
        <v>0</v>
      </c>
      <c r="H2249" s="149">
        <v>0</v>
      </c>
      <c r="I2249" s="150">
        <v>0</v>
      </c>
    </row>
    <row r="2250" spans="1:9" ht="15.6" x14ac:dyDescent="0.25">
      <c r="A2250" s="145"/>
      <c r="B2250" s="146">
        <v>8517432</v>
      </c>
      <c r="C2250" s="147"/>
      <c r="D2250" s="148" t="s">
        <v>771</v>
      </c>
      <c r="E2250" s="149">
        <v>5.31</v>
      </c>
      <c r="F2250" s="149">
        <v>2.88</v>
      </c>
      <c r="G2250" s="149">
        <v>0</v>
      </c>
      <c r="H2250" s="149">
        <v>2.73</v>
      </c>
      <c r="I2250" s="150">
        <v>10.92</v>
      </c>
    </row>
    <row r="2251" spans="1:9" ht="15.6" x14ac:dyDescent="0.25">
      <c r="A2251" s="145"/>
      <c r="B2251" s="146">
        <v>8524552</v>
      </c>
      <c r="C2251" s="147"/>
      <c r="D2251" s="148" t="s">
        <v>792</v>
      </c>
      <c r="E2251" s="149">
        <v>5.31</v>
      </c>
      <c r="F2251" s="149">
        <v>2.88</v>
      </c>
      <c r="G2251" s="149">
        <v>0</v>
      </c>
      <c r="H2251" s="149">
        <v>2.73</v>
      </c>
      <c r="I2251" s="150">
        <v>10.92</v>
      </c>
    </row>
    <row r="2252" spans="1:9" ht="15.6" x14ac:dyDescent="0.25">
      <c r="A2252" s="145"/>
      <c r="B2252" s="146">
        <v>8525281</v>
      </c>
      <c r="C2252" s="147"/>
      <c r="D2252" s="148" t="s">
        <v>752</v>
      </c>
      <c r="E2252" s="149">
        <v>0</v>
      </c>
      <c r="F2252" s="149">
        <v>0</v>
      </c>
      <c r="G2252" s="149">
        <v>0</v>
      </c>
      <c r="H2252" s="149">
        <v>2.73</v>
      </c>
      <c r="I2252" s="150">
        <v>2.73</v>
      </c>
    </row>
    <row r="2253" spans="1:9" ht="15.6" x14ac:dyDescent="0.25">
      <c r="A2253" s="145"/>
      <c r="B2253" s="146">
        <v>8528425</v>
      </c>
      <c r="C2253" s="147"/>
      <c r="D2253" s="148" t="s">
        <v>865</v>
      </c>
      <c r="E2253" s="149">
        <v>5.31</v>
      </c>
      <c r="F2253" s="149">
        <v>2.88</v>
      </c>
      <c r="G2253" s="149">
        <v>0</v>
      </c>
      <c r="H2253" s="149">
        <v>2.73</v>
      </c>
      <c r="I2253" s="150">
        <v>10.92</v>
      </c>
    </row>
    <row r="2254" spans="1:9" ht="15.6" x14ac:dyDescent="0.25">
      <c r="A2254" s="145"/>
      <c r="B2254" s="146">
        <v>8533013</v>
      </c>
      <c r="C2254" s="147"/>
      <c r="D2254" s="148" t="s">
        <v>956</v>
      </c>
      <c r="E2254" s="149">
        <v>0</v>
      </c>
      <c r="F2254" s="149">
        <v>2.88</v>
      </c>
      <c r="G2254" s="149">
        <v>0</v>
      </c>
      <c r="H2254" s="149">
        <v>2.73</v>
      </c>
      <c r="I2254" s="150">
        <v>5.6099999999999994</v>
      </c>
    </row>
    <row r="2255" spans="1:9" ht="15.6" x14ac:dyDescent="0.25">
      <c r="A2255" s="145"/>
      <c r="B2255" s="146">
        <v>8548945</v>
      </c>
      <c r="C2255" s="147"/>
      <c r="D2255" s="148" t="s">
        <v>831</v>
      </c>
      <c r="E2255" s="149">
        <v>5.31</v>
      </c>
      <c r="F2255" s="149">
        <v>2.88</v>
      </c>
      <c r="G2255" s="149">
        <v>0</v>
      </c>
      <c r="H2255" s="149">
        <v>2.73</v>
      </c>
      <c r="I2255" s="150">
        <v>10.92</v>
      </c>
    </row>
    <row r="2256" spans="1:9" ht="15.6" x14ac:dyDescent="0.25">
      <c r="A2256" s="145"/>
      <c r="B2256" s="146">
        <v>8556077</v>
      </c>
      <c r="C2256" s="147"/>
      <c r="D2256" s="148" t="s">
        <v>868</v>
      </c>
      <c r="E2256" s="149">
        <v>5.31</v>
      </c>
      <c r="F2256" s="149">
        <v>2.88</v>
      </c>
      <c r="G2256" s="149">
        <v>0</v>
      </c>
      <c r="H2256" s="149">
        <v>2.73</v>
      </c>
      <c r="I2256" s="150">
        <v>10.92</v>
      </c>
    </row>
    <row r="2257" spans="1:9" ht="15.6" x14ac:dyDescent="0.25">
      <c r="A2257" s="145"/>
      <c r="B2257" s="146">
        <v>8558295</v>
      </c>
      <c r="C2257" s="147"/>
      <c r="D2257" s="148" t="s">
        <v>773</v>
      </c>
      <c r="E2257" s="149">
        <v>5.31</v>
      </c>
      <c r="F2257" s="149">
        <v>2.88</v>
      </c>
      <c r="G2257" s="149">
        <v>0</v>
      </c>
      <c r="H2257" s="149">
        <v>2.73</v>
      </c>
      <c r="I2257" s="150">
        <v>10.92</v>
      </c>
    </row>
    <row r="2258" spans="1:9" ht="15.6" x14ac:dyDescent="0.25">
      <c r="A2258" s="145"/>
      <c r="B2258" s="146">
        <v>8565960</v>
      </c>
      <c r="C2258" s="147"/>
      <c r="D2258" s="148" t="s">
        <v>747</v>
      </c>
      <c r="E2258" s="149">
        <v>5.31</v>
      </c>
      <c r="F2258" s="149">
        <v>2.88</v>
      </c>
      <c r="G2258" s="149">
        <v>0</v>
      </c>
      <c r="H2258" s="149">
        <v>2.73</v>
      </c>
      <c r="I2258" s="150">
        <v>10.92</v>
      </c>
    </row>
    <row r="2259" spans="1:9" ht="15.6" x14ac:dyDescent="0.25">
      <c r="A2259" s="145"/>
      <c r="B2259" s="146">
        <v>8565975</v>
      </c>
      <c r="C2259" s="147"/>
      <c r="D2259" s="148" t="s">
        <v>833</v>
      </c>
      <c r="E2259" s="149">
        <v>5.31</v>
      </c>
      <c r="F2259" s="149">
        <v>2.88</v>
      </c>
      <c r="G2259" s="149">
        <v>0</v>
      </c>
      <c r="H2259" s="149">
        <v>2.73</v>
      </c>
      <c r="I2259" s="150">
        <v>10.92</v>
      </c>
    </row>
    <row r="2260" spans="1:9" ht="15.6" x14ac:dyDescent="0.25">
      <c r="A2260" s="145"/>
      <c r="B2260" s="146">
        <v>8565996</v>
      </c>
      <c r="C2260" s="147"/>
      <c r="D2260" s="148" t="s">
        <v>822</v>
      </c>
      <c r="E2260" s="149">
        <v>5.31</v>
      </c>
      <c r="F2260" s="149">
        <v>2.88</v>
      </c>
      <c r="G2260" s="149">
        <v>0</v>
      </c>
      <c r="H2260" s="149">
        <v>2.73</v>
      </c>
      <c r="I2260" s="150">
        <v>10.92</v>
      </c>
    </row>
    <row r="2261" spans="1:9" ht="15.6" x14ac:dyDescent="0.25">
      <c r="A2261" s="145"/>
      <c r="B2261" s="146">
        <v>8567148</v>
      </c>
      <c r="C2261" s="147"/>
      <c r="D2261" s="148" t="s">
        <v>771</v>
      </c>
      <c r="E2261" s="149">
        <v>5.31</v>
      </c>
      <c r="F2261" s="149">
        <v>2.88</v>
      </c>
      <c r="G2261" s="149">
        <v>0</v>
      </c>
      <c r="H2261" s="149">
        <v>2.73</v>
      </c>
      <c r="I2261" s="150">
        <v>10.92</v>
      </c>
    </row>
    <row r="2262" spans="1:9" ht="15.6" x14ac:dyDescent="0.25">
      <c r="A2262" s="145"/>
      <c r="B2262" s="146">
        <v>8570483</v>
      </c>
      <c r="C2262" s="147"/>
      <c r="D2262" s="148" t="s">
        <v>911</v>
      </c>
      <c r="E2262" s="149">
        <v>5.31</v>
      </c>
      <c r="F2262" s="149">
        <v>0</v>
      </c>
      <c r="G2262" s="149">
        <v>0</v>
      </c>
      <c r="H2262" s="149">
        <v>2.73</v>
      </c>
      <c r="I2262" s="150">
        <v>8.0399999999999991</v>
      </c>
    </row>
    <row r="2263" spans="1:9" ht="15.6" x14ac:dyDescent="0.25">
      <c r="A2263" s="145"/>
      <c r="B2263" s="146">
        <v>8570548</v>
      </c>
      <c r="C2263" s="147"/>
      <c r="D2263" s="148" t="s">
        <v>771</v>
      </c>
      <c r="E2263" s="149">
        <v>5.31</v>
      </c>
      <c r="F2263" s="149">
        <v>2.88</v>
      </c>
      <c r="G2263" s="149">
        <v>58.08</v>
      </c>
      <c r="H2263" s="149">
        <v>2.73</v>
      </c>
      <c r="I2263" s="150">
        <v>69</v>
      </c>
    </row>
    <row r="2264" spans="1:9" ht="15.6" x14ac:dyDescent="0.25">
      <c r="A2264" s="145"/>
      <c r="B2264" s="146">
        <v>8577838</v>
      </c>
      <c r="C2264" s="147"/>
      <c r="D2264" s="148" t="s">
        <v>857</v>
      </c>
      <c r="E2264" s="149">
        <v>0</v>
      </c>
      <c r="F2264" s="149">
        <v>0</v>
      </c>
      <c r="G2264" s="149">
        <v>0</v>
      </c>
      <c r="H2264" s="149">
        <v>0</v>
      </c>
      <c r="I2264" s="150">
        <v>0</v>
      </c>
    </row>
    <row r="2265" spans="1:9" ht="15.6" x14ac:dyDescent="0.25">
      <c r="A2265" s="145"/>
      <c r="B2265" s="146">
        <v>8582505</v>
      </c>
      <c r="C2265" s="147"/>
      <c r="D2265" s="148" t="s">
        <v>748</v>
      </c>
      <c r="E2265" s="149">
        <v>5.31</v>
      </c>
      <c r="F2265" s="149">
        <v>2.88</v>
      </c>
      <c r="G2265" s="149">
        <v>0</v>
      </c>
      <c r="H2265" s="149">
        <v>2.73</v>
      </c>
      <c r="I2265" s="150">
        <v>10.92</v>
      </c>
    </row>
    <row r="2266" spans="1:9" ht="15.6" x14ac:dyDescent="0.25">
      <c r="A2266" s="145"/>
      <c r="B2266" s="146">
        <v>8589319</v>
      </c>
      <c r="C2266" s="147"/>
      <c r="D2266" s="148" t="s">
        <v>945</v>
      </c>
      <c r="E2266" s="149">
        <v>0</v>
      </c>
      <c r="F2266" s="149">
        <v>0</v>
      </c>
      <c r="G2266" s="149">
        <v>0</v>
      </c>
      <c r="H2266" s="149">
        <v>0</v>
      </c>
      <c r="I2266" s="150">
        <v>0</v>
      </c>
    </row>
    <row r="2267" spans="1:9" ht="15.6" x14ac:dyDescent="0.25">
      <c r="A2267" s="145"/>
      <c r="B2267" s="146">
        <v>8589449</v>
      </c>
      <c r="C2267" s="147"/>
      <c r="D2267" s="148" t="s">
        <v>868</v>
      </c>
      <c r="E2267" s="149">
        <v>5.31</v>
      </c>
      <c r="F2267" s="149">
        <v>2.88</v>
      </c>
      <c r="G2267" s="149">
        <v>0</v>
      </c>
      <c r="H2267" s="149">
        <v>2.73</v>
      </c>
      <c r="I2267" s="150">
        <v>10.92</v>
      </c>
    </row>
    <row r="2268" spans="1:9" ht="15.6" x14ac:dyDescent="0.25">
      <c r="A2268" s="145"/>
      <c r="B2268" s="146">
        <v>8589525</v>
      </c>
      <c r="C2268" s="147"/>
      <c r="D2268" s="148" t="s">
        <v>934</v>
      </c>
      <c r="E2268" s="149">
        <v>5.31</v>
      </c>
      <c r="F2268" s="149">
        <v>2.88</v>
      </c>
      <c r="G2268" s="149">
        <v>0</v>
      </c>
      <c r="H2268" s="149">
        <v>2.73</v>
      </c>
      <c r="I2268" s="150">
        <v>10.92</v>
      </c>
    </row>
    <row r="2269" spans="1:9" ht="15.6" x14ac:dyDescent="0.25">
      <c r="A2269" s="145"/>
      <c r="B2269" s="146">
        <v>8594082</v>
      </c>
      <c r="C2269" s="147"/>
      <c r="D2269" s="148" t="s">
        <v>724</v>
      </c>
      <c r="E2269" s="149">
        <v>0</v>
      </c>
      <c r="F2269" s="149">
        <v>0</v>
      </c>
      <c r="G2269" s="149">
        <v>0</v>
      </c>
      <c r="H2269" s="149">
        <v>0</v>
      </c>
      <c r="I2269" s="150">
        <v>0</v>
      </c>
    </row>
    <row r="2270" spans="1:9" ht="15.6" x14ac:dyDescent="0.25">
      <c r="A2270" s="145"/>
      <c r="B2270" s="146">
        <v>8595381</v>
      </c>
      <c r="C2270" s="147"/>
      <c r="D2270" s="148" t="s">
        <v>851</v>
      </c>
      <c r="E2270" s="149">
        <v>5.31</v>
      </c>
      <c r="F2270" s="149">
        <v>2.88</v>
      </c>
      <c r="G2270" s="149">
        <v>22.66</v>
      </c>
      <c r="H2270" s="149">
        <v>2.73</v>
      </c>
      <c r="I2270" s="150">
        <v>33.58</v>
      </c>
    </row>
    <row r="2271" spans="1:9" ht="15.6" x14ac:dyDescent="0.25">
      <c r="A2271" s="145"/>
      <c r="B2271" s="146">
        <v>8603416</v>
      </c>
      <c r="C2271" s="147"/>
      <c r="D2271" s="148" t="s">
        <v>967</v>
      </c>
      <c r="E2271" s="149">
        <v>5.31</v>
      </c>
      <c r="F2271" s="149">
        <v>2.88</v>
      </c>
      <c r="G2271" s="149">
        <v>0</v>
      </c>
      <c r="H2271" s="149">
        <v>2.73</v>
      </c>
      <c r="I2271" s="150">
        <v>10.92</v>
      </c>
    </row>
    <row r="2272" spans="1:9" ht="15.6" x14ac:dyDescent="0.25">
      <c r="A2272" s="145"/>
      <c r="B2272" s="146">
        <v>8609357</v>
      </c>
      <c r="C2272" s="147"/>
      <c r="D2272" s="148" t="s">
        <v>872</v>
      </c>
      <c r="E2272" s="149">
        <v>5.31</v>
      </c>
      <c r="F2272" s="149">
        <v>2.88</v>
      </c>
      <c r="G2272" s="149">
        <v>0</v>
      </c>
      <c r="H2272" s="149">
        <v>2.73</v>
      </c>
      <c r="I2272" s="150">
        <v>10.92</v>
      </c>
    </row>
    <row r="2273" spans="1:9" ht="15.6" x14ac:dyDescent="0.25">
      <c r="A2273" s="145"/>
      <c r="B2273" s="146">
        <v>8613926</v>
      </c>
      <c r="C2273" s="147"/>
      <c r="D2273" s="148" t="s">
        <v>831</v>
      </c>
      <c r="E2273" s="149">
        <v>5.31</v>
      </c>
      <c r="F2273" s="149">
        <v>2.88</v>
      </c>
      <c r="G2273" s="149">
        <v>0</v>
      </c>
      <c r="H2273" s="149">
        <v>2.73</v>
      </c>
      <c r="I2273" s="150">
        <v>10.92</v>
      </c>
    </row>
    <row r="2274" spans="1:9" ht="15.6" x14ac:dyDescent="0.25">
      <c r="A2274" s="145"/>
      <c r="B2274" s="146">
        <v>8619436</v>
      </c>
      <c r="C2274" s="147"/>
      <c r="D2274" s="148" t="s">
        <v>783</v>
      </c>
      <c r="E2274" s="149">
        <v>5.31</v>
      </c>
      <c r="F2274" s="149">
        <v>2.88</v>
      </c>
      <c r="G2274" s="149">
        <v>0</v>
      </c>
      <c r="H2274" s="149">
        <v>2.73</v>
      </c>
      <c r="I2274" s="150">
        <v>10.92</v>
      </c>
    </row>
    <row r="2275" spans="1:9" ht="15.6" x14ac:dyDescent="0.25">
      <c r="A2275" s="145"/>
      <c r="B2275" s="146">
        <v>8620835</v>
      </c>
      <c r="C2275" s="147"/>
      <c r="D2275" s="148" t="s">
        <v>851</v>
      </c>
      <c r="E2275" s="149">
        <v>5.31</v>
      </c>
      <c r="F2275" s="149">
        <v>2.88</v>
      </c>
      <c r="G2275" s="149">
        <v>22.66</v>
      </c>
      <c r="H2275" s="149">
        <v>2.73</v>
      </c>
      <c r="I2275" s="150">
        <v>33.58</v>
      </c>
    </row>
    <row r="2276" spans="1:9" ht="15.6" x14ac:dyDescent="0.25">
      <c r="A2276" s="145"/>
      <c r="B2276" s="146">
        <v>8623124</v>
      </c>
      <c r="C2276" s="147"/>
      <c r="D2276" s="148" t="s">
        <v>871</v>
      </c>
      <c r="E2276" s="149">
        <v>5.31</v>
      </c>
      <c r="F2276" s="149">
        <v>2.88</v>
      </c>
      <c r="G2276" s="149">
        <v>0</v>
      </c>
      <c r="H2276" s="149">
        <v>2.73</v>
      </c>
      <c r="I2276" s="150">
        <v>10.92</v>
      </c>
    </row>
    <row r="2277" spans="1:9" ht="15.6" x14ac:dyDescent="0.25">
      <c r="A2277" s="145"/>
      <c r="B2277" s="146">
        <v>8624545</v>
      </c>
      <c r="C2277" s="147"/>
      <c r="D2277" s="148" t="s">
        <v>857</v>
      </c>
      <c r="E2277" s="149">
        <v>0</v>
      </c>
      <c r="F2277" s="149">
        <v>0</v>
      </c>
      <c r="G2277" s="149">
        <v>0</v>
      </c>
      <c r="H2277" s="149">
        <v>0</v>
      </c>
      <c r="I2277" s="150">
        <v>0</v>
      </c>
    </row>
    <row r="2278" spans="1:9" ht="15.6" x14ac:dyDescent="0.25">
      <c r="A2278" s="145"/>
      <c r="B2278" s="146">
        <v>8628673</v>
      </c>
      <c r="C2278" s="147"/>
      <c r="D2278" s="148" t="s">
        <v>893</v>
      </c>
      <c r="E2278" s="149">
        <v>5.31</v>
      </c>
      <c r="F2278" s="149">
        <v>2.88</v>
      </c>
      <c r="G2278" s="149">
        <v>0</v>
      </c>
      <c r="H2278" s="149">
        <v>2.73</v>
      </c>
      <c r="I2278" s="150">
        <v>10.92</v>
      </c>
    </row>
    <row r="2279" spans="1:9" ht="15.6" x14ac:dyDescent="0.25">
      <c r="A2279" s="145"/>
      <c r="B2279" s="146">
        <v>8639554</v>
      </c>
      <c r="C2279" s="147"/>
      <c r="D2279" s="148" t="s">
        <v>851</v>
      </c>
      <c r="E2279" s="149">
        <v>5.31</v>
      </c>
      <c r="F2279" s="149">
        <v>2.88</v>
      </c>
      <c r="G2279" s="149">
        <v>22.66</v>
      </c>
      <c r="H2279" s="149">
        <v>2.73</v>
      </c>
      <c r="I2279" s="150">
        <v>33.58</v>
      </c>
    </row>
    <row r="2280" spans="1:9" ht="15.6" x14ac:dyDescent="0.25">
      <c r="A2280" s="145"/>
      <c r="B2280" s="146">
        <v>8644991</v>
      </c>
      <c r="C2280" s="147"/>
      <c r="D2280" s="148" t="s">
        <v>868</v>
      </c>
      <c r="E2280" s="149">
        <v>5.31</v>
      </c>
      <c r="F2280" s="149">
        <v>2.88</v>
      </c>
      <c r="G2280" s="149">
        <v>0</v>
      </c>
      <c r="H2280" s="149">
        <v>2.73</v>
      </c>
      <c r="I2280" s="150">
        <v>10.92</v>
      </c>
    </row>
    <row r="2281" spans="1:9" ht="15.6" x14ac:dyDescent="0.25">
      <c r="A2281" s="145"/>
      <c r="B2281" s="146">
        <v>8654831</v>
      </c>
      <c r="C2281" s="147"/>
      <c r="D2281" s="148" t="s">
        <v>760</v>
      </c>
      <c r="E2281" s="149">
        <v>0</v>
      </c>
      <c r="F2281" s="149">
        <v>0</v>
      </c>
      <c r="G2281" s="149">
        <v>0</v>
      </c>
      <c r="H2281" s="149">
        <v>2.73</v>
      </c>
      <c r="I2281" s="150">
        <v>2.73</v>
      </c>
    </row>
    <row r="2282" spans="1:9" ht="15.6" x14ac:dyDescent="0.25">
      <c r="A2282" s="145"/>
      <c r="B2282" s="146">
        <v>8655959</v>
      </c>
      <c r="C2282" s="147"/>
      <c r="D2282" s="148" t="s">
        <v>890</v>
      </c>
      <c r="E2282" s="149">
        <v>0</v>
      </c>
      <c r="F2282" s="149">
        <v>0</v>
      </c>
      <c r="G2282" s="149">
        <v>0</v>
      </c>
      <c r="H2282" s="149">
        <v>2.73</v>
      </c>
      <c r="I2282" s="150">
        <v>2.73</v>
      </c>
    </row>
    <row r="2283" spans="1:9" ht="15.6" x14ac:dyDescent="0.25">
      <c r="A2283" s="145"/>
      <c r="B2283" s="146">
        <v>8656120</v>
      </c>
      <c r="C2283" s="147"/>
      <c r="D2283" s="148" t="s">
        <v>740</v>
      </c>
      <c r="E2283" s="149">
        <v>5.31</v>
      </c>
      <c r="F2283" s="149">
        <v>2.88</v>
      </c>
      <c r="G2283" s="149">
        <v>0</v>
      </c>
      <c r="H2283" s="149">
        <v>2.73</v>
      </c>
      <c r="I2283" s="150">
        <v>10.92</v>
      </c>
    </row>
    <row r="2284" spans="1:9" ht="15.6" x14ac:dyDescent="0.25">
      <c r="A2284" s="145"/>
      <c r="B2284" s="146">
        <v>8664622</v>
      </c>
      <c r="C2284" s="147"/>
      <c r="D2284" s="148" t="s">
        <v>868</v>
      </c>
      <c r="E2284" s="149">
        <v>5.31</v>
      </c>
      <c r="F2284" s="149">
        <v>2.88</v>
      </c>
      <c r="G2284" s="149">
        <v>0</v>
      </c>
      <c r="H2284" s="149">
        <v>2.73</v>
      </c>
      <c r="I2284" s="150">
        <v>10.92</v>
      </c>
    </row>
    <row r="2285" spans="1:9" ht="15.6" x14ac:dyDescent="0.25">
      <c r="A2285" s="145"/>
      <c r="B2285" s="146">
        <v>8669679</v>
      </c>
      <c r="C2285" s="147"/>
      <c r="D2285" s="148" t="s">
        <v>926</v>
      </c>
      <c r="E2285" s="149">
        <v>5.31</v>
      </c>
      <c r="F2285" s="149">
        <v>0</v>
      </c>
      <c r="G2285" s="149">
        <v>0</v>
      </c>
      <c r="H2285" s="149">
        <v>2.73</v>
      </c>
      <c r="I2285" s="150">
        <v>8.0399999999999991</v>
      </c>
    </row>
    <row r="2286" spans="1:9" ht="15.6" x14ac:dyDescent="0.25">
      <c r="A2286" s="145"/>
      <c r="B2286" s="146">
        <v>8671628</v>
      </c>
      <c r="C2286" s="147"/>
      <c r="D2286" s="148" t="s">
        <v>873</v>
      </c>
      <c r="E2286" s="149">
        <v>5.31</v>
      </c>
      <c r="F2286" s="149">
        <v>2.88</v>
      </c>
      <c r="G2286" s="149">
        <v>0</v>
      </c>
      <c r="H2286" s="149">
        <v>2.73</v>
      </c>
      <c r="I2286" s="150">
        <v>10.92</v>
      </c>
    </row>
    <row r="2287" spans="1:9" ht="15.6" x14ac:dyDescent="0.25">
      <c r="A2287" s="145"/>
      <c r="B2287" s="146">
        <v>8674001</v>
      </c>
      <c r="C2287" s="147"/>
      <c r="D2287" s="148" t="s">
        <v>779</v>
      </c>
      <c r="E2287" s="149">
        <v>5.31</v>
      </c>
      <c r="F2287" s="149">
        <v>2.88</v>
      </c>
      <c r="G2287" s="149">
        <v>0</v>
      </c>
      <c r="H2287" s="149">
        <v>2.73</v>
      </c>
      <c r="I2287" s="150">
        <v>10.92</v>
      </c>
    </row>
    <row r="2288" spans="1:9" ht="15.6" x14ac:dyDescent="0.25">
      <c r="A2288" s="145"/>
      <c r="B2288" s="146">
        <v>8679193</v>
      </c>
      <c r="C2288" s="147"/>
      <c r="D2288" s="148" t="s">
        <v>885</v>
      </c>
      <c r="E2288" s="149">
        <v>5.31</v>
      </c>
      <c r="F2288" s="149">
        <v>2.88</v>
      </c>
      <c r="G2288" s="149">
        <v>0</v>
      </c>
      <c r="H2288" s="149">
        <v>2.73</v>
      </c>
      <c r="I2288" s="150">
        <v>10.92</v>
      </c>
    </row>
    <row r="2289" spans="1:9" ht="15.6" x14ac:dyDescent="0.25">
      <c r="A2289" s="145"/>
      <c r="B2289" s="146">
        <v>8683027</v>
      </c>
      <c r="C2289" s="147"/>
      <c r="D2289" s="148" t="s">
        <v>861</v>
      </c>
      <c r="E2289" s="149">
        <v>0</v>
      </c>
      <c r="F2289" s="149">
        <v>0</v>
      </c>
      <c r="G2289" s="149">
        <v>0</v>
      </c>
      <c r="H2289" s="149">
        <v>0</v>
      </c>
      <c r="I2289" s="150">
        <v>0</v>
      </c>
    </row>
    <row r="2290" spans="1:9" ht="15.6" x14ac:dyDescent="0.25">
      <c r="A2290" s="145"/>
      <c r="B2290" s="146">
        <v>8686682</v>
      </c>
      <c r="C2290" s="147"/>
      <c r="D2290" s="148" t="s">
        <v>868</v>
      </c>
      <c r="E2290" s="149">
        <v>5.31</v>
      </c>
      <c r="F2290" s="149">
        <v>2.88</v>
      </c>
      <c r="G2290" s="149">
        <v>0</v>
      </c>
      <c r="H2290" s="149">
        <v>2.73</v>
      </c>
      <c r="I2290" s="150">
        <v>10.92</v>
      </c>
    </row>
    <row r="2291" spans="1:9" ht="15.6" x14ac:dyDescent="0.25">
      <c r="A2291" s="145"/>
      <c r="B2291" s="146">
        <v>8688498</v>
      </c>
      <c r="C2291" s="147"/>
      <c r="D2291" s="148" t="s">
        <v>900</v>
      </c>
      <c r="E2291" s="149">
        <v>5.31</v>
      </c>
      <c r="F2291" s="149">
        <v>2.88</v>
      </c>
      <c r="G2291" s="149">
        <v>0</v>
      </c>
      <c r="H2291" s="149">
        <v>2.73</v>
      </c>
      <c r="I2291" s="150">
        <v>10.92</v>
      </c>
    </row>
    <row r="2292" spans="1:9" ht="15.6" x14ac:dyDescent="0.25">
      <c r="A2292" s="145"/>
      <c r="B2292" s="146">
        <v>8690862</v>
      </c>
      <c r="C2292" s="147"/>
      <c r="D2292" s="148" t="s">
        <v>801</v>
      </c>
      <c r="E2292" s="149">
        <v>0</v>
      </c>
      <c r="F2292" s="149">
        <v>0</v>
      </c>
      <c r="G2292" s="149">
        <v>0</v>
      </c>
      <c r="H2292" s="149">
        <v>0</v>
      </c>
      <c r="I2292" s="150">
        <v>0</v>
      </c>
    </row>
    <row r="2293" spans="1:9" ht="15.6" x14ac:dyDescent="0.25">
      <c r="A2293" s="145"/>
      <c r="B2293" s="146">
        <v>8697199</v>
      </c>
      <c r="C2293" s="147"/>
      <c r="D2293" s="148" t="s">
        <v>949</v>
      </c>
      <c r="E2293" s="149">
        <v>5.31</v>
      </c>
      <c r="F2293" s="149">
        <v>2.88</v>
      </c>
      <c r="G2293" s="149">
        <v>0</v>
      </c>
      <c r="H2293" s="149">
        <v>2.73</v>
      </c>
      <c r="I2293" s="150">
        <v>10.92</v>
      </c>
    </row>
    <row r="2294" spans="1:9" ht="15.6" x14ac:dyDescent="0.25">
      <c r="A2294" s="145"/>
      <c r="B2294" s="146">
        <v>8700406</v>
      </c>
      <c r="C2294" s="147"/>
      <c r="D2294" s="148" t="s">
        <v>851</v>
      </c>
      <c r="E2294" s="149">
        <v>5.31</v>
      </c>
      <c r="F2294" s="149">
        <v>2.88</v>
      </c>
      <c r="G2294" s="149">
        <v>22.66</v>
      </c>
      <c r="H2294" s="149">
        <v>2.73</v>
      </c>
      <c r="I2294" s="150">
        <v>33.58</v>
      </c>
    </row>
    <row r="2295" spans="1:9" ht="15.6" x14ac:dyDescent="0.25">
      <c r="A2295" s="145"/>
      <c r="B2295" s="146">
        <v>8706170</v>
      </c>
      <c r="C2295" s="147"/>
      <c r="D2295" s="148" t="s">
        <v>868</v>
      </c>
      <c r="E2295" s="149">
        <v>5.31</v>
      </c>
      <c r="F2295" s="149">
        <v>2.88</v>
      </c>
      <c r="G2295" s="149">
        <v>0</v>
      </c>
      <c r="H2295" s="149">
        <v>2.73</v>
      </c>
      <c r="I2295" s="150">
        <v>10.92</v>
      </c>
    </row>
    <row r="2296" spans="1:9" ht="15.6" x14ac:dyDescent="0.25">
      <c r="A2296" s="145"/>
      <c r="B2296" s="146">
        <v>8706262</v>
      </c>
      <c r="C2296" s="147"/>
      <c r="D2296" s="148" t="s">
        <v>857</v>
      </c>
      <c r="E2296" s="149">
        <v>0</v>
      </c>
      <c r="F2296" s="149">
        <v>0</v>
      </c>
      <c r="G2296" s="149">
        <v>0</v>
      </c>
      <c r="H2296" s="149">
        <v>0</v>
      </c>
      <c r="I2296" s="150">
        <v>0</v>
      </c>
    </row>
    <row r="2297" spans="1:9" ht="15.6" x14ac:dyDescent="0.25">
      <c r="A2297" s="145"/>
      <c r="B2297" s="146">
        <v>8708926</v>
      </c>
      <c r="C2297" s="147"/>
      <c r="D2297" s="148" t="s">
        <v>879</v>
      </c>
      <c r="E2297" s="149">
        <v>0</v>
      </c>
      <c r="F2297" s="149">
        <v>0</v>
      </c>
      <c r="G2297" s="149">
        <v>0</v>
      </c>
      <c r="H2297" s="149">
        <v>0</v>
      </c>
      <c r="I2297" s="150">
        <v>0</v>
      </c>
    </row>
    <row r="2298" spans="1:9" ht="15.6" x14ac:dyDescent="0.25">
      <c r="A2298" s="145"/>
      <c r="B2298" s="146">
        <v>8711486</v>
      </c>
      <c r="C2298" s="147"/>
      <c r="D2298" s="148" t="s">
        <v>810</v>
      </c>
      <c r="E2298" s="149">
        <v>0</v>
      </c>
      <c r="F2298" s="149">
        <v>0</v>
      </c>
      <c r="G2298" s="149">
        <v>0</v>
      </c>
      <c r="H2298" s="149">
        <v>0</v>
      </c>
      <c r="I2298" s="150">
        <v>0</v>
      </c>
    </row>
    <row r="2299" spans="1:9" ht="15.6" x14ac:dyDescent="0.25">
      <c r="A2299" s="145"/>
      <c r="B2299" s="146">
        <v>8713070</v>
      </c>
      <c r="C2299" s="147"/>
      <c r="D2299" s="148" t="s">
        <v>743</v>
      </c>
      <c r="E2299" s="149">
        <v>0</v>
      </c>
      <c r="F2299" s="149">
        <v>0</v>
      </c>
      <c r="G2299" s="149">
        <v>0</v>
      </c>
      <c r="H2299" s="149">
        <v>0</v>
      </c>
      <c r="I2299" s="150">
        <v>0</v>
      </c>
    </row>
    <row r="2300" spans="1:9" ht="15.6" x14ac:dyDescent="0.25">
      <c r="A2300" s="145"/>
      <c r="B2300" s="146">
        <v>8715720</v>
      </c>
      <c r="C2300" s="147"/>
      <c r="D2300" s="148" t="s">
        <v>849</v>
      </c>
      <c r="E2300" s="149">
        <v>0</v>
      </c>
      <c r="F2300" s="149">
        <v>0</v>
      </c>
      <c r="G2300" s="149">
        <v>0</v>
      </c>
      <c r="H2300" s="149">
        <v>2.73</v>
      </c>
      <c r="I2300" s="150">
        <v>2.73</v>
      </c>
    </row>
    <row r="2301" spans="1:9" ht="15.6" x14ac:dyDescent="0.25">
      <c r="A2301" s="145"/>
      <c r="B2301" s="146">
        <v>8717841</v>
      </c>
      <c r="C2301" s="147"/>
      <c r="D2301" s="148" t="s">
        <v>855</v>
      </c>
      <c r="E2301" s="149">
        <v>5.31</v>
      </c>
      <c r="F2301" s="149">
        <v>2.88</v>
      </c>
      <c r="G2301" s="149">
        <v>0</v>
      </c>
      <c r="H2301" s="149">
        <v>2.73</v>
      </c>
      <c r="I2301" s="150">
        <v>10.92</v>
      </c>
    </row>
    <row r="2302" spans="1:9" ht="15.6" x14ac:dyDescent="0.25">
      <c r="A2302" s="145"/>
      <c r="B2302" s="146">
        <v>8719009</v>
      </c>
      <c r="C2302" s="147"/>
      <c r="D2302" s="148" t="s">
        <v>883</v>
      </c>
      <c r="E2302" s="149">
        <v>5.31</v>
      </c>
      <c r="F2302" s="149">
        <v>2.88</v>
      </c>
      <c r="G2302" s="149">
        <v>0</v>
      </c>
      <c r="H2302" s="149">
        <v>0</v>
      </c>
      <c r="I2302" s="150">
        <v>8.19</v>
      </c>
    </row>
    <row r="2303" spans="1:9" ht="15.6" x14ac:dyDescent="0.25">
      <c r="A2303" s="145"/>
      <c r="B2303" s="146">
        <v>8720536</v>
      </c>
      <c r="C2303" s="147"/>
      <c r="D2303" s="148" t="s">
        <v>883</v>
      </c>
      <c r="E2303" s="149">
        <v>5.31</v>
      </c>
      <c r="F2303" s="149">
        <v>2.88</v>
      </c>
      <c r="G2303" s="149">
        <v>0</v>
      </c>
      <c r="H2303" s="149">
        <v>2.73</v>
      </c>
      <c r="I2303" s="150">
        <v>10.92</v>
      </c>
    </row>
    <row r="2304" spans="1:9" ht="15.6" x14ac:dyDescent="0.25">
      <c r="A2304" s="145"/>
      <c r="B2304" s="146">
        <v>8730427</v>
      </c>
      <c r="C2304" s="147"/>
      <c r="D2304" s="148" t="s">
        <v>747</v>
      </c>
      <c r="E2304" s="149">
        <v>5.31</v>
      </c>
      <c r="F2304" s="149">
        <v>2.88</v>
      </c>
      <c r="G2304" s="149">
        <v>0</v>
      </c>
      <c r="H2304" s="149">
        <v>2.73</v>
      </c>
      <c r="I2304" s="150">
        <v>10.92</v>
      </c>
    </row>
    <row r="2305" spans="1:9" ht="15.6" x14ac:dyDescent="0.25">
      <c r="A2305" s="145"/>
      <c r="B2305" s="146">
        <v>8738892</v>
      </c>
      <c r="C2305" s="147"/>
      <c r="D2305" s="148" t="s">
        <v>936</v>
      </c>
      <c r="E2305" s="149">
        <v>5.31</v>
      </c>
      <c r="F2305" s="149">
        <v>2.88</v>
      </c>
      <c r="G2305" s="149">
        <v>0</v>
      </c>
      <c r="H2305" s="149">
        <v>2.73</v>
      </c>
      <c r="I2305" s="150">
        <v>10.92</v>
      </c>
    </row>
    <row r="2306" spans="1:9" ht="15.6" x14ac:dyDescent="0.25">
      <c r="A2306" s="145"/>
      <c r="B2306" s="146">
        <v>8739675</v>
      </c>
      <c r="C2306" s="147"/>
      <c r="D2306" s="148" t="s">
        <v>942</v>
      </c>
      <c r="E2306" s="149">
        <v>0</v>
      </c>
      <c r="F2306" s="149">
        <v>0</v>
      </c>
      <c r="G2306" s="149">
        <v>0</v>
      </c>
      <c r="H2306" s="149">
        <v>0</v>
      </c>
      <c r="I2306" s="150">
        <v>0</v>
      </c>
    </row>
    <row r="2307" spans="1:9" ht="15.6" x14ac:dyDescent="0.25">
      <c r="A2307" s="145"/>
      <c r="B2307" s="146">
        <v>8739721</v>
      </c>
      <c r="C2307" s="147"/>
      <c r="D2307" s="148" t="s">
        <v>868</v>
      </c>
      <c r="E2307" s="149">
        <v>5.31</v>
      </c>
      <c r="F2307" s="149">
        <v>2.88</v>
      </c>
      <c r="G2307" s="149">
        <v>0</v>
      </c>
      <c r="H2307" s="149">
        <v>2.73</v>
      </c>
      <c r="I2307" s="150">
        <v>10.92</v>
      </c>
    </row>
    <row r="2308" spans="1:9" ht="15.6" x14ac:dyDescent="0.25">
      <c r="A2308" s="145"/>
      <c r="B2308" s="146">
        <v>8740171</v>
      </c>
      <c r="C2308" s="147"/>
      <c r="D2308" s="148" t="s">
        <v>861</v>
      </c>
      <c r="E2308" s="149">
        <v>5.31</v>
      </c>
      <c r="F2308" s="149">
        <v>2.88</v>
      </c>
      <c r="G2308" s="149">
        <v>0</v>
      </c>
      <c r="H2308" s="149">
        <v>2.73</v>
      </c>
      <c r="I2308" s="150">
        <v>10.92</v>
      </c>
    </row>
    <row r="2309" spans="1:9" ht="15.6" x14ac:dyDescent="0.25">
      <c r="A2309" s="145"/>
      <c r="B2309" s="146">
        <v>8741791</v>
      </c>
      <c r="C2309" s="147"/>
      <c r="D2309" s="148" t="s">
        <v>935</v>
      </c>
      <c r="E2309" s="149">
        <v>5.31</v>
      </c>
      <c r="F2309" s="149">
        <v>2.88</v>
      </c>
      <c r="G2309" s="149">
        <v>0</v>
      </c>
      <c r="H2309" s="149">
        <v>2.73</v>
      </c>
      <c r="I2309" s="150">
        <v>10.92</v>
      </c>
    </row>
    <row r="2310" spans="1:9" ht="15.6" x14ac:dyDescent="0.25">
      <c r="A2310" s="145"/>
      <c r="B2310" s="146">
        <v>8745403</v>
      </c>
      <c r="C2310" s="147"/>
      <c r="D2310" s="148" t="s">
        <v>873</v>
      </c>
      <c r="E2310" s="149">
        <v>5.31</v>
      </c>
      <c r="F2310" s="149">
        <v>2.88</v>
      </c>
      <c r="G2310" s="149">
        <v>0</v>
      </c>
      <c r="H2310" s="149">
        <v>2.73</v>
      </c>
      <c r="I2310" s="150">
        <v>10.92</v>
      </c>
    </row>
    <row r="2311" spans="1:9" ht="15.6" x14ac:dyDescent="0.25">
      <c r="A2311" s="145"/>
      <c r="B2311" s="146">
        <v>8747521</v>
      </c>
      <c r="C2311" s="147"/>
      <c r="D2311" s="148" t="s">
        <v>857</v>
      </c>
      <c r="E2311" s="149">
        <v>0</v>
      </c>
      <c r="F2311" s="149">
        <v>0</v>
      </c>
      <c r="G2311" s="149">
        <v>0</v>
      </c>
      <c r="H2311" s="149">
        <v>0</v>
      </c>
      <c r="I2311" s="150">
        <v>0</v>
      </c>
    </row>
    <row r="2312" spans="1:9" ht="15.6" x14ac:dyDescent="0.25">
      <c r="A2312" s="145"/>
      <c r="B2312" s="146">
        <v>8753226</v>
      </c>
      <c r="C2312" s="147"/>
      <c r="D2312" s="148" t="s">
        <v>899</v>
      </c>
      <c r="E2312" s="149">
        <v>0</v>
      </c>
      <c r="F2312" s="149">
        <v>2.88</v>
      </c>
      <c r="G2312" s="149">
        <v>0</v>
      </c>
      <c r="H2312" s="149">
        <v>2.73</v>
      </c>
      <c r="I2312" s="150">
        <v>5.6099999999999994</v>
      </c>
    </row>
    <row r="2313" spans="1:9" ht="15.6" x14ac:dyDescent="0.25">
      <c r="A2313" s="145"/>
      <c r="B2313" s="146">
        <v>8753342</v>
      </c>
      <c r="C2313" s="147"/>
      <c r="D2313" s="148" t="s">
        <v>857</v>
      </c>
      <c r="E2313" s="149">
        <v>0</v>
      </c>
      <c r="F2313" s="149">
        <v>0</v>
      </c>
      <c r="G2313" s="149">
        <v>0</v>
      </c>
      <c r="H2313" s="149">
        <v>0</v>
      </c>
      <c r="I2313" s="150">
        <v>0</v>
      </c>
    </row>
    <row r="2314" spans="1:9" ht="15.6" x14ac:dyDescent="0.25">
      <c r="A2314" s="145"/>
      <c r="B2314" s="146">
        <v>8753700</v>
      </c>
      <c r="C2314" s="147"/>
      <c r="D2314" s="148" t="s">
        <v>851</v>
      </c>
      <c r="E2314" s="149">
        <v>5.31</v>
      </c>
      <c r="F2314" s="149">
        <v>2.88</v>
      </c>
      <c r="G2314" s="149">
        <v>22.66</v>
      </c>
      <c r="H2314" s="149">
        <v>2.73</v>
      </c>
      <c r="I2314" s="150">
        <v>33.58</v>
      </c>
    </row>
    <row r="2315" spans="1:9" ht="15.6" x14ac:dyDescent="0.25">
      <c r="A2315" s="145"/>
      <c r="B2315" s="146">
        <v>8757660</v>
      </c>
      <c r="C2315" s="147"/>
      <c r="D2315" s="148" t="s">
        <v>837</v>
      </c>
      <c r="E2315" s="149">
        <v>5.31</v>
      </c>
      <c r="F2315" s="149">
        <v>2.88</v>
      </c>
      <c r="G2315" s="149">
        <v>0</v>
      </c>
      <c r="H2315" s="149">
        <v>2.73</v>
      </c>
      <c r="I2315" s="150">
        <v>10.92</v>
      </c>
    </row>
    <row r="2316" spans="1:9" ht="15.6" x14ac:dyDescent="0.25">
      <c r="A2316" s="145"/>
      <c r="B2316" s="146">
        <v>8758377</v>
      </c>
      <c r="C2316" s="147"/>
      <c r="D2316" s="148" t="s">
        <v>863</v>
      </c>
      <c r="E2316" s="149">
        <v>5.31</v>
      </c>
      <c r="F2316" s="149">
        <v>2.88</v>
      </c>
      <c r="G2316" s="149">
        <v>0</v>
      </c>
      <c r="H2316" s="149">
        <v>2.73</v>
      </c>
      <c r="I2316" s="150">
        <v>10.92</v>
      </c>
    </row>
    <row r="2317" spans="1:9" ht="15.6" x14ac:dyDescent="0.25">
      <c r="A2317" s="145"/>
      <c r="B2317" s="146">
        <v>8763807</v>
      </c>
      <c r="C2317" s="147"/>
      <c r="D2317" s="148" t="s">
        <v>784</v>
      </c>
      <c r="E2317" s="149">
        <v>0</v>
      </c>
      <c r="F2317" s="149">
        <v>0</v>
      </c>
      <c r="G2317" s="149">
        <v>0</v>
      </c>
      <c r="H2317" s="149">
        <v>0</v>
      </c>
      <c r="I2317" s="150">
        <v>0</v>
      </c>
    </row>
    <row r="2318" spans="1:9" ht="15.6" x14ac:dyDescent="0.25">
      <c r="A2318" s="145"/>
      <c r="B2318" s="146">
        <v>8775242</v>
      </c>
      <c r="C2318" s="147"/>
      <c r="D2318" s="148" t="s">
        <v>927</v>
      </c>
      <c r="E2318" s="149">
        <v>0</v>
      </c>
      <c r="F2318" s="149">
        <v>0</v>
      </c>
      <c r="G2318" s="149">
        <v>0</v>
      </c>
      <c r="H2318" s="149">
        <v>2.73</v>
      </c>
      <c r="I2318" s="150">
        <v>2.73</v>
      </c>
    </row>
    <row r="2319" spans="1:9" ht="15.6" x14ac:dyDescent="0.25">
      <c r="A2319" s="145"/>
      <c r="B2319" s="146">
        <v>8776817</v>
      </c>
      <c r="C2319" s="147"/>
      <c r="D2319" s="148" t="s">
        <v>871</v>
      </c>
      <c r="E2319" s="149">
        <v>5.31</v>
      </c>
      <c r="F2319" s="149">
        <v>2.88</v>
      </c>
      <c r="G2319" s="149">
        <v>0</v>
      </c>
      <c r="H2319" s="149">
        <v>2.73</v>
      </c>
      <c r="I2319" s="150">
        <v>10.92</v>
      </c>
    </row>
    <row r="2320" spans="1:9" ht="15.6" x14ac:dyDescent="0.25">
      <c r="A2320" s="145"/>
      <c r="B2320" s="146">
        <v>8778959</v>
      </c>
      <c r="C2320" s="147"/>
      <c r="D2320" s="148" t="s">
        <v>780</v>
      </c>
      <c r="E2320" s="149">
        <v>5.31</v>
      </c>
      <c r="F2320" s="149">
        <v>2.88</v>
      </c>
      <c r="G2320" s="149">
        <v>0</v>
      </c>
      <c r="H2320" s="149">
        <v>2.73</v>
      </c>
      <c r="I2320" s="150">
        <v>10.92</v>
      </c>
    </row>
    <row r="2321" spans="1:9" ht="15.6" x14ac:dyDescent="0.25">
      <c r="A2321" s="145"/>
      <c r="B2321" s="146">
        <v>8782239</v>
      </c>
      <c r="C2321" s="147"/>
      <c r="D2321" s="148" t="s">
        <v>857</v>
      </c>
      <c r="E2321" s="149">
        <v>0</v>
      </c>
      <c r="F2321" s="149">
        <v>0</v>
      </c>
      <c r="G2321" s="149">
        <v>0</v>
      </c>
      <c r="H2321" s="149">
        <v>0</v>
      </c>
      <c r="I2321" s="150">
        <v>0</v>
      </c>
    </row>
    <row r="2322" spans="1:9" ht="15.6" x14ac:dyDescent="0.25">
      <c r="A2322" s="145"/>
      <c r="B2322" s="146">
        <v>8791749</v>
      </c>
      <c r="C2322" s="147"/>
      <c r="D2322" s="148" t="s">
        <v>884</v>
      </c>
      <c r="E2322" s="149">
        <v>5.31</v>
      </c>
      <c r="F2322" s="149">
        <v>2.88</v>
      </c>
      <c r="G2322" s="149">
        <v>0</v>
      </c>
      <c r="H2322" s="149">
        <v>2.73</v>
      </c>
      <c r="I2322" s="150">
        <v>10.92</v>
      </c>
    </row>
    <row r="2323" spans="1:9" ht="15.6" x14ac:dyDescent="0.25">
      <c r="A2323" s="145"/>
      <c r="B2323" s="146">
        <v>8792059</v>
      </c>
      <c r="C2323" s="147"/>
      <c r="D2323" s="148" t="s">
        <v>868</v>
      </c>
      <c r="E2323" s="149">
        <v>5.31</v>
      </c>
      <c r="F2323" s="149">
        <v>2.88</v>
      </c>
      <c r="G2323" s="149">
        <v>0</v>
      </c>
      <c r="H2323" s="149">
        <v>2.73</v>
      </c>
      <c r="I2323" s="150">
        <v>10.92</v>
      </c>
    </row>
    <row r="2324" spans="1:9" ht="15.6" x14ac:dyDescent="0.25">
      <c r="A2324" s="145"/>
      <c r="B2324" s="146">
        <v>8806910</v>
      </c>
      <c r="C2324" s="147"/>
      <c r="D2324" s="148" t="s">
        <v>918</v>
      </c>
      <c r="E2324" s="149">
        <v>0</v>
      </c>
      <c r="F2324" s="149">
        <v>0</v>
      </c>
      <c r="G2324" s="149">
        <v>0</v>
      </c>
      <c r="H2324" s="149">
        <v>0</v>
      </c>
      <c r="I2324" s="150">
        <v>0</v>
      </c>
    </row>
    <row r="2325" spans="1:9" ht="15.6" x14ac:dyDescent="0.25">
      <c r="A2325" s="145"/>
      <c r="B2325" s="146">
        <v>8813084</v>
      </c>
      <c r="C2325" s="147"/>
      <c r="D2325" s="148" t="s">
        <v>773</v>
      </c>
      <c r="E2325" s="149">
        <v>5.31</v>
      </c>
      <c r="F2325" s="149">
        <v>2.88</v>
      </c>
      <c r="G2325" s="149">
        <v>35.880000000000003</v>
      </c>
      <c r="H2325" s="149">
        <v>2.73</v>
      </c>
      <c r="I2325" s="150">
        <v>46.8</v>
      </c>
    </row>
    <row r="2326" spans="1:9" ht="15.6" x14ac:dyDescent="0.25">
      <c r="A2326" s="145"/>
      <c r="B2326" s="146">
        <v>8814802</v>
      </c>
      <c r="C2326" s="147"/>
      <c r="D2326" s="148" t="s">
        <v>903</v>
      </c>
      <c r="E2326" s="149">
        <v>0</v>
      </c>
      <c r="F2326" s="149">
        <v>0</v>
      </c>
      <c r="G2326" s="149">
        <v>0</v>
      </c>
      <c r="H2326" s="149">
        <v>0</v>
      </c>
      <c r="I2326" s="150">
        <v>0</v>
      </c>
    </row>
    <row r="2327" spans="1:9" ht="15.6" x14ac:dyDescent="0.25">
      <c r="A2327" s="145"/>
      <c r="B2327" s="146">
        <v>8819600</v>
      </c>
      <c r="C2327" s="147"/>
      <c r="D2327" s="148" t="s">
        <v>818</v>
      </c>
      <c r="E2327" s="149">
        <v>5.31</v>
      </c>
      <c r="F2327" s="149">
        <v>2.88</v>
      </c>
      <c r="G2327" s="149">
        <v>0</v>
      </c>
      <c r="H2327" s="149">
        <v>2.73</v>
      </c>
      <c r="I2327" s="150">
        <v>10.92</v>
      </c>
    </row>
    <row r="2328" spans="1:9" ht="15.6" x14ac:dyDescent="0.25">
      <c r="A2328" s="145"/>
      <c r="B2328" s="146">
        <v>8820620</v>
      </c>
      <c r="C2328" s="147"/>
      <c r="D2328" s="148" t="s">
        <v>865</v>
      </c>
      <c r="E2328" s="149">
        <v>5.31</v>
      </c>
      <c r="F2328" s="149">
        <v>2.88</v>
      </c>
      <c r="G2328" s="149">
        <v>0</v>
      </c>
      <c r="H2328" s="149">
        <v>2.73</v>
      </c>
      <c r="I2328" s="150">
        <v>10.92</v>
      </c>
    </row>
    <row r="2329" spans="1:9" ht="15.6" x14ac:dyDescent="0.25">
      <c r="A2329" s="145"/>
      <c r="B2329" s="146">
        <v>8835067</v>
      </c>
      <c r="C2329" s="147"/>
      <c r="D2329" s="148" t="s">
        <v>857</v>
      </c>
      <c r="E2329" s="149">
        <v>0</v>
      </c>
      <c r="F2329" s="149">
        <v>0</v>
      </c>
      <c r="G2329" s="149">
        <v>0</v>
      </c>
      <c r="H2329" s="149">
        <v>0</v>
      </c>
      <c r="I2329" s="150">
        <v>0</v>
      </c>
    </row>
    <row r="2330" spans="1:9" ht="15.6" x14ac:dyDescent="0.25">
      <c r="A2330" s="145"/>
      <c r="B2330" s="146">
        <v>8838637</v>
      </c>
      <c r="C2330" s="147"/>
      <c r="D2330" s="148" t="s">
        <v>753</v>
      </c>
      <c r="E2330" s="149">
        <v>0</v>
      </c>
      <c r="F2330" s="149">
        <v>0</v>
      </c>
      <c r="G2330" s="149">
        <v>0</v>
      </c>
      <c r="H2330" s="149">
        <v>2.73</v>
      </c>
      <c r="I2330" s="150">
        <v>2.73</v>
      </c>
    </row>
    <row r="2331" spans="1:9" ht="15.6" x14ac:dyDescent="0.25">
      <c r="A2331" s="145"/>
      <c r="B2331" s="146">
        <v>8863205</v>
      </c>
      <c r="C2331" s="147"/>
      <c r="D2331" s="148" t="s">
        <v>869</v>
      </c>
      <c r="E2331" s="149">
        <v>5.31</v>
      </c>
      <c r="F2331" s="149">
        <v>2.88</v>
      </c>
      <c r="G2331" s="149">
        <v>0</v>
      </c>
      <c r="H2331" s="149">
        <v>2.73</v>
      </c>
      <c r="I2331" s="150">
        <v>10.92</v>
      </c>
    </row>
    <row r="2332" spans="1:9" ht="15.6" x14ac:dyDescent="0.25">
      <c r="A2332" s="145"/>
      <c r="B2332" s="146">
        <v>8872876</v>
      </c>
      <c r="C2332" s="147"/>
      <c r="D2332" s="148" t="s">
        <v>780</v>
      </c>
      <c r="E2332" s="149">
        <v>5.31</v>
      </c>
      <c r="F2332" s="149">
        <v>2.88</v>
      </c>
      <c r="G2332" s="149">
        <v>43.83</v>
      </c>
      <c r="H2332" s="149">
        <v>2.73</v>
      </c>
      <c r="I2332" s="150">
        <v>54.749999999999993</v>
      </c>
    </row>
    <row r="2333" spans="1:9" ht="15.6" x14ac:dyDescent="0.25">
      <c r="A2333" s="145"/>
      <c r="B2333" s="146">
        <v>8875215</v>
      </c>
      <c r="C2333" s="147"/>
      <c r="D2333" s="148" t="s">
        <v>736</v>
      </c>
      <c r="E2333" s="149">
        <v>5.31</v>
      </c>
      <c r="F2333" s="149">
        <v>2.88</v>
      </c>
      <c r="G2333" s="149">
        <v>0</v>
      </c>
      <c r="H2333" s="149">
        <v>2.73</v>
      </c>
      <c r="I2333" s="150">
        <v>10.92</v>
      </c>
    </row>
    <row r="2334" spans="1:9" ht="15.6" x14ac:dyDescent="0.25">
      <c r="A2334" s="145"/>
      <c r="B2334" s="146">
        <v>8904993</v>
      </c>
      <c r="C2334" s="147"/>
      <c r="D2334" s="148" t="s">
        <v>763</v>
      </c>
      <c r="E2334" s="149">
        <v>5.31</v>
      </c>
      <c r="F2334" s="149">
        <v>0</v>
      </c>
      <c r="G2334" s="149">
        <v>0</v>
      </c>
      <c r="H2334" s="149">
        <v>0</v>
      </c>
      <c r="I2334" s="150">
        <v>5.31</v>
      </c>
    </row>
    <row r="2335" spans="1:9" ht="15.6" x14ac:dyDescent="0.25">
      <c r="A2335" s="145"/>
      <c r="B2335" s="146">
        <v>8907693</v>
      </c>
      <c r="C2335" s="147"/>
      <c r="D2335" s="148" t="s">
        <v>823</v>
      </c>
      <c r="E2335" s="149">
        <v>5.31</v>
      </c>
      <c r="F2335" s="149">
        <v>2.88</v>
      </c>
      <c r="G2335" s="149">
        <v>0</v>
      </c>
      <c r="H2335" s="149">
        <v>2.73</v>
      </c>
      <c r="I2335" s="150">
        <v>10.92</v>
      </c>
    </row>
    <row r="2336" spans="1:9" ht="15.6" x14ac:dyDescent="0.25">
      <c r="A2336" s="145"/>
      <c r="B2336" s="146">
        <v>8909724</v>
      </c>
      <c r="C2336" s="147"/>
      <c r="D2336" s="148" t="s">
        <v>771</v>
      </c>
      <c r="E2336" s="149">
        <v>5.31</v>
      </c>
      <c r="F2336" s="149">
        <v>2.88</v>
      </c>
      <c r="G2336" s="149">
        <v>52.19</v>
      </c>
      <c r="H2336" s="149">
        <v>2.73</v>
      </c>
      <c r="I2336" s="150">
        <v>63.109999999999992</v>
      </c>
    </row>
    <row r="2337" spans="1:9" ht="15.6" x14ac:dyDescent="0.25">
      <c r="A2337" s="145"/>
      <c r="B2337" s="146">
        <v>8911292</v>
      </c>
      <c r="C2337" s="147"/>
      <c r="D2337" s="148" t="s">
        <v>851</v>
      </c>
      <c r="E2337" s="149">
        <v>5.31</v>
      </c>
      <c r="F2337" s="149">
        <v>2.88</v>
      </c>
      <c r="G2337" s="149">
        <v>22.66</v>
      </c>
      <c r="H2337" s="149">
        <v>2.73</v>
      </c>
      <c r="I2337" s="150">
        <v>33.58</v>
      </c>
    </row>
    <row r="2338" spans="1:9" ht="15.6" x14ac:dyDescent="0.25">
      <c r="A2338" s="145"/>
      <c r="B2338" s="146">
        <v>8912343</v>
      </c>
      <c r="C2338" s="147"/>
      <c r="D2338" s="148" t="s">
        <v>769</v>
      </c>
      <c r="E2338" s="149">
        <v>0</v>
      </c>
      <c r="F2338" s="149">
        <v>0</v>
      </c>
      <c r="G2338" s="149">
        <v>0</v>
      </c>
      <c r="H2338" s="149">
        <v>0</v>
      </c>
      <c r="I2338" s="150">
        <v>0</v>
      </c>
    </row>
    <row r="2339" spans="1:9" ht="15.6" x14ac:dyDescent="0.25">
      <c r="A2339" s="145"/>
      <c r="B2339" s="146">
        <v>8927807</v>
      </c>
      <c r="C2339" s="147"/>
      <c r="D2339" s="148" t="s">
        <v>804</v>
      </c>
      <c r="E2339" s="149">
        <v>0</v>
      </c>
      <c r="F2339" s="149">
        <v>0</v>
      </c>
      <c r="G2339" s="149">
        <v>0</v>
      </c>
      <c r="H2339" s="149">
        <v>0</v>
      </c>
      <c r="I2339" s="150">
        <v>0</v>
      </c>
    </row>
    <row r="2340" spans="1:9" ht="15.6" x14ac:dyDescent="0.25">
      <c r="A2340" s="145"/>
      <c r="B2340" s="146">
        <v>8931137</v>
      </c>
      <c r="C2340" s="147"/>
      <c r="D2340" s="148" t="s">
        <v>843</v>
      </c>
      <c r="E2340" s="149">
        <v>5.31</v>
      </c>
      <c r="F2340" s="149">
        <v>2.88</v>
      </c>
      <c r="G2340" s="149">
        <v>0</v>
      </c>
      <c r="H2340" s="149">
        <v>2.73</v>
      </c>
      <c r="I2340" s="150">
        <v>10.92</v>
      </c>
    </row>
    <row r="2341" spans="1:9" ht="15.6" x14ac:dyDescent="0.25">
      <c r="A2341" s="145"/>
      <c r="B2341" s="146">
        <v>8934693</v>
      </c>
      <c r="C2341" s="147"/>
      <c r="D2341" s="148" t="s">
        <v>825</v>
      </c>
      <c r="E2341" s="149">
        <v>5.31</v>
      </c>
      <c r="F2341" s="149">
        <v>2.88</v>
      </c>
      <c r="G2341" s="149">
        <v>0</v>
      </c>
      <c r="H2341" s="149">
        <v>2.73</v>
      </c>
      <c r="I2341" s="150">
        <v>10.92</v>
      </c>
    </row>
    <row r="2342" spans="1:9" ht="15.6" x14ac:dyDescent="0.25">
      <c r="A2342" s="145"/>
      <c r="B2342" s="146">
        <v>8939298</v>
      </c>
      <c r="C2342" s="147"/>
      <c r="D2342" s="148" t="s">
        <v>918</v>
      </c>
      <c r="E2342" s="149">
        <v>0</v>
      </c>
      <c r="F2342" s="149">
        <v>0</v>
      </c>
      <c r="G2342" s="149">
        <v>0</v>
      </c>
      <c r="H2342" s="149">
        <v>0</v>
      </c>
      <c r="I2342" s="150">
        <v>0</v>
      </c>
    </row>
    <row r="2343" spans="1:9" ht="15.6" x14ac:dyDescent="0.25">
      <c r="A2343" s="145"/>
      <c r="B2343" s="146">
        <v>8945950</v>
      </c>
      <c r="C2343" s="147"/>
      <c r="D2343" s="148" t="s">
        <v>958</v>
      </c>
      <c r="E2343" s="149">
        <v>5.31</v>
      </c>
      <c r="F2343" s="149">
        <v>2.88</v>
      </c>
      <c r="G2343" s="149">
        <v>0</v>
      </c>
      <c r="H2343" s="149">
        <v>2.73</v>
      </c>
      <c r="I2343" s="150">
        <v>10.92</v>
      </c>
    </row>
    <row r="2344" spans="1:9" ht="15.6" x14ac:dyDescent="0.25">
      <c r="A2344" s="145"/>
      <c r="B2344" s="146">
        <v>8951764</v>
      </c>
      <c r="C2344" s="147"/>
      <c r="D2344" s="148" t="s">
        <v>861</v>
      </c>
      <c r="E2344" s="149">
        <v>0</v>
      </c>
      <c r="F2344" s="149">
        <v>0</v>
      </c>
      <c r="G2344" s="149">
        <v>0</v>
      </c>
      <c r="H2344" s="149">
        <v>0</v>
      </c>
      <c r="I2344" s="150">
        <v>0</v>
      </c>
    </row>
    <row r="2345" spans="1:9" ht="15.6" x14ac:dyDescent="0.25">
      <c r="A2345" s="145"/>
      <c r="B2345" s="146">
        <v>8966301</v>
      </c>
      <c r="C2345" s="147"/>
      <c r="D2345" s="148" t="s">
        <v>824</v>
      </c>
      <c r="E2345" s="149">
        <v>5.31</v>
      </c>
      <c r="F2345" s="149">
        <v>2.88</v>
      </c>
      <c r="G2345" s="149">
        <v>0</v>
      </c>
      <c r="H2345" s="149">
        <v>2.73</v>
      </c>
      <c r="I2345" s="150">
        <v>10.92</v>
      </c>
    </row>
    <row r="2346" spans="1:9" ht="15.6" x14ac:dyDescent="0.25">
      <c r="A2346" s="145"/>
      <c r="B2346" s="146">
        <v>8972510</v>
      </c>
      <c r="C2346" s="147"/>
      <c r="D2346" s="148" t="s">
        <v>857</v>
      </c>
      <c r="E2346" s="149">
        <v>0</v>
      </c>
      <c r="F2346" s="149">
        <v>0</v>
      </c>
      <c r="G2346" s="149">
        <v>0</v>
      </c>
      <c r="H2346" s="149">
        <v>0</v>
      </c>
      <c r="I2346" s="150">
        <v>0</v>
      </c>
    </row>
    <row r="2347" spans="1:9" ht="15.6" x14ac:dyDescent="0.25">
      <c r="A2347" s="145"/>
      <c r="B2347" s="146">
        <v>8980561</v>
      </c>
      <c r="C2347" s="147"/>
      <c r="D2347" s="148" t="s">
        <v>785</v>
      </c>
      <c r="E2347" s="149">
        <v>0</v>
      </c>
      <c r="F2347" s="149">
        <v>0</v>
      </c>
      <c r="G2347" s="149">
        <v>0</v>
      </c>
      <c r="H2347" s="149">
        <v>2.73</v>
      </c>
      <c r="I2347" s="150">
        <v>2.73</v>
      </c>
    </row>
    <row r="2348" spans="1:9" ht="15.6" x14ac:dyDescent="0.25">
      <c r="A2348" s="145"/>
      <c r="B2348" s="146">
        <v>8983012</v>
      </c>
      <c r="C2348" s="147"/>
      <c r="D2348" s="148" t="s">
        <v>876</v>
      </c>
      <c r="E2348" s="149">
        <v>0</v>
      </c>
      <c r="F2348" s="149">
        <v>0</v>
      </c>
      <c r="G2348" s="149">
        <v>0</v>
      </c>
      <c r="H2348" s="149">
        <v>0</v>
      </c>
      <c r="I2348" s="150">
        <v>0</v>
      </c>
    </row>
    <row r="2349" spans="1:9" ht="15.6" x14ac:dyDescent="0.25">
      <c r="A2349" s="145"/>
      <c r="B2349" s="146">
        <v>8983090</v>
      </c>
      <c r="C2349" s="147"/>
      <c r="D2349" s="148" t="s">
        <v>864</v>
      </c>
      <c r="E2349" s="149">
        <v>5.31</v>
      </c>
      <c r="F2349" s="149">
        <v>2.88</v>
      </c>
      <c r="G2349" s="149">
        <v>0</v>
      </c>
      <c r="H2349" s="149">
        <v>2.73</v>
      </c>
      <c r="I2349" s="150">
        <v>10.92</v>
      </c>
    </row>
    <row r="2350" spans="1:9" ht="15.6" x14ac:dyDescent="0.25">
      <c r="A2350" s="145"/>
      <c r="B2350" s="146">
        <v>8985548</v>
      </c>
      <c r="C2350" s="147"/>
      <c r="D2350" s="148" t="s">
        <v>895</v>
      </c>
      <c r="E2350" s="149">
        <v>5.31</v>
      </c>
      <c r="F2350" s="149">
        <v>2.88</v>
      </c>
      <c r="G2350" s="149">
        <v>0</v>
      </c>
      <c r="H2350" s="149">
        <v>2.73</v>
      </c>
      <c r="I2350" s="150">
        <v>10.92</v>
      </c>
    </row>
    <row r="2351" spans="1:9" ht="15.6" x14ac:dyDescent="0.25">
      <c r="A2351" s="145"/>
      <c r="B2351" s="146">
        <v>8989868</v>
      </c>
      <c r="C2351" s="147"/>
      <c r="D2351" s="148" t="s">
        <v>851</v>
      </c>
      <c r="E2351" s="149">
        <v>5.31</v>
      </c>
      <c r="F2351" s="149">
        <v>2.88</v>
      </c>
      <c r="G2351" s="149">
        <v>28.61</v>
      </c>
      <c r="H2351" s="149">
        <v>2.73</v>
      </c>
      <c r="I2351" s="150">
        <v>39.529999999999994</v>
      </c>
    </row>
    <row r="2352" spans="1:9" ht="15.6" x14ac:dyDescent="0.25">
      <c r="A2352" s="145"/>
      <c r="B2352" s="146">
        <v>8989877</v>
      </c>
      <c r="C2352" s="147"/>
      <c r="D2352" s="148" t="s">
        <v>875</v>
      </c>
      <c r="E2352" s="149">
        <v>5.31</v>
      </c>
      <c r="F2352" s="149">
        <v>2.88</v>
      </c>
      <c r="G2352" s="149">
        <v>0</v>
      </c>
      <c r="H2352" s="149">
        <v>2.73</v>
      </c>
      <c r="I2352" s="150">
        <v>10.92</v>
      </c>
    </row>
    <row r="2353" spans="5:9" x14ac:dyDescent="0.25">
      <c r="E2353" s="151"/>
      <c r="F2353" s="151"/>
      <c r="G2353" s="151"/>
      <c r="H2353" s="151"/>
      <c r="I2353" s="151"/>
    </row>
    <row r="2354" spans="5:9" x14ac:dyDescent="0.25">
      <c r="E2354" s="151"/>
      <c r="F2354" s="151"/>
      <c r="G2354" s="151"/>
      <c r="H2354" s="151"/>
      <c r="I2354" s="151"/>
    </row>
  </sheetData>
  <sheetProtection algorithmName="SHA-512" hashValue="+X9hyZ+zvaxIf+f7e+TxBSuSRxoRgiW+ej5RrtyL9b94R2WgDuYmUfekKUDyO6iehEETK81GK9xftNPyZuDL7g==" saltValue="p0yd/RQtLZe75oSEPhXl/w==" spinCount="100000" sheet="1" objects="1" scenarios="1" formatColumns="0" autoFilter="0"/>
  <sortState xmlns:xlrd2="http://schemas.microsoft.com/office/spreadsheetml/2017/richdata2" ref="A9:M2352">
    <sortCondition ref="B9:B2352"/>
  </sortState>
  <mergeCells count="1">
    <mergeCell ref="E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9E750-EFAD-4180-A435-9D8A5CBFF74D}">
  <sheetPr>
    <tabColor theme="9" tint="0.59999389629810485"/>
  </sheetPr>
  <dimension ref="A1:G27"/>
  <sheetViews>
    <sheetView zoomScale="115" zoomScaleNormal="115" workbookViewId="0">
      <selection activeCell="C7" sqref="C7"/>
    </sheetView>
  </sheetViews>
  <sheetFormatPr defaultColWidth="9.109375" defaultRowHeight="14.4" x14ac:dyDescent="0.3"/>
  <cols>
    <col min="1" max="1" width="9.109375" style="1"/>
    <col min="2" max="2" width="8.44140625" style="1" customWidth="1"/>
    <col min="3" max="3" width="21.88671875" style="1" customWidth="1"/>
    <col min="4" max="4" width="41.88671875" style="1" bestFit="1" customWidth="1"/>
    <col min="5" max="5" width="23.109375" style="1" bestFit="1" customWidth="1"/>
    <col min="6" max="6" width="16.109375" style="1" bestFit="1" customWidth="1"/>
    <col min="7" max="7" width="11.5546875" style="1" bestFit="1" customWidth="1"/>
    <col min="8" max="16384" width="9.109375" style="1"/>
  </cols>
  <sheetData>
    <row r="1" spans="1:7" ht="18" x14ac:dyDescent="0.35">
      <c r="A1" s="153" t="s">
        <v>977</v>
      </c>
    </row>
    <row r="2" spans="1:7" ht="18" x14ac:dyDescent="0.35">
      <c r="C2" s="16"/>
    </row>
    <row r="3" spans="1:7" x14ac:dyDescent="0.3">
      <c r="E3" s="1" t="s">
        <v>23</v>
      </c>
    </row>
    <row r="4" spans="1:7" x14ac:dyDescent="0.3">
      <c r="C4" s="22"/>
      <c r="D4" s="1" t="s">
        <v>15</v>
      </c>
      <c r="E4" s="17">
        <v>384150.03710445331</v>
      </c>
    </row>
    <row r="5" spans="1:7" x14ac:dyDescent="0.3">
      <c r="C5" s="22"/>
      <c r="D5" s="1" t="s">
        <v>19</v>
      </c>
      <c r="E5" s="17">
        <v>66371</v>
      </c>
    </row>
    <row r="6" spans="1:7" x14ac:dyDescent="0.3">
      <c r="C6" s="22"/>
      <c r="D6" s="1" t="s">
        <v>20</v>
      </c>
      <c r="E6" s="17">
        <v>10000</v>
      </c>
    </row>
    <row r="7" spans="1:7" x14ac:dyDescent="0.3">
      <c r="C7" s="22"/>
      <c r="D7" s="1" t="s">
        <v>16</v>
      </c>
      <c r="E7" s="17">
        <v>64694</v>
      </c>
    </row>
    <row r="8" spans="1:7" x14ac:dyDescent="0.3">
      <c r="C8" s="22"/>
      <c r="D8" s="1" t="s">
        <v>17</v>
      </c>
      <c r="E8" s="17">
        <v>89750</v>
      </c>
    </row>
    <row r="9" spans="1:7" x14ac:dyDescent="0.3">
      <c r="C9" s="22"/>
      <c r="D9" s="1" t="s">
        <v>13</v>
      </c>
      <c r="E9" s="17">
        <v>38861</v>
      </c>
    </row>
    <row r="10" spans="1:7" x14ac:dyDescent="0.3">
      <c r="C10" s="22"/>
      <c r="D10" s="1" t="s">
        <v>14</v>
      </c>
      <c r="E10" s="17">
        <v>14500</v>
      </c>
    </row>
    <row r="11" spans="1:7" x14ac:dyDescent="0.3">
      <c r="C11" s="22"/>
      <c r="D11" s="1" t="s">
        <v>21</v>
      </c>
      <c r="E11" s="17">
        <v>33860.210000000006</v>
      </c>
    </row>
    <row r="12" spans="1:7" x14ac:dyDescent="0.3">
      <c r="C12" s="22"/>
      <c r="D12" s="1" t="s">
        <v>18</v>
      </c>
      <c r="E12" s="17">
        <v>41189.614243323391</v>
      </c>
      <c r="F12" s="5"/>
      <c r="G12" s="5"/>
    </row>
    <row r="13" spans="1:7" x14ac:dyDescent="0.3">
      <c r="C13" s="22"/>
      <c r="D13" s="1" t="s">
        <v>22</v>
      </c>
      <c r="E13" s="18">
        <v>67457.962413451998</v>
      </c>
      <c r="F13" s="5"/>
      <c r="G13" s="5"/>
    </row>
    <row r="14" spans="1:7" x14ac:dyDescent="0.3">
      <c r="E14" s="19">
        <f>SUM(E4:E13)</f>
        <v>810833.82376122859</v>
      </c>
    </row>
    <row r="15" spans="1:7" x14ac:dyDescent="0.3">
      <c r="E15" s="3"/>
    </row>
    <row r="16" spans="1:7" x14ac:dyDescent="0.3">
      <c r="D16" s="2" t="s">
        <v>24</v>
      </c>
      <c r="E16" s="20">
        <v>2937</v>
      </c>
    </row>
    <row r="18" spans="3:6" ht="16.2" thickBot="1" x14ac:dyDescent="0.35">
      <c r="C18" s="21"/>
      <c r="D18" s="14" t="s">
        <v>25</v>
      </c>
      <c r="E18" s="15">
        <f>ROUND(E14/E16/52,2)</f>
        <v>5.31</v>
      </c>
    </row>
    <row r="19" spans="3:6" x14ac:dyDescent="0.3">
      <c r="D19" s="23" t="s">
        <v>26</v>
      </c>
      <c r="E19" s="24">
        <f>E18*52</f>
        <v>276.12</v>
      </c>
    </row>
    <row r="20" spans="3:6" x14ac:dyDescent="0.3">
      <c r="D20" s="23"/>
      <c r="E20" s="24"/>
    </row>
    <row r="21" spans="3:6" x14ac:dyDescent="0.3">
      <c r="D21" s="23"/>
      <c r="E21" s="24"/>
    </row>
    <row r="23" spans="3:6" x14ac:dyDescent="0.3">
      <c r="C23" s="31"/>
      <c r="D23" s="32"/>
      <c r="E23" s="33" t="s">
        <v>32</v>
      </c>
      <c r="F23" s="34" t="s">
        <v>33</v>
      </c>
    </row>
    <row r="24" spans="3:6" x14ac:dyDescent="0.3">
      <c r="C24" s="35"/>
      <c r="D24" s="36" t="s">
        <v>30</v>
      </c>
      <c r="E24" s="37">
        <f>F24/$F$26*$E$14</f>
        <v>479819.26649540866</v>
      </c>
      <c r="F24" s="38">
        <v>1738</v>
      </c>
    </row>
    <row r="25" spans="3:6" x14ac:dyDescent="0.3">
      <c r="C25" s="35"/>
      <c r="D25" s="36" t="s">
        <v>31</v>
      </c>
      <c r="E25" s="30">
        <f>F25/$F$26*$E$14</f>
        <v>331014.55726581992</v>
      </c>
      <c r="F25" s="39">
        <v>1199</v>
      </c>
    </row>
    <row r="26" spans="3:6" x14ac:dyDescent="0.3">
      <c r="C26" s="40"/>
      <c r="D26" s="29"/>
      <c r="E26" s="30">
        <f>SUM(E24:E25)</f>
        <v>810833.82376122859</v>
      </c>
      <c r="F26" s="39">
        <f>SUM(F24:F25)</f>
        <v>2937</v>
      </c>
    </row>
    <row r="27" spans="3:6" x14ac:dyDescent="0.3">
      <c r="D27" s="28"/>
      <c r="E27" s="28"/>
      <c r="F27" s="28"/>
    </row>
  </sheetData>
  <sheetProtection algorithmName="SHA-512" hashValue="NHPLix5tS+LxDzvNyTLixrTJ7/blt4tcwzkc6cc6n/Ngt8uLLeOv013mrWUIo7fzJ4Uv80kb4AD6gQ+3BPMhcw==" saltValue="63dmrSsex5HJ0++r6flrzQ==" spinCount="100000" sheet="1" objects="1" scenarios="1" formatColumn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26EB7-5F0D-4640-9835-FE649E9C1F9B}">
  <sheetPr>
    <tabColor theme="8" tint="0.59999389629810485"/>
  </sheetPr>
  <dimension ref="A1:E19"/>
  <sheetViews>
    <sheetView zoomScale="115" zoomScaleNormal="115" workbookViewId="0"/>
  </sheetViews>
  <sheetFormatPr defaultColWidth="9.109375" defaultRowHeight="14.4" x14ac:dyDescent="0.3"/>
  <cols>
    <col min="1" max="1" width="7" style="1" customWidth="1"/>
    <col min="2" max="2" width="9.109375" style="1"/>
    <col min="3" max="3" width="48.6640625" style="1" bestFit="1" customWidth="1"/>
    <col min="4" max="4" width="15" style="1" bestFit="1" customWidth="1"/>
    <col min="5" max="5" width="16.6640625" style="1" bestFit="1" customWidth="1"/>
    <col min="6" max="16384" width="9.109375" style="1"/>
  </cols>
  <sheetData>
    <row r="1" spans="1:5" ht="18" x14ac:dyDescent="0.35">
      <c r="A1" s="153" t="s">
        <v>978</v>
      </c>
      <c r="B1" s="154"/>
    </row>
    <row r="3" spans="1:5" x14ac:dyDescent="0.3">
      <c r="D3" s="1" t="s">
        <v>23</v>
      </c>
    </row>
    <row r="4" spans="1:5" x14ac:dyDescent="0.3">
      <c r="C4" s="1" t="s">
        <v>15</v>
      </c>
      <c r="D4" s="17">
        <v>354229.91238745663</v>
      </c>
    </row>
    <row r="5" spans="1:5" x14ac:dyDescent="0.3">
      <c r="C5" s="1" t="s">
        <v>27</v>
      </c>
      <c r="D5" s="17">
        <v>13467</v>
      </c>
    </row>
    <row r="6" spans="1:5" x14ac:dyDescent="0.3">
      <c r="C6" s="1" t="s">
        <v>16</v>
      </c>
      <c r="D6" s="17">
        <v>20393</v>
      </c>
    </row>
    <row r="7" spans="1:5" x14ac:dyDescent="0.3">
      <c r="C7" s="1" t="s">
        <v>19</v>
      </c>
      <c r="D7" s="18">
        <v>41808.699999999997</v>
      </c>
      <c r="E7" s="5"/>
    </row>
    <row r="8" spans="1:5" x14ac:dyDescent="0.3">
      <c r="D8" s="19">
        <f>SUM(D4:D7)</f>
        <v>429898.61238745664</v>
      </c>
    </row>
    <row r="9" spans="1:5" x14ac:dyDescent="0.3">
      <c r="D9" s="3"/>
    </row>
    <row r="10" spans="1:5" s="26" customFormat="1" ht="28.8" x14ac:dyDescent="0.3">
      <c r="C10" s="27" t="s">
        <v>24</v>
      </c>
      <c r="D10" s="25">
        <v>2866</v>
      </c>
    </row>
    <row r="12" spans="1:5" ht="16.2" thickBot="1" x14ac:dyDescent="0.35">
      <c r="C12" s="14" t="s">
        <v>25</v>
      </c>
      <c r="D12" s="15">
        <f>ROUND(D8/D10/52,2)</f>
        <v>2.88</v>
      </c>
    </row>
    <row r="13" spans="1:5" x14ac:dyDescent="0.3">
      <c r="C13" s="23" t="s">
        <v>26</v>
      </c>
      <c r="D13" s="24">
        <f>D12*52</f>
        <v>149.76</v>
      </c>
    </row>
    <row r="16" spans="1:5" x14ac:dyDescent="0.3">
      <c r="B16" s="31"/>
      <c r="C16" s="32"/>
      <c r="D16" s="33" t="s">
        <v>32</v>
      </c>
      <c r="E16" s="34" t="s">
        <v>33</v>
      </c>
    </row>
    <row r="17" spans="2:5" x14ac:dyDescent="0.3">
      <c r="B17" s="35"/>
      <c r="C17" s="36" t="s">
        <v>30</v>
      </c>
      <c r="D17" s="37">
        <f>E17/$E$19*$D$8</f>
        <v>253049.18321620356</v>
      </c>
      <c r="E17" s="38">
        <v>1687</v>
      </c>
    </row>
    <row r="18" spans="2:5" x14ac:dyDescent="0.3">
      <c r="B18" s="35"/>
      <c r="C18" s="36" t="s">
        <v>31</v>
      </c>
      <c r="D18" s="30">
        <f>E18/$E$19*$D$8</f>
        <v>176849.42917125308</v>
      </c>
      <c r="E18" s="39">
        <v>1179</v>
      </c>
    </row>
    <row r="19" spans="2:5" x14ac:dyDescent="0.3">
      <c r="B19" s="40"/>
      <c r="C19" s="29"/>
      <c r="D19" s="30">
        <f>SUM(D17:D18)</f>
        <v>429898.61238745664</v>
      </c>
      <c r="E19" s="39">
        <f>SUM(E17:E18)</f>
        <v>2866</v>
      </c>
    </row>
  </sheetData>
  <sheetProtection algorithmName="SHA-512" hashValue="/KUNGGMSfCFyzznXA9KU8vy4H7bj06fNXYrgnWyNicTZeRu6nqxITk0sFDybEP0Ar53bNC+QKvRMgJXfKW2UuA==" saltValue="ujAHZR2jXHLM5IoZm1zPKQ==" spinCount="100000" sheet="1" objects="1" scenarios="1" formatColumn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3360-6870-487D-BF63-AB920A6DDF00}">
  <sheetPr>
    <tabColor theme="5" tint="0.59999389629810485"/>
  </sheetPr>
  <dimension ref="A1:M676"/>
  <sheetViews>
    <sheetView zoomScale="115" zoomScaleNormal="115" workbookViewId="0">
      <pane ySplit="4" topLeftCell="A650" activePane="bottomLeft" state="frozen"/>
      <selection pane="bottomLeft" activeCell="G664" sqref="G664"/>
    </sheetView>
  </sheetViews>
  <sheetFormatPr defaultColWidth="9.109375" defaultRowHeight="14.4" x14ac:dyDescent="0.3"/>
  <cols>
    <col min="1" max="1" width="4.44140625" style="117" hidden="1" customWidth="1"/>
    <col min="2" max="2" width="23.5546875" style="117" customWidth="1"/>
    <col min="3" max="3" width="13.6640625" style="117" hidden="1" customWidth="1"/>
    <col min="4" max="4" width="19.33203125" style="117" customWidth="1"/>
    <col min="5" max="5" width="33.109375" style="117" bestFit="1" customWidth="1"/>
    <col min="6" max="6" width="21.6640625" style="117" customWidth="1"/>
    <col min="7" max="7" width="22.33203125" style="117" customWidth="1"/>
    <col min="8" max="8" width="17.44140625" style="117" bestFit="1" customWidth="1"/>
    <col min="9" max="9" width="9" style="117" bestFit="1" customWidth="1"/>
    <col min="10" max="10" width="18.33203125" style="117" customWidth="1"/>
    <col min="11" max="11" width="27" style="117" bestFit="1" customWidth="1"/>
    <col min="12" max="12" width="25.88671875" style="117" customWidth="1"/>
    <col min="13" max="16384" width="9.109375" style="117"/>
  </cols>
  <sheetData>
    <row r="1" spans="1:13" ht="18" x14ac:dyDescent="0.3">
      <c r="B1" s="155"/>
      <c r="C1" s="156"/>
      <c r="D1" s="155" t="s">
        <v>979</v>
      </c>
      <c r="E1" s="157"/>
      <c r="F1" s="157"/>
      <c r="G1" s="158"/>
      <c r="H1" s="159"/>
      <c r="I1" s="160"/>
      <c r="J1" s="160"/>
      <c r="K1" s="159"/>
      <c r="L1" s="157"/>
      <c r="M1" s="157"/>
    </row>
    <row r="2" spans="1:13" x14ac:dyDescent="0.3">
      <c r="B2" s="162"/>
      <c r="C2" s="163"/>
      <c r="D2" s="161" t="s">
        <v>70</v>
      </c>
      <c r="E2" s="157"/>
      <c r="F2" s="157"/>
      <c r="G2" s="158"/>
      <c r="H2" s="159"/>
      <c r="I2" s="160"/>
      <c r="J2" s="160"/>
      <c r="K2" s="159"/>
      <c r="L2" s="157"/>
      <c r="M2" s="157"/>
    </row>
    <row r="3" spans="1:13" x14ac:dyDescent="0.3">
      <c r="A3" s="164"/>
      <c r="B3" s="164"/>
      <c r="C3" s="165"/>
      <c r="D3" s="166"/>
      <c r="E3" s="157"/>
      <c r="F3" s="165"/>
      <c r="G3" s="158"/>
      <c r="H3" s="159"/>
      <c r="I3" s="160"/>
      <c r="J3" s="160"/>
      <c r="K3" s="167" t="s">
        <v>71</v>
      </c>
      <c r="L3" s="157"/>
      <c r="M3" s="157"/>
    </row>
    <row r="4" spans="1:13" s="125" customFormat="1" ht="93.6" x14ac:dyDescent="0.25">
      <c r="A4" s="201"/>
      <c r="B4" s="202" t="s">
        <v>486</v>
      </c>
      <c r="C4" s="203" t="s">
        <v>69</v>
      </c>
      <c r="D4" s="203" t="s">
        <v>68</v>
      </c>
      <c r="E4" s="203" t="s">
        <v>72</v>
      </c>
      <c r="F4" s="203" t="s">
        <v>969</v>
      </c>
      <c r="G4" s="203" t="s">
        <v>968</v>
      </c>
      <c r="H4" s="204" t="s">
        <v>63</v>
      </c>
      <c r="I4" s="203" t="s">
        <v>67</v>
      </c>
      <c r="J4" s="203" t="s">
        <v>66</v>
      </c>
      <c r="K4" s="204" t="s">
        <v>73</v>
      </c>
      <c r="L4" s="205" t="s">
        <v>61</v>
      </c>
      <c r="M4" s="168"/>
    </row>
    <row r="5" spans="1:13" s="125" customFormat="1" ht="15.6" x14ac:dyDescent="0.25">
      <c r="A5" s="169"/>
      <c r="B5" s="145">
        <v>15571</v>
      </c>
      <c r="C5" s="170"/>
      <c r="D5" s="169" t="s">
        <v>40</v>
      </c>
      <c r="E5" s="171" t="s">
        <v>60</v>
      </c>
      <c r="F5" s="171"/>
      <c r="G5" s="172">
        <v>0.16666</v>
      </c>
      <c r="H5" s="173">
        <f t="shared" ref="H5:H10" si="0">G5/$G$11*$H$11</f>
        <v>2365.4783333333335</v>
      </c>
      <c r="I5" s="174">
        <f t="shared" ref="I5:I10" si="1">ROUND(H5/52,2)</f>
        <v>45.49</v>
      </c>
      <c r="J5" s="175">
        <v>0</v>
      </c>
      <c r="K5" s="176">
        <v>45.49</v>
      </c>
      <c r="L5" s="171"/>
      <c r="M5" s="169"/>
    </row>
    <row r="6" spans="1:13" s="125" customFormat="1" ht="15.6" x14ac:dyDescent="0.25">
      <c r="A6" s="169"/>
      <c r="B6" s="145">
        <v>39853</v>
      </c>
      <c r="C6" s="170"/>
      <c r="D6" s="169" t="s">
        <v>40</v>
      </c>
      <c r="E6" s="171" t="s">
        <v>60</v>
      </c>
      <c r="F6" s="171"/>
      <c r="G6" s="172">
        <v>0.16666</v>
      </c>
      <c r="H6" s="173">
        <f t="shared" si="0"/>
        <v>2365.4783333333335</v>
      </c>
      <c r="I6" s="174">
        <f t="shared" si="1"/>
        <v>45.49</v>
      </c>
      <c r="J6" s="175">
        <v>0</v>
      </c>
      <c r="K6" s="176">
        <v>45.49</v>
      </c>
      <c r="L6" s="171"/>
      <c r="M6" s="169"/>
    </row>
    <row r="7" spans="1:13" s="125" customFormat="1" ht="15.6" x14ac:dyDescent="0.25">
      <c r="A7" s="169"/>
      <c r="B7" s="145">
        <v>71378</v>
      </c>
      <c r="C7" s="170"/>
      <c r="D7" s="169" t="s">
        <v>40</v>
      </c>
      <c r="E7" s="171" t="s">
        <v>60</v>
      </c>
      <c r="F7" s="171"/>
      <c r="G7" s="172">
        <v>0.16666</v>
      </c>
      <c r="H7" s="173">
        <f t="shared" si="0"/>
        <v>2365.4783333333335</v>
      </c>
      <c r="I7" s="174">
        <f t="shared" si="1"/>
        <v>45.49</v>
      </c>
      <c r="J7" s="175">
        <v>0</v>
      </c>
      <c r="K7" s="176">
        <v>45.49</v>
      </c>
      <c r="L7" s="171"/>
      <c r="M7" s="169"/>
    </row>
    <row r="8" spans="1:13" s="125" customFormat="1" ht="15.6" x14ac:dyDescent="0.25">
      <c r="A8" s="169"/>
      <c r="B8" s="145">
        <v>83763</v>
      </c>
      <c r="C8" s="170"/>
      <c r="D8" s="169" t="s">
        <v>40</v>
      </c>
      <c r="E8" s="171" t="s">
        <v>60</v>
      </c>
      <c r="F8" s="171"/>
      <c r="G8" s="172">
        <v>0.16666</v>
      </c>
      <c r="H8" s="173">
        <f t="shared" si="0"/>
        <v>2365.4783333333335</v>
      </c>
      <c r="I8" s="174">
        <f t="shared" si="1"/>
        <v>45.49</v>
      </c>
      <c r="J8" s="175">
        <v>0</v>
      </c>
      <c r="K8" s="176">
        <v>45.49</v>
      </c>
      <c r="L8" s="171"/>
      <c r="M8" s="169"/>
    </row>
    <row r="9" spans="1:13" s="125" customFormat="1" ht="15.6" x14ac:dyDescent="0.25">
      <c r="A9" s="169"/>
      <c r="B9" s="145">
        <v>96689</v>
      </c>
      <c r="C9" s="170"/>
      <c r="D9" s="169" t="s">
        <v>40</v>
      </c>
      <c r="E9" s="171" t="s">
        <v>60</v>
      </c>
      <c r="F9" s="171"/>
      <c r="G9" s="172">
        <v>0.16666</v>
      </c>
      <c r="H9" s="173">
        <f t="shared" si="0"/>
        <v>2365.4783333333335</v>
      </c>
      <c r="I9" s="174">
        <f t="shared" si="1"/>
        <v>45.49</v>
      </c>
      <c r="J9" s="175">
        <v>0</v>
      </c>
      <c r="K9" s="176">
        <v>45.49</v>
      </c>
      <c r="L9" s="171"/>
      <c r="M9" s="169"/>
    </row>
    <row r="10" spans="1:13" s="125" customFormat="1" ht="15.6" x14ac:dyDescent="0.25">
      <c r="A10" s="169"/>
      <c r="B10" s="145">
        <v>98409</v>
      </c>
      <c r="C10" s="170"/>
      <c r="D10" s="213" t="s">
        <v>40</v>
      </c>
      <c r="E10" s="214" t="s">
        <v>60</v>
      </c>
      <c r="F10" s="214"/>
      <c r="G10" s="215">
        <v>0.16666</v>
      </c>
      <c r="H10" s="216">
        <f t="shared" si="0"/>
        <v>2365.4783333333335</v>
      </c>
      <c r="I10" s="217">
        <f t="shared" si="1"/>
        <v>45.49</v>
      </c>
      <c r="J10" s="218">
        <v>0</v>
      </c>
      <c r="K10" s="219">
        <v>45.49</v>
      </c>
      <c r="L10" s="171"/>
      <c r="M10" s="169"/>
    </row>
    <row r="11" spans="1:13" s="125" customFormat="1" ht="16.2" thickBot="1" x14ac:dyDescent="0.3">
      <c r="A11" s="169"/>
      <c r="B11" s="145"/>
      <c r="C11" s="177"/>
      <c r="D11" s="220"/>
      <c r="E11" s="221" t="s">
        <v>38</v>
      </c>
      <c r="F11" s="221"/>
      <c r="G11" s="222">
        <f>SUBTOTAL(9,G5:G10)</f>
        <v>0.99996000000000007</v>
      </c>
      <c r="H11" s="223">
        <v>14192.87</v>
      </c>
      <c r="I11" s="224">
        <f>SUM(I5:I10)</f>
        <v>272.94</v>
      </c>
      <c r="J11" s="225">
        <f t="shared" ref="J11:K11" si="2">SUM(J5:J10)</f>
        <v>0</v>
      </c>
      <c r="K11" s="223">
        <f t="shared" si="2"/>
        <v>272.94</v>
      </c>
      <c r="L11" s="171"/>
      <c r="M11" s="169"/>
    </row>
    <row r="12" spans="1:13" s="125" customFormat="1" ht="15.6" x14ac:dyDescent="0.25">
      <c r="A12" s="169"/>
      <c r="B12" s="145">
        <v>8088</v>
      </c>
      <c r="C12" s="170"/>
      <c r="D12" s="206" t="s">
        <v>40</v>
      </c>
      <c r="E12" s="207" t="s">
        <v>59</v>
      </c>
      <c r="F12" s="207"/>
      <c r="G12" s="208">
        <v>0.16666</v>
      </c>
      <c r="H12" s="209">
        <f>G12/$G$17*$H$17</f>
        <v>2034.252</v>
      </c>
      <c r="I12" s="210">
        <f>ROUND(H12/52,2)</f>
        <v>39.119999999999997</v>
      </c>
      <c r="J12" s="211">
        <v>1.0000000000005116E-2</v>
      </c>
      <c r="K12" s="212">
        <v>39.130000000000003</v>
      </c>
      <c r="L12" s="171"/>
      <c r="M12" s="169"/>
    </row>
    <row r="13" spans="1:13" s="125" customFormat="1" ht="15.6" x14ac:dyDescent="0.25">
      <c r="A13" s="169"/>
      <c r="B13" s="145">
        <v>52902</v>
      </c>
      <c r="C13" s="170"/>
      <c r="D13" s="169" t="s">
        <v>40</v>
      </c>
      <c r="E13" s="171" t="s">
        <v>59</v>
      </c>
      <c r="F13" s="171"/>
      <c r="G13" s="172">
        <v>0.16666</v>
      </c>
      <c r="H13" s="173">
        <f>G13/$G$17*$H$17</f>
        <v>2034.252</v>
      </c>
      <c r="I13" s="174">
        <f>ROUND(H13/52,2)</f>
        <v>39.119999999999997</v>
      </c>
      <c r="J13" s="175">
        <v>1.0000000000005116E-2</v>
      </c>
      <c r="K13" s="176">
        <v>39.130000000000003</v>
      </c>
      <c r="L13" s="171"/>
      <c r="M13" s="169"/>
    </row>
    <row r="14" spans="1:13" s="125" customFormat="1" ht="15.6" x14ac:dyDescent="0.25">
      <c r="A14" s="169"/>
      <c r="B14" s="145">
        <v>73046</v>
      </c>
      <c r="C14" s="170"/>
      <c r="D14" s="169" t="s">
        <v>36</v>
      </c>
      <c r="E14" s="171" t="s">
        <v>59</v>
      </c>
      <c r="F14" s="171"/>
      <c r="G14" s="172">
        <v>0.16666</v>
      </c>
      <c r="H14" s="173">
        <f>G14/$G$17*$H$17</f>
        <v>2034.252</v>
      </c>
      <c r="I14" s="174">
        <f>ROUND(H14/52,2)</f>
        <v>39.119999999999997</v>
      </c>
      <c r="J14" s="175">
        <v>1.0000000000005116E-2</v>
      </c>
      <c r="K14" s="176">
        <v>39.130000000000003</v>
      </c>
      <c r="L14" s="184"/>
      <c r="M14" s="169"/>
    </row>
    <row r="15" spans="1:13" s="125" customFormat="1" ht="15.6" x14ac:dyDescent="0.25">
      <c r="A15" s="169"/>
      <c r="B15" s="145">
        <v>83820</v>
      </c>
      <c r="C15" s="170"/>
      <c r="D15" s="169" t="s">
        <v>40</v>
      </c>
      <c r="E15" s="171" t="s">
        <v>59</v>
      </c>
      <c r="F15" s="171"/>
      <c r="G15" s="172">
        <v>0.16666</v>
      </c>
      <c r="H15" s="173">
        <f>G15/$G$17*$H$17</f>
        <v>2034.252</v>
      </c>
      <c r="I15" s="174">
        <f>ROUND(H15/52,2)</f>
        <v>39.119999999999997</v>
      </c>
      <c r="J15" s="175">
        <v>1.0000000000005116E-2</v>
      </c>
      <c r="K15" s="176">
        <v>39.130000000000003</v>
      </c>
      <c r="L15" s="171"/>
      <c r="M15" s="169"/>
    </row>
    <row r="16" spans="1:13" s="125" customFormat="1" ht="15.6" x14ac:dyDescent="0.25">
      <c r="A16" s="169"/>
      <c r="B16" s="145">
        <v>86973</v>
      </c>
      <c r="C16" s="170"/>
      <c r="D16" s="169" t="s">
        <v>36</v>
      </c>
      <c r="E16" s="171" t="s">
        <v>59</v>
      </c>
      <c r="F16" s="171"/>
      <c r="G16" s="172">
        <v>0.16666</v>
      </c>
      <c r="H16" s="173">
        <f>G16/$G$17*$H$17</f>
        <v>2034.252</v>
      </c>
      <c r="I16" s="174">
        <f>ROUND(H16/52,2)</f>
        <v>39.119999999999997</v>
      </c>
      <c r="J16" s="175">
        <v>1.0000000000005116E-2</v>
      </c>
      <c r="K16" s="176">
        <v>39.130000000000003</v>
      </c>
      <c r="L16" s="171"/>
      <c r="M16" s="169"/>
    </row>
    <row r="17" spans="1:13" s="125" customFormat="1" ht="15.6" x14ac:dyDescent="0.25">
      <c r="A17" s="169"/>
      <c r="B17" s="145"/>
      <c r="C17" s="177"/>
      <c r="D17" s="178"/>
      <c r="E17" s="179" t="s">
        <v>38</v>
      </c>
      <c r="F17" s="179"/>
      <c r="G17" s="180">
        <f>SUBTOTAL(9,G12:G16)</f>
        <v>0.83330000000000004</v>
      </c>
      <c r="H17" s="181">
        <v>10171.26</v>
      </c>
      <c r="I17" s="182">
        <f>SUM(I12:I16)</f>
        <v>195.6</v>
      </c>
      <c r="J17" s="183">
        <v>5.000000000002558E-2</v>
      </c>
      <c r="K17" s="181">
        <f t="shared" ref="K17" si="3">SUM(K12:K16)</f>
        <v>195.65</v>
      </c>
      <c r="L17" s="171"/>
      <c r="M17" s="169"/>
    </row>
    <row r="18" spans="1:13" s="125" customFormat="1" ht="15.6" x14ac:dyDescent="0.25">
      <c r="A18" s="169"/>
      <c r="B18" s="145">
        <v>12041</v>
      </c>
      <c r="C18" s="170"/>
      <c r="D18" s="169" t="s">
        <v>40</v>
      </c>
      <c r="E18" s="171" t="s">
        <v>58</v>
      </c>
      <c r="F18" s="171"/>
      <c r="G18" s="172">
        <v>0.16666</v>
      </c>
      <c r="H18" s="173">
        <f t="shared" ref="H18:H23" si="4">G18/$G$24*$H$24</f>
        <v>2093.0983333333334</v>
      </c>
      <c r="I18" s="174">
        <f t="shared" ref="I18:I23" si="5">ROUND(H18/52,2)</f>
        <v>40.25</v>
      </c>
      <c r="J18" s="175">
        <v>0</v>
      </c>
      <c r="K18" s="176">
        <v>40.25</v>
      </c>
      <c r="L18" s="185"/>
      <c r="M18" s="169"/>
    </row>
    <row r="19" spans="1:13" s="125" customFormat="1" ht="15.6" x14ac:dyDescent="0.25">
      <c r="A19" s="169"/>
      <c r="B19" s="145">
        <v>25489</v>
      </c>
      <c r="C19" s="170"/>
      <c r="D19" s="169" t="s">
        <v>40</v>
      </c>
      <c r="E19" s="171" t="s">
        <v>58</v>
      </c>
      <c r="F19" s="171"/>
      <c r="G19" s="172">
        <v>0.16666</v>
      </c>
      <c r="H19" s="173">
        <f t="shared" si="4"/>
        <v>2093.0983333333334</v>
      </c>
      <c r="I19" s="174">
        <f t="shared" si="5"/>
        <v>40.25</v>
      </c>
      <c r="J19" s="175">
        <v>0</v>
      </c>
      <c r="K19" s="176">
        <v>40.25</v>
      </c>
      <c r="L19" s="171"/>
      <c r="M19" s="169"/>
    </row>
    <row r="20" spans="1:13" s="125" customFormat="1" ht="15.6" x14ac:dyDescent="0.25">
      <c r="A20" s="169"/>
      <c r="B20" s="145">
        <v>34522</v>
      </c>
      <c r="C20" s="170"/>
      <c r="D20" s="169" t="s">
        <v>40</v>
      </c>
      <c r="E20" s="171" t="s">
        <v>58</v>
      </c>
      <c r="F20" s="171"/>
      <c r="G20" s="172">
        <v>0.16666</v>
      </c>
      <c r="H20" s="173">
        <f t="shared" si="4"/>
        <v>2093.0983333333334</v>
      </c>
      <c r="I20" s="174">
        <f t="shared" si="5"/>
        <v>40.25</v>
      </c>
      <c r="J20" s="175">
        <v>0</v>
      </c>
      <c r="K20" s="176">
        <v>40.25</v>
      </c>
      <c r="L20" s="171"/>
      <c r="M20" s="169"/>
    </row>
    <row r="21" spans="1:13" s="125" customFormat="1" ht="15.6" x14ac:dyDescent="0.25">
      <c r="A21" s="169"/>
      <c r="B21" s="145">
        <v>40122</v>
      </c>
      <c r="C21" s="170"/>
      <c r="D21" s="169" t="s">
        <v>36</v>
      </c>
      <c r="E21" s="171" t="s">
        <v>58</v>
      </c>
      <c r="F21" s="171"/>
      <c r="G21" s="172">
        <v>0.16666</v>
      </c>
      <c r="H21" s="173">
        <f t="shared" si="4"/>
        <v>2093.0983333333334</v>
      </c>
      <c r="I21" s="174">
        <f t="shared" si="5"/>
        <v>40.25</v>
      </c>
      <c r="J21" s="175">
        <v>0</v>
      </c>
      <c r="K21" s="176">
        <v>40.25</v>
      </c>
      <c r="L21" s="171"/>
      <c r="M21" s="169"/>
    </row>
    <row r="22" spans="1:13" s="125" customFormat="1" ht="15.6" x14ac:dyDescent="0.25">
      <c r="A22" s="169"/>
      <c r="B22" s="145">
        <v>55190</v>
      </c>
      <c r="C22" s="170"/>
      <c r="D22" s="169" t="s">
        <v>36</v>
      </c>
      <c r="E22" s="171" t="s">
        <v>58</v>
      </c>
      <c r="F22" s="171"/>
      <c r="G22" s="172">
        <v>0.16666</v>
      </c>
      <c r="H22" s="173">
        <f t="shared" si="4"/>
        <v>2093.0983333333334</v>
      </c>
      <c r="I22" s="174">
        <f t="shared" si="5"/>
        <v>40.25</v>
      </c>
      <c r="J22" s="175">
        <v>0</v>
      </c>
      <c r="K22" s="176">
        <v>40.25</v>
      </c>
      <c r="L22" s="171"/>
      <c r="M22" s="169"/>
    </row>
    <row r="23" spans="1:13" s="125" customFormat="1" ht="15.6" x14ac:dyDescent="0.25">
      <c r="A23" s="169"/>
      <c r="B23" s="145">
        <v>73767</v>
      </c>
      <c r="C23" s="170"/>
      <c r="D23" s="213" t="s">
        <v>40</v>
      </c>
      <c r="E23" s="214" t="s">
        <v>58</v>
      </c>
      <c r="F23" s="214"/>
      <c r="G23" s="215">
        <v>0.16666</v>
      </c>
      <c r="H23" s="216">
        <f t="shared" si="4"/>
        <v>2093.0983333333334</v>
      </c>
      <c r="I23" s="217">
        <f t="shared" si="5"/>
        <v>40.25</v>
      </c>
      <c r="J23" s="218">
        <v>0</v>
      </c>
      <c r="K23" s="219">
        <v>40.25</v>
      </c>
      <c r="L23" s="171"/>
      <c r="M23" s="169"/>
    </row>
    <row r="24" spans="1:13" s="125" customFormat="1" ht="16.2" thickBot="1" x14ac:dyDescent="0.3">
      <c r="A24" s="169"/>
      <c r="B24" s="145"/>
      <c r="C24" s="177"/>
      <c r="D24" s="220"/>
      <c r="E24" s="221" t="s">
        <v>38</v>
      </c>
      <c r="F24" s="221"/>
      <c r="G24" s="222">
        <f>SUBTOTAL(9,G18:G23)</f>
        <v>0.99996000000000007</v>
      </c>
      <c r="H24" s="223">
        <v>12558.59</v>
      </c>
      <c r="I24" s="224">
        <f>SUM(I18:I23)</f>
        <v>241.5</v>
      </c>
      <c r="J24" s="225">
        <v>0</v>
      </c>
      <c r="K24" s="223">
        <f t="shared" ref="K24" si="6">SUM(K18:K23)</f>
        <v>241.5</v>
      </c>
      <c r="L24" s="171"/>
      <c r="M24" s="169"/>
    </row>
    <row r="25" spans="1:13" s="125" customFormat="1" ht="15.6" x14ac:dyDescent="0.25">
      <c r="A25" s="169"/>
      <c r="B25" s="145">
        <v>6908</v>
      </c>
      <c r="C25" s="170"/>
      <c r="D25" s="206" t="s">
        <v>36</v>
      </c>
      <c r="E25" s="207" t="s">
        <v>57</v>
      </c>
      <c r="F25" s="207"/>
      <c r="G25" s="208">
        <v>0.16666</v>
      </c>
      <c r="H25" s="209">
        <f t="shared" ref="H25:H30" si="7">G25/$G$31*$H$31</f>
        <v>3020.2349999999997</v>
      </c>
      <c r="I25" s="210">
        <f t="shared" ref="I25:I30" si="8">ROUND(H25/52,2)</f>
        <v>58.08</v>
      </c>
      <c r="J25" s="211">
        <v>0</v>
      </c>
      <c r="K25" s="212">
        <v>58.08</v>
      </c>
      <c r="L25" s="171"/>
      <c r="M25" s="169"/>
    </row>
    <row r="26" spans="1:13" s="125" customFormat="1" ht="15.6" x14ac:dyDescent="0.25">
      <c r="A26" s="169"/>
      <c r="B26" s="145">
        <v>57230</v>
      </c>
      <c r="C26" s="170"/>
      <c r="D26" s="169" t="s">
        <v>36</v>
      </c>
      <c r="E26" s="171" t="s">
        <v>57</v>
      </c>
      <c r="F26" s="171"/>
      <c r="G26" s="172">
        <v>0.16666</v>
      </c>
      <c r="H26" s="173">
        <f t="shared" si="7"/>
        <v>3020.2349999999997</v>
      </c>
      <c r="I26" s="174">
        <f t="shared" si="8"/>
        <v>58.08</v>
      </c>
      <c r="J26" s="175">
        <v>0</v>
      </c>
      <c r="K26" s="176">
        <v>58.08</v>
      </c>
      <c r="L26" s="171"/>
      <c r="M26" s="169"/>
    </row>
    <row r="27" spans="1:13" s="125" customFormat="1" ht="15.6" x14ac:dyDescent="0.25">
      <c r="A27" s="169"/>
      <c r="B27" s="145">
        <v>59898</v>
      </c>
      <c r="C27" s="170"/>
      <c r="D27" s="169" t="s">
        <v>40</v>
      </c>
      <c r="E27" s="171" t="s">
        <v>57</v>
      </c>
      <c r="F27" s="171"/>
      <c r="G27" s="172">
        <v>0.16666</v>
      </c>
      <c r="H27" s="173">
        <f t="shared" si="7"/>
        <v>3020.2349999999997</v>
      </c>
      <c r="I27" s="174">
        <f t="shared" si="8"/>
        <v>58.08</v>
      </c>
      <c r="J27" s="175">
        <v>0</v>
      </c>
      <c r="K27" s="176">
        <v>58.08</v>
      </c>
      <c r="L27" s="171"/>
      <c r="M27" s="169"/>
    </row>
    <row r="28" spans="1:13" s="125" customFormat="1" ht="15.6" x14ac:dyDescent="0.25">
      <c r="A28" s="169"/>
      <c r="B28" s="145">
        <v>72078</v>
      </c>
      <c r="C28" s="170"/>
      <c r="D28" s="169" t="s">
        <v>40</v>
      </c>
      <c r="E28" s="171" t="s">
        <v>57</v>
      </c>
      <c r="F28" s="171"/>
      <c r="G28" s="172">
        <v>0.16666</v>
      </c>
      <c r="H28" s="173">
        <f t="shared" si="7"/>
        <v>3020.2349999999997</v>
      </c>
      <c r="I28" s="174">
        <f t="shared" si="8"/>
        <v>58.08</v>
      </c>
      <c r="J28" s="175">
        <v>0</v>
      </c>
      <c r="K28" s="176">
        <v>58.08</v>
      </c>
      <c r="L28" s="171"/>
      <c r="M28" s="169"/>
    </row>
    <row r="29" spans="1:13" s="125" customFormat="1" ht="15.6" x14ac:dyDescent="0.25">
      <c r="A29" s="169"/>
      <c r="B29" s="145">
        <v>74550</v>
      </c>
      <c r="C29" s="170"/>
      <c r="D29" s="169" t="s">
        <v>36</v>
      </c>
      <c r="E29" s="171" t="s">
        <v>57</v>
      </c>
      <c r="F29" s="171"/>
      <c r="G29" s="172">
        <v>0.16666</v>
      </c>
      <c r="H29" s="173">
        <f t="shared" si="7"/>
        <v>3020.2349999999997</v>
      </c>
      <c r="I29" s="174">
        <f t="shared" si="8"/>
        <v>58.08</v>
      </c>
      <c r="J29" s="175">
        <v>0</v>
      </c>
      <c r="K29" s="176">
        <v>58.08</v>
      </c>
      <c r="L29" s="171"/>
      <c r="M29" s="169"/>
    </row>
    <row r="30" spans="1:13" s="125" customFormat="1" ht="15.6" x14ac:dyDescent="0.25">
      <c r="A30" s="169"/>
      <c r="B30" s="145">
        <v>99108</v>
      </c>
      <c r="C30" s="170"/>
      <c r="D30" s="213" t="s">
        <v>36</v>
      </c>
      <c r="E30" s="214" t="s">
        <v>57</v>
      </c>
      <c r="F30" s="214"/>
      <c r="G30" s="215">
        <v>0.16666</v>
      </c>
      <c r="H30" s="216">
        <f t="shared" si="7"/>
        <v>3020.2349999999997</v>
      </c>
      <c r="I30" s="217">
        <f t="shared" si="8"/>
        <v>58.08</v>
      </c>
      <c r="J30" s="218">
        <v>0</v>
      </c>
      <c r="K30" s="219">
        <v>58.08</v>
      </c>
      <c r="L30" s="171"/>
      <c r="M30" s="169"/>
    </row>
    <row r="31" spans="1:13" s="125" customFormat="1" ht="16.2" thickBot="1" x14ac:dyDescent="0.3">
      <c r="A31" s="169"/>
      <c r="B31" s="145"/>
      <c r="C31" s="177"/>
      <c r="D31" s="220"/>
      <c r="E31" s="221" t="s">
        <v>38</v>
      </c>
      <c r="F31" s="221"/>
      <c r="G31" s="222">
        <f>SUBTOTAL(9,G25:G30)</f>
        <v>0.99996000000000007</v>
      </c>
      <c r="H31" s="223">
        <v>18121.41</v>
      </c>
      <c r="I31" s="224">
        <f>SUM(I25:I30)</f>
        <v>348.47999999999996</v>
      </c>
      <c r="J31" s="225">
        <v>0</v>
      </c>
      <c r="K31" s="223">
        <f t="shared" ref="K31" si="9">SUM(K25:K30)</f>
        <v>348.47999999999996</v>
      </c>
      <c r="L31" s="171"/>
      <c r="M31" s="169"/>
    </row>
    <row r="32" spans="1:13" s="125" customFormat="1" ht="15.6" x14ac:dyDescent="0.25">
      <c r="A32" s="169"/>
      <c r="B32" s="145">
        <v>6308</v>
      </c>
      <c r="C32" s="170"/>
      <c r="D32" s="206" t="s">
        <v>40</v>
      </c>
      <c r="E32" s="207" t="s">
        <v>55</v>
      </c>
      <c r="F32" s="207"/>
      <c r="G32" s="208">
        <v>0.111</v>
      </c>
      <c r="H32" s="209">
        <f t="shared" ref="H32:H43" si="10">G32/$G$44*$H$44</f>
        <v>4071.2158199999994</v>
      </c>
      <c r="I32" s="210">
        <f t="shared" ref="I32:I43" si="11">ROUND(H32/52,2)</f>
        <v>78.290000000000006</v>
      </c>
      <c r="J32" s="211">
        <v>0</v>
      </c>
      <c r="K32" s="212">
        <v>78.290000000000006</v>
      </c>
      <c r="L32" s="171"/>
      <c r="M32" s="169"/>
    </row>
    <row r="33" spans="1:13" s="125" customFormat="1" ht="15.6" x14ac:dyDescent="0.25">
      <c r="A33" s="169"/>
      <c r="B33" s="145">
        <v>11690</v>
      </c>
      <c r="C33" s="170"/>
      <c r="D33" s="169" t="s">
        <v>56</v>
      </c>
      <c r="E33" s="171" t="s">
        <v>55</v>
      </c>
      <c r="F33" s="171"/>
      <c r="G33" s="172">
        <v>0.111</v>
      </c>
      <c r="H33" s="173">
        <f t="shared" si="10"/>
        <v>4071.2158199999994</v>
      </c>
      <c r="I33" s="174">
        <f t="shared" si="11"/>
        <v>78.290000000000006</v>
      </c>
      <c r="J33" s="175">
        <v>0</v>
      </c>
      <c r="K33" s="176">
        <v>78.290000000000006</v>
      </c>
      <c r="L33" s="171"/>
      <c r="M33" s="169"/>
    </row>
    <row r="34" spans="1:13" s="125" customFormat="1" ht="15.6" x14ac:dyDescent="0.25">
      <c r="A34" s="169"/>
      <c r="B34" s="145">
        <v>16088</v>
      </c>
      <c r="C34" s="170"/>
      <c r="D34" s="169" t="s">
        <v>40</v>
      </c>
      <c r="E34" s="171" t="s">
        <v>55</v>
      </c>
      <c r="F34" s="171"/>
      <c r="G34" s="172">
        <v>0.111</v>
      </c>
      <c r="H34" s="173">
        <f t="shared" si="10"/>
        <v>4071.2158199999994</v>
      </c>
      <c r="I34" s="174">
        <f t="shared" si="11"/>
        <v>78.290000000000006</v>
      </c>
      <c r="J34" s="175">
        <v>0</v>
      </c>
      <c r="K34" s="176">
        <v>78.290000000000006</v>
      </c>
      <c r="L34" s="171"/>
      <c r="M34" s="169"/>
    </row>
    <row r="35" spans="1:13" s="125" customFormat="1" ht="15.6" x14ac:dyDescent="0.25">
      <c r="A35" s="169"/>
      <c r="B35" s="145">
        <v>45357</v>
      </c>
      <c r="C35" s="170"/>
      <c r="D35" s="169" t="s">
        <v>36</v>
      </c>
      <c r="E35" s="171" t="s">
        <v>55</v>
      </c>
      <c r="F35" s="171"/>
      <c r="G35" s="172">
        <v>7.3999999999999996E-2</v>
      </c>
      <c r="H35" s="173">
        <f t="shared" si="10"/>
        <v>2714.1438799999996</v>
      </c>
      <c r="I35" s="174">
        <f t="shared" si="11"/>
        <v>52.2</v>
      </c>
      <c r="J35" s="175">
        <v>-1.0000000000005116E-2</v>
      </c>
      <c r="K35" s="176">
        <v>52.19</v>
      </c>
      <c r="L35" s="171"/>
      <c r="M35" s="169"/>
    </row>
    <row r="36" spans="1:13" s="125" customFormat="1" ht="15.6" x14ac:dyDescent="0.25">
      <c r="A36" s="169"/>
      <c r="B36" s="145">
        <v>50625</v>
      </c>
      <c r="C36" s="170"/>
      <c r="D36" s="169" t="s">
        <v>40</v>
      </c>
      <c r="E36" s="171" t="s">
        <v>55</v>
      </c>
      <c r="F36" s="171"/>
      <c r="G36" s="172">
        <v>7.3999999999999996E-2</v>
      </c>
      <c r="H36" s="173">
        <f t="shared" si="10"/>
        <v>2714.1438799999996</v>
      </c>
      <c r="I36" s="174">
        <f t="shared" si="11"/>
        <v>52.2</v>
      </c>
      <c r="J36" s="175">
        <v>-1.0000000000005116E-2</v>
      </c>
      <c r="K36" s="176">
        <v>52.19</v>
      </c>
      <c r="L36" s="171"/>
      <c r="M36" s="169"/>
    </row>
    <row r="37" spans="1:13" s="125" customFormat="1" ht="15.6" x14ac:dyDescent="0.25">
      <c r="A37" s="169"/>
      <c r="B37" s="145">
        <v>53061</v>
      </c>
      <c r="C37" s="170"/>
      <c r="D37" s="169" t="s">
        <v>36</v>
      </c>
      <c r="E37" s="171" t="s">
        <v>55</v>
      </c>
      <c r="F37" s="171"/>
      <c r="G37" s="172">
        <v>7.3999999999999996E-2</v>
      </c>
      <c r="H37" s="173">
        <f t="shared" si="10"/>
        <v>2714.1438799999996</v>
      </c>
      <c r="I37" s="174">
        <f t="shared" si="11"/>
        <v>52.2</v>
      </c>
      <c r="J37" s="175">
        <v>-1.0000000000005116E-2</v>
      </c>
      <c r="K37" s="176">
        <v>52.19</v>
      </c>
      <c r="L37" s="171"/>
      <c r="M37" s="169"/>
    </row>
    <row r="38" spans="1:13" s="125" customFormat="1" ht="15.6" x14ac:dyDescent="0.25">
      <c r="A38" s="169"/>
      <c r="B38" s="145">
        <v>53959</v>
      </c>
      <c r="C38" s="170"/>
      <c r="D38" s="169" t="s">
        <v>36</v>
      </c>
      <c r="E38" s="171" t="s">
        <v>55</v>
      </c>
      <c r="F38" s="171"/>
      <c r="G38" s="172">
        <v>7.3999999999999996E-2</v>
      </c>
      <c r="H38" s="173">
        <f t="shared" si="10"/>
        <v>2714.1438799999996</v>
      </c>
      <c r="I38" s="174">
        <f t="shared" si="11"/>
        <v>52.2</v>
      </c>
      <c r="J38" s="175">
        <v>-1.0000000000005116E-2</v>
      </c>
      <c r="K38" s="176">
        <v>52.19</v>
      </c>
      <c r="L38" s="171"/>
      <c r="M38" s="169"/>
    </row>
    <row r="39" spans="1:13" s="125" customFormat="1" ht="15.6" x14ac:dyDescent="0.25">
      <c r="A39" s="169"/>
      <c r="B39" s="145">
        <v>55384</v>
      </c>
      <c r="C39" s="170"/>
      <c r="D39" s="169" t="s">
        <v>40</v>
      </c>
      <c r="E39" s="171" t="s">
        <v>55</v>
      </c>
      <c r="F39" s="171"/>
      <c r="G39" s="172">
        <v>5.6000000000000001E-2</v>
      </c>
      <c r="H39" s="173">
        <f t="shared" si="10"/>
        <v>2053.9467199999999</v>
      </c>
      <c r="I39" s="174">
        <f t="shared" si="11"/>
        <v>39.5</v>
      </c>
      <c r="J39" s="175">
        <v>0</v>
      </c>
      <c r="K39" s="176">
        <v>39.5</v>
      </c>
      <c r="L39" s="171"/>
      <c r="M39" s="169"/>
    </row>
    <row r="40" spans="1:13" s="125" customFormat="1" ht="15.6" x14ac:dyDescent="0.25">
      <c r="A40" s="169"/>
      <c r="B40" s="145">
        <v>62418</v>
      </c>
      <c r="C40" s="170"/>
      <c r="D40" s="169" t="s">
        <v>40</v>
      </c>
      <c r="E40" s="171" t="s">
        <v>55</v>
      </c>
      <c r="F40" s="171"/>
      <c r="G40" s="172">
        <v>0.111</v>
      </c>
      <c r="H40" s="173">
        <f t="shared" si="10"/>
        <v>4071.2158199999994</v>
      </c>
      <c r="I40" s="174">
        <f t="shared" si="11"/>
        <v>78.290000000000006</v>
      </c>
      <c r="J40" s="175">
        <v>0</v>
      </c>
      <c r="K40" s="176">
        <v>78.290000000000006</v>
      </c>
      <c r="L40" s="171"/>
      <c r="M40" s="169"/>
    </row>
    <row r="41" spans="1:13" s="125" customFormat="1" ht="15.6" x14ac:dyDescent="0.25">
      <c r="A41" s="169"/>
      <c r="B41" s="145">
        <v>66585</v>
      </c>
      <c r="C41" s="170"/>
      <c r="D41" s="169" t="s">
        <v>40</v>
      </c>
      <c r="E41" s="171" t="s">
        <v>55</v>
      </c>
      <c r="F41" s="171"/>
      <c r="G41" s="172">
        <v>7.3999999999999996E-2</v>
      </c>
      <c r="H41" s="173">
        <f t="shared" si="10"/>
        <v>2714.1438799999996</v>
      </c>
      <c r="I41" s="174">
        <f t="shared" si="11"/>
        <v>52.2</v>
      </c>
      <c r="J41" s="175">
        <v>-1.0000000000005116E-2</v>
      </c>
      <c r="K41" s="176">
        <v>52.19</v>
      </c>
      <c r="L41" s="171"/>
      <c r="M41" s="169"/>
    </row>
    <row r="42" spans="1:13" s="125" customFormat="1" ht="15.6" x14ac:dyDescent="0.25">
      <c r="A42" s="169"/>
      <c r="B42" s="145">
        <v>67017</v>
      </c>
      <c r="C42" s="170"/>
      <c r="D42" s="169" t="s">
        <v>40</v>
      </c>
      <c r="E42" s="171" t="s">
        <v>55</v>
      </c>
      <c r="F42" s="171"/>
      <c r="G42" s="172">
        <v>7.3999999999999996E-2</v>
      </c>
      <c r="H42" s="173">
        <f t="shared" si="10"/>
        <v>2714.1438799999996</v>
      </c>
      <c r="I42" s="174">
        <f t="shared" si="11"/>
        <v>52.2</v>
      </c>
      <c r="J42" s="175">
        <v>-1.0000000000005116E-2</v>
      </c>
      <c r="K42" s="176">
        <v>52.19</v>
      </c>
      <c r="L42" s="171"/>
      <c r="M42" s="169"/>
    </row>
    <row r="43" spans="1:13" s="125" customFormat="1" ht="15.6" x14ac:dyDescent="0.25">
      <c r="A43" s="169"/>
      <c r="B43" s="145">
        <v>86705</v>
      </c>
      <c r="C43" s="170"/>
      <c r="D43" s="213" t="s">
        <v>40</v>
      </c>
      <c r="E43" s="214" t="s">
        <v>55</v>
      </c>
      <c r="F43" s="214"/>
      <c r="G43" s="215">
        <v>5.6000000000000001E-2</v>
      </c>
      <c r="H43" s="216">
        <f t="shared" si="10"/>
        <v>2053.9467199999999</v>
      </c>
      <c r="I43" s="217">
        <f t="shared" si="11"/>
        <v>39.5</v>
      </c>
      <c r="J43" s="218">
        <v>0</v>
      </c>
      <c r="K43" s="219">
        <v>39.5</v>
      </c>
      <c r="L43" s="171"/>
      <c r="M43" s="169"/>
    </row>
    <row r="44" spans="1:13" s="125" customFormat="1" ht="16.2" thickBot="1" x14ac:dyDescent="0.3">
      <c r="A44" s="169"/>
      <c r="B44" s="145"/>
      <c r="C44" s="177"/>
      <c r="D44" s="220"/>
      <c r="E44" s="221" t="s">
        <v>38</v>
      </c>
      <c r="F44" s="221"/>
      <c r="G44" s="222">
        <f>SUBTOTAL(9,G32:G43)</f>
        <v>1</v>
      </c>
      <c r="H44" s="223">
        <v>36677.619999999995</v>
      </c>
      <c r="I44" s="224">
        <f>SUM(I32:I43)</f>
        <v>705.36</v>
      </c>
      <c r="J44" s="225">
        <v>-6.0000000000030695E-2</v>
      </c>
      <c r="K44" s="223">
        <f t="shared" ref="K44" si="12">SUM(K32:K43)</f>
        <v>705.3</v>
      </c>
      <c r="L44" s="171"/>
      <c r="M44" s="169"/>
    </row>
    <row r="45" spans="1:13" s="125" customFormat="1" ht="15.6" x14ac:dyDescent="0.25">
      <c r="A45" s="169"/>
      <c r="B45" s="145">
        <v>44752</v>
      </c>
      <c r="C45" s="170"/>
      <c r="D45" s="206" t="s">
        <v>40</v>
      </c>
      <c r="E45" s="207" t="s">
        <v>54</v>
      </c>
      <c r="F45" s="207"/>
      <c r="G45" s="208">
        <v>0.16666</v>
      </c>
      <c r="H45" s="209">
        <f t="shared" ref="H45:H50" si="13">G45/$G$51*$H$51</f>
        <v>3352.5433333333335</v>
      </c>
      <c r="I45" s="210">
        <f t="shared" ref="I45:I50" si="14">ROUND(H45/52,2)</f>
        <v>64.47</v>
      </c>
      <c r="J45" s="211">
        <v>0</v>
      </c>
      <c r="K45" s="212">
        <v>64.47</v>
      </c>
      <c r="L45" s="171"/>
      <c r="M45" s="169"/>
    </row>
    <row r="46" spans="1:13" s="125" customFormat="1" ht="15.6" x14ac:dyDescent="0.25">
      <c r="A46" s="169"/>
      <c r="B46" s="145">
        <v>64818</v>
      </c>
      <c r="C46" s="170"/>
      <c r="D46" s="169" t="s">
        <v>36</v>
      </c>
      <c r="E46" s="171" t="s">
        <v>54</v>
      </c>
      <c r="F46" s="171"/>
      <c r="G46" s="172">
        <v>0.16666</v>
      </c>
      <c r="H46" s="173">
        <f t="shared" si="13"/>
        <v>3352.5433333333335</v>
      </c>
      <c r="I46" s="174">
        <f t="shared" si="14"/>
        <v>64.47</v>
      </c>
      <c r="J46" s="175">
        <v>0</v>
      </c>
      <c r="K46" s="176">
        <v>64.47</v>
      </c>
      <c r="L46" s="171"/>
      <c r="M46" s="169"/>
    </row>
    <row r="47" spans="1:13" s="125" customFormat="1" ht="15.6" x14ac:dyDescent="0.25">
      <c r="A47" s="169"/>
      <c r="B47" s="145">
        <v>65667</v>
      </c>
      <c r="C47" s="170"/>
      <c r="D47" s="169" t="s">
        <v>40</v>
      </c>
      <c r="E47" s="171" t="s">
        <v>54</v>
      </c>
      <c r="F47" s="171"/>
      <c r="G47" s="172">
        <v>0.16666</v>
      </c>
      <c r="H47" s="173">
        <f t="shared" si="13"/>
        <v>3352.5433333333335</v>
      </c>
      <c r="I47" s="174">
        <f t="shared" si="14"/>
        <v>64.47</v>
      </c>
      <c r="J47" s="175">
        <v>0</v>
      </c>
      <c r="K47" s="176">
        <v>64.47</v>
      </c>
      <c r="L47" s="171"/>
      <c r="M47" s="169"/>
    </row>
    <row r="48" spans="1:13" s="125" customFormat="1" ht="15.6" x14ac:dyDescent="0.25">
      <c r="A48" s="169"/>
      <c r="B48" s="145">
        <v>87966</v>
      </c>
      <c r="C48" s="170"/>
      <c r="D48" s="169" t="s">
        <v>40</v>
      </c>
      <c r="E48" s="171" t="s">
        <v>54</v>
      </c>
      <c r="F48" s="171"/>
      <c r="G48" s="172">
        <v>0.16666</v>
      </c>
      <c r="H48" s="173">
        <f t="shared" si="13"/>
        <v>3352.5433333333335</v>
      </c>
      <c r="I48" s="174">
        <f t="shared" si="14"/>
        <v>64.47</v>
      </c>
      <c r="J48" s="175">
        <v>0</v>
      </c>
      <c r="K48" s="176">
        <v>64.47</v>
      </c>
      <c r="L48" s="171"/>
      <c r="M48" s="169"/>
    </row>
    <row r="49" spans="1:13" s="125" customFormat="1" ht="15.6" x14ac:dyDescent="0.25">
      <c r="A49" s="169"/>
      <c r="B49" s="145">
        <v>88952</v>
      </c>
      <c r="C49" s="170"/>
      <c r="D49" s="169" t="s">
        <v>36</v>
      </c>
      <c r="E49" s="171" t="s">
        <v>54</v>
      </c>
      <c r="F49" s="171"/>
      <c r="G49" s="172">
        <v>0.16666</v>
      </c>
      <c r="H49" s="173">
        <f t="shared" si="13"/>
        <v>3352.5433333333335</v>
      </c>
      <c r="I49" s="174">
        <f t="shared" si="14"/>
        <v>64.47</v>
      </c>
      <c r="J49" s="175">
        <v>0</v>
      </c>
      <c r="K49" s="176">
        <v>64.47</v>
      </c>
      <c r="L49" s="171"/>
      <c r="M49" s="169"/>
    </row>
    <row r="50" spans="1:13" s="125" customFormat="1" ht="15.6" x14ac:dyDescent="0.25">
      <c r="A50" s="169"/>
      <c r="B50" s="145">
        <v>95631</v>
      </c>
      <c r="C50" s="170"/>
      <c r="D50" s="213" t="s">
        <v>36</v>
      </c>
      <c r="E50" s="214" t="s">
        <v>54</v>
      </c>
      <c r="F50" s="214"/>
      <c r="G50" s="215">
        <v>0.16666</v>
      </c>
      <c r="H50" s="216">
        <f t="shared" si="13"/>
        <v>3352.5433333333335</v>
      </c>
      <c r="I50" s="217">
        <f t="shared" si="14"/>
        <v>64.47</v>
      </c>
      <c r="J50" s="218">
        <v>0</v>
      </c>
      <c r="K50" s="219">
        <v>64.47</v>
      </c>
      <c r="L50" s="171"/>
      <c r="M50" s="169"/>
    </row>
    <row r="51" spans="1:13" s="125" customFormat="1" ht="16.2" thickBot="1" x14ac:dyDescent="0.3">
      <c r="A51" s="169"/>
      <c r="B51" s="145"/>
      <c r="C51" s="177"/>
      <c r="D51" s="220"/>
      <c r="E51" s="221" t="s">
        <v>38</v>
      </c>
      <c r="F51" s="221"/>
      <c r="G51" s="222">
        <f>SUBTOTAL(9,G45:G50)</f>
        <v>0.99996000000000007</v>
      </c>
      <c r="H51" s="223">
        <v>20115.260000000002</v>
      </c>
      <c r="I51" s="224">
        <f>SUM(I45:I50)</f>
        <v>386.82000000000005</v>
      </c>
      <c r="J51" s="225">
        <v>0</v>
      </c>
      <c r="K51" s="223">
        <f t="shared" ref="K51" si="15">SUM(K45:K50)</f>
        <v>386.82000000000005</v>
      </c>
      <c r="L51" s="171"/>
      <c r="M51" s="169"/>
    </row>
    <row r="52" spans="1:13" s="125" customFormat="1" ht="15.6" x14ac:dyDescent="0.25">
      <c r="A52" s="169"/>
      <c r="B52" s="145">
        <v>4325</v>
      </c>
      <c r="C52" s="170"/>
      <c r="D52" s="206" t="s">
        <v>40</v>
      </c>
      <c r="E52" s="207" t="s">
        <v>53</v>
      </c>
      <c r="F52" s="207"/>
      <c r="G52" s="208">
        <v>0.16666</v>
      </c>
      <c r="H52" s="209">
        <f t="shared" ref="H52:H57" si="16">G52/$G$58*$H$58</f>
        <v>2202.7199999999998</v>
      </c>
      <c r="I52" s="210">
        <f t="shared" ref="I52:I57" si="17">ROUND(H52/52,2)</f>
        <v>42.36</v>
      </c>
      <c r="J52" s="211">
        <v>0</v>
      </c>
      <c r="K52" s="212">
        <v>42.36</v>
      </c>
      <c r="L52" s="171"/>
      <c r="M52" s="169"/>
    </row>
    <row r="53" spans="1:13" s="125" customFormat="1" ht="15.6" x14ac:dyDescent="0.25">
      <c r="A53" s="169"/>
      <c r="B53" s="145">
        <v>28177</v>
      </c>
      <c r="C53" s="170"/>
      <c r="D53" s="169" t="s">
        <v>40</v>
      </c>
      <c r="E53" s="171" t="s">
        <v>53</v>
      </c>
      <c r="F53" s="171"/>
      <c r="G53" s="172">
        <v>0.16666</v>
      </c>
      <c r="H53" s="173">
        <f t="shared" si="16"/>
        <v>2202.7199999999998</v>
      </c>
      <c r="I53" s="174">
        <f t="shared" si="17"/>
        <v>42.36</v>
      </c>
      <c r="J53" s="175">
        <v>0</v>
      </c>
      <c r="K53" s="176">
        <v>42.36</v>
      </c>
      <c r="L53" s="171"/>
      <c r="M53" s="169"/>
    </row>
    <row r="54" spans="1:13" s="125" customFormat="1" ht="15.6" x14ac:dyDescent="0.25">
      <c r="A54" s="169"/>
      <c r="B54" s="145">
        <v>64960</v>
      </c>
      <c r="C54" s="170"/>
      <c r="D54" s="169" t="s">
        <v>36</v>
      </c>
      <c r="E54" s="171" t="s">
        <v>53</v>
      </c>
      <c r="F54" s="171"/>
      <c r="G54" s="172">
        <v>0.16666</v>
      </c>
      <c r="H54" s="173">
        <f t="shared" si="16"/>
        <v>2202.7199999999998</v>
      </c>
      <c r="I54" s="174">
        <f t="shared" si="17"/>
        <v>42.36</v>
      </c>
      <c r="J54" s="175">
        <v>0</v>
      </c>
      <c r="K54" s="176">
        <v>42.36</v>
      </c>
      <c r="L54" s="171"/>
      <c r="M54" s="169"/>
    </row>
    <row r="55" spans="1:13" s="125" customFormat="1" ht="15.6" x14ac:dyDescent="0.25">
      <c r="A55" s="169"/>
      <c r="B55" s="145">
        <v>74194</v>
      </c>
      <c r="C55" s="170"/>
      <c r="D55" s="169" t="s">
        <v>40</v>
      </c>
      <c r="E55" s="171" t="s">
        <v>53</v>
      </c>
      <c r="F55" s="171"/>
      <c r="G55" s="172">
        <v>0.16666</v>
      </c>
      <c r="H55" s="173">
        <f t="shared" si="16"/>
        <v>2202.7199999999998</v>
      </c>
      <c r="I55" s="174">
        <f t="shared" si="17"/>
        <v>42.36</v>
      </c>
      <c r="J55" s="175">
        <v>0</v>
      </c>
      <c r="K55" s="176">
        <v>42.36</v>
      </c>
      <c r="L55" s="171"/>
      <c r="M55" s="169"/>
    </row>
    <row r="56" spans="1:13" s="125" customFormat="1" ht="15.6" x14ac:dyDescent="0.25">
      <c r="A56" s="169"/>
      <c r="B56" s="145">
        <v>74735</v>
      </c>
      <c r="C56" s="170"/>
      <c r="D56" s="169" t="s">
        <v>40</v>
      </c>
      <c r="E56" s="171" t="s">
        <v>53</v>
      </c>
      <c r="F56" s="171"/>
      <c r="G56" s="172">
        <v>0.16666</v>
      </c>
      <c r="H56" s="173">
        <f t="shared" si="16"/>
        <v>2202.7199999999998</v>
      </c>
      <c r="I56" s="174">
        <f t="shared" si="17"/>
        <v>42.36</v>
      </c>
      <c r="J56" s="175">
        <v>0</v>
      </c>
      <c r="K56" s="176">
        <v>42.36</v>
      </c>
      <c r="L56" s="171"/>
      <c r="M56" s="169"/>
    </row>
    <row r="57" spans="1:13" s="125" customFormat="1" ht="15.6" x14ac:dyDescent="0.25">
      <c r="A57" s="169"/>
      <c r="B57" s="145">
        <v>87453</v>
      </c>
      <c r="C57" s="170"/>
      <c r="D57" s="213" t="s">
        <v>36</v>
      </c>
      <c r="E57" s="214" t="s">
        <v>53</v>
      </c>
      <c r="F57" s="214"/>
      <c r="G57" s="215">
        <v>0.16666</v>
      </c>
      <c r="H57" s="216">
        <f t="shared" si="16"/>
        <v>2202.7199999999998</v>
      </c>
      <c r="I57" s="217">
        <f t="shared" si="17"/>
        <v>42.36</v>
      </c>
      <c r="J57" s="218">
        <v>0</v>
      </c>
      <c r="K57" s="219">
        <v>42.36</v>
      </c>
      <c r="L57" s="171"/>
      <c r="M57" s="169"/>
    </row>
    <row r="58" spans="1:13" s="125" customFormat="1" ht="16.2" thickBot="1" x14ac:dyDescent="0.3">
      <c r="A58" s="169"/>
      <c r="B58" s="145"/>
      <c r="C58" s="177"/>
      <c r="D58" s="220"/>
      <c r="E58" s="221" t="s">
        <v>38</v>
      </c>
      <c r="F58" s="221"/>
      <c r="G58" s="222">
        <f>SUBTOTAL(9,G52:G57)</f>
        <v>0.99996000000000007</v>
      </c>
      <c r="H58" s="223">
        <v>13216.32</v>
      </c>
      <c r="I58" s="224">
        <f>SUM(I52:I57)</f>
        <v>254.16000000000003</v>
      </c>
      <c r="J58" s="225">
        <v>0</v>
      </c>
      <c r="K58" s="223">
        <f t="shared" ref="K58" si="18">SUM(K52:K57)</f>
        <v>254.16000000000003</v>
      </c>
      <c r="L58" s="171"/>
      <c r="M58" s="169"/>
    </row>
    <row r="59" spans="1:13" s="125" customFormat="1" ht="15.6" x14ac:dyDescent="0.25">
      <c r="A59" s="169"/>
      <c r="B59" s="145">
        <v>143399</v>
      </c>
      <c r="C59" s="170"/>
      <c r="D59" s="206" t="s">
        <v>40</v>
      </c>
      <c r="E59" s="207" t="s">
        <v>52</v>
      </c>
      <c r="F59" s="207"/>
      <c r="G59" s="208">
        <v>5.6000000000000001E-2</v>
      </c>
      <c r="H59" s="209">
        <f t="shared" ref="H59:H70" si="19">G59/$G$71*$H$71</f>
        <v>1411.78072</v>
      </c>
      <c r="I59" s="210">
        <f t="shared" ref="I59:I70" si="20">ROUND(H59/52,2)</f>
        <v>27.15</v>
      </c>
      <c r="J59" s="211">
        <v>0</v>
      </c>
      <c r="K59" s="212">
        <v>27.15</v>
      </c>
      <c r="L59" s="171"/>
      <c r="M59" s="169"/>
    </row>
    <row r="60" spans="1:13" s="125" customFormat="1" ht="15.6" x14ac:dyDescent="0.25">
      <c r="A60" s="169"/>
      <c r="B60" s="145">
        <v>21468</v>
      </c>
      <c r="C60" s="170"/>
      <c r="D60" s="169" t="s">
        <v>40</v>
      </c>
      <c r="E60" s="171" t="s">
        <v>52</v>
      </c>
      <c r="F60" s="171"/>
      <c r="G60" s="172">
        <v>7.3999999999999996E-2</v>
      </c>
      <c r="H60" s="173">
        <f t="shared" si="19"/>
        <v>1865.5673799999997</v>
      </c>
      <c r="I60" s="174">
        <f t="shared" si="20"/>
        <v>35.880000000000003</v>
      </c>
      <c r="J60" s="175">
        <v>0</v>
      </c>
      <c r="K60" s="176">
        <v>35.880000000000003</v>
      </c>
      <c r="L60" s="171"/>
      <c r="M60" s="169"/>
    </row>
    <row r="61" spans="1:13" s="125" customFormat="1" ht="15.6" x14ac:dyDescent="0.25">
      <c r="A61" s="169"/>
      <c r="B61" s="145">
        <v>22799</v>
      </c>
      <c r="C61" s="170"/>
      <c r="D61" s="169" t="s">
        <v>40</v>
      </c>
      <c r="E61" s="171" t="s">
        <v>52</v>
      </c>
      <c r="F61" s="171"/>
      <c r="G61" s="172">
        <v>7.3999999999999996E-2</v>
      </c>
      <c r="H61" s="173">
        <f t="shared" si="19"/>
        <v>1865.5673799999997</v>
      </c>
      <c r="I61" s="174">
        <f t="shared" si="20"/>
        <v>35.880000000000003</v>
      </c>
      <c r="J61" s="175">
        <v>0</v>
      </c>
      <c r="K61" s="176">
        <v>35.880000000000003</v>
      </c>
      <c r="L61" s="171"/>
      <c r="M61" s="169"/>
    </row>
    <row r="62" spans="1:13" s="125" customFormat="1" ht="15.6" x14ac:dyDescent="0.25">
      <c r="A62" s="169"/>
      <c r="B62" s="145">
        <v>24627</v>
      </c>
      <c r="C62" s="170"/>
      <c r="D62" s="169" t="s">
        <v>40</v>
      </c>
      <c r="E62" s="171" t="s">
        <v>52</v>
      </c>
      <c r="F62" s="171"/>
      <c r="G62" s="172">
        <v>0.111</v>
      </c>
      <c r="H62" s="173">
        <f t="shared" si="19"/>
        <v>2798.3510699999997</v>
      </c>
      <c r="I62" s="174">
        <f t="shared" si="20"/>
        <v>53.81</v>
      </c>
      <c r="J62" s="175">
        <v>9.9999999999980105E-3</v>
      </c>
      <c r="K62" s="176">
        <v>53.82</v>
      </c>
      <c r="L62" s="171"/>
      <c r="M62" s="169"/>
    </row>
    <row r="63" spans="1:13" s="125" customFormat="1" ht="15.6" x14ac:dyDescent="0.25">
      <c r="A63" s="169"/>
      <c r="B63" s="145">
        <v>39792</v>
      </c>
      <c r="C63" s="170"/>
      <c r="D63" s="169" t="s">
        <v>36</v>
      </c>
      <c r="E63" s="171" t="s">
        <v>52</v>
      </c>
      <c r="F63" s="171"/>
      <c r="G63" s="172">
        <v>7.3999999999999996E-2</v>
      </c>
      <c r="H63" s="173">
        <f t="shared" si="19"/>
        <v>1865.5673799999997</v>
      </c>
      <c r="I63" s="174">
        <f t="shared" si="20"/>
        <v>35.880000000000003</v>
      </c>
      <c r="J63" s="175">
        <v>0</v>
      </c>
      <c r="K63" s="176">
        <v>35.880000000000003</v>
      </c>
      <c r="L63" s="171"/>
      <c r="M63" s="169"/>
    </row>
    <row r="64" spans="1:13" s="125" customFormat="1" ht="15.6" x14ac:dyDescent="0.25">
      <c r="A64" s="169"/>
      <c r="B64" s="145">
        <v>42069</v>
      </c>
      <c r="C64" s="170"/>
      <c r="D64" s="169" t="s">
        <v>36</v>
      </c>
      <c r="E64" s="171" t="s">
        <v>52</v>
      </c>
      <c r="F64" s="171"/>
      <c r="G64" s="172">
        <v>7.3999999999999996E-2</v>
      </c>
      <c r="H64" s="173">
        <f t="shared" si="19"/>
        <v>1865.5673799999997</v>
      </c>
      <c r="I64" s="174">
        <f t="shared" si="20"/>
        <v>35.880000000000003</v>
      </c>
      <c r="J64" s="175">
        <v>0</v>
      </c>
      <c r="K64" s="176">
        <v>35.880000000000003</v>
      </c>
      <c r="L64" s="171"/>
      <c r="M64" s="169"/>
    </row>
    <row r="65" spans="1:13" s="125" customFormat="1" ht="15.6" x14ac:dyDescent="0.25">
      <c r="A65" s="169"/>
      <c r="B65" s="145">
        <v>58933</v>
      </c>
      <c r="C65" s="170"/>
      <c r="D65" s="169" t="s">
        <v>40</v>
      </c>
      <c r="E65" s="171" t="s">
        <v>52</v>
      </c>
      <c r="F65" s="171"/>
      <c r="G65" s="172">
        <v>7.3999999999999996E-2</v>
      </c>
      <c r="H65" s="173">
        <f t="shared" si="19"/>
        <v>1865.5673799999997</v>
      </c>
      <c r="I65" s="174">
        <f t="shared" si="20"/>
        <v>35.880000000000003</v>
      </c>
      <c r="J65" s="175">
        <v>0</v>
      </c>
      <c r="K65" s="176">
        <v>35.880000000000003</v>
      </c>
      <c r="L65" s="171"/>
      <c r="M65" s="169"/>
    </row>
    <row r="66" spans="1:13" s="125" customFormat="1" ht="15.6" x14ac:dyDescent="0.25">
      <c r="A66" s="169"/>
      <c r="B66" s="145">
        <v>65927</v>
      </c>
      <c r="C66" s="170"/>
      <c r="D66" s="169" t="s">
        <v>40</v>
      </c>
      <c r="E66" s="171" t="s">
        <v>52</v>
      </c>
      <c r="F66" s="171"/>
      <c r="G66" s="172">
        <v>0.111</v>
      </c>
      <c r="H66" s="173">
        <f t="shared" si="19"/>
        <v>2798.3510699999997</v>
      </c>
      <c r="I66" s="174">
        <f t="shared" si="20"/>
        <v>53.81</v>
      </c>
      <c r="J66" s="175">
        <v>9.9999999999980105E-3</v>
      </c>
      <c r="K66" s="176">
        <v>53.82</v>
      </c>
      <c r="L66" s="171"/>
      <c r="M66" s="169"/>
    </row>
    <row r="67" spans="1:13" s="125" customFormat="1" ht="15.6" x14ac:dyDescent="0.25">
      <c r="A67" s="169"/>
      <c r="B67" s="145">
        <v>75016</v>
      </c>
      <c r="C67" s="170"/>
      <c r="D67" s="169" t="s">
        <v>36</v>
      </c>
      <c r="E67" s="171" t="s">
        <v>52</v>
      </c>
      <c r="F67" s="171"/>
      <c r="G67" s="172">
        <v>5.6000000000000001E-2</v>
      </c>
      <c r="H67" s="173">
        <f t="shared" si="19"/>
        <v>1411.78072</v>
      </c>
      <c r="I67" s="174">
        <f t="shared" si="20"/>
        <v>27.15</v>
      </c>
      <c r="J67" s="175">
        <v>-27.15</v>
      </c>
      <c r="K67" s="176">
        <v>0</v>
      </c>
      <c r="L67" s="171" t="s">
        <v>488</v>
      </c>
      <c r="M67" s="169"/>
    </row>
    <row r="68" spans="1:13" s="125" customFormat="1" ht="15.6" x14ac:dyDescent="0.25">
      <c r="A68" s="169"/>
      <c r="B68" s="145">
        <v>78445</v>
      </c>
      <c r="C68" s="170"/>
      <c r="D68" s="169" t="s">
        <v>36</v>
      </c>
      <c r="E68" s="171" t="s">
        <v>52</v>
      </c>
      <c r="F68" s="171"/>
      <c r="G68" s="172">
        <v>7.3999999999999996E-2</v>
      </c>
      <c r="H68" s="173">
        <f t="shared" si="19"/>
        <v>1865.5673799999997</v>
      </c>
      <c r="I68" s="174">
        <f t="shared" si="20"/>
        <v>35.880000000000003</v>
      </c>
      <c r="J68" s="175">
        <v>0</v>
      </c>
      <c r="K68" s="176">
        <v>35.880000000000003</v>
      </c>
      <c r="L68" s="171"/>
      <c r="M68" s="169"/>
    </row>
    <row r="69" spans="1:13" s="125" customFormat="1" ht="15.6" x14ac:dyDescent="0.25">
      <c r="A69" s="169"/>
      <c r="B69" s="145">
        <v>87015</v>
      </c>
      <c r="C69" s="170"/>
      <c r="D69" s="169" t="s">
        <v>36</v>
      </c>
      <c r="E69" s="171" t="s">
        <v>52</v>
      </c>
      <c r="F69" s="171"/>
      <c r="G69" s="172">
        <v>0.111</v>
      </c>
      <c r="H69" s="173">
        <f t="shared" si="19"/>
        <v>2798.3510699999997</v>
      </c>
      <c r="I69" s="174">
        <f t="shared" si="20"/>
        <v>53.81</v>
      </c>
      <c r="J69" s="175">
        <v>9.9999999999980105E-3</v>
      </c>
      <c r="K69" s="176">
        <v>53.82</v>
      </c>
      <c r="L69" s="171"/>
      <c r="M69" s="169"/>
    </row>
    <row r="70" spans="1:13" s="125" customFormat="1" ht="15.6" x14ac:dyDescent="0.25">
      <c r="A70" s="169"/>
      <c r="B70" s="145">
        <v>87101</v>
      </c>
      <c r="C70" s="170"/>
      <c r="D70" s="213" t="s">
        <v>40</v>
      </c>
      <c r="E70" s="214" t="s">
        <v>52</v>
      </c>
      <c r="F70" s="214"/>
      <c r="G70" s="215">
        <v>0.111</v>
      </c>
      <c r="H70" s="216">
        <f t="shared" si="19"/>
        <v>2798.3510699999997</v>
      </c>
      <c r="I70" s="217">
        <f t="shared" si="20"/>
        <v>53.81</v>
      </c>
      <c r="J70" s="218">
        <v>9.9999999999980105E-3</v>
      </c>
      <c r="K70" s="219">
        <v>53.82</v>
      </c>
      <c r="L70" s="171"/>
      <c r="M70" s="169"/>
    </row>
    <row r="71" spans="1:13" s="125" customFormat="1" ht="16.2" thickBot="1" x14ac:dyDescent="0.3">
      <c r="A71" s="169"/>
      <c r="B71" s="145"/>
      <c r="C71" s="177"/>
      <c r="D71" s="220"/>
      <c r="E71" s="221" t="s">
        <v>38</v>
      </c>
      <c r="F71" s="221"/>
      <c r="G71" s="222">
        <f>SUBTOTAL(9,G59:G70)</f>
        <v>1</v>
      </c>
      <c r="H71" s="223">
        <v>25210.37</v>
      </c>
      <c r="I71" s="224">
        <f>SUM(I59:I70)</f>
        <v>484.82</v>
      </c>
      <c r="J71" s="225">
        <v>-27.110000000000007</v>
      </c>
      <c r="K71" s="223">
        <f>SUM(K59:K70)</f>
        <v>457.71</v>
      </c>
      <c r="L71" s="171"/>
      <c r="M71" s="169"/>
    </row>
    <row r="72" spans="1:13" s="125" customFormat="1" ht="15.6" x14ac:dyDescent="0.25">
      <c r="A72" s="169"/>
      <c r="B72" s="145">
        <v>38330</v>
      </c>
      <c r="C72" s="170"/>
      <c r="D72" s="206" t="s">
        <v>40</v>
      </c>
      <c r="E72" s="207" t="s">
        <v>51</v>
      </c>
      <c r="F72" s="207"/>
      <c r="G72" s="208">
        <v>7.3999999999999996E-2</v>
      </c>
      <c r="H72" s="209">
        <f t="shared" ref="H72:H83" si="21">G72/$G$84*$H$84</f>
        <v>2511.7930999999994</v>
      </c>
      <c r="I72" s="210">
        <f t="shared" ref="I72:I83" si="22">ROUND(H72/52,2)</f>
        <v>48.3</v>
      </c>
      <c r="J72" s="211">
        <v>1.0000000000005116E-2</v>
      </c>
      <c r="K72" s="212">
        <v>48.31</v>
      </c>
      <c r="L72" s="171"/>
      <c r="M72" s="169"/>
    </row>
    <row r="73" spans="1:13" s="125" customFormat="1" ht="15.6" x14ac:dyDescent="0.25">
      <c r="A73" s="169"/>
      <c r="B73" s="145">
        <v>42690</v>
      </c>
      <c r="C73" s="170"/>
      <c r="D73" s="169" t="s">
        <v>40</v>
      </c>
      <c r="E73" s="171" t="s">
        <v>51</v>
      </c>
      <c r="F73" s="171"/>
      <c r="G73" s="172">
        <v>7.3999999999999996E-2</v>
      </c>
      <c r="H73" s="173">
        <f t="shared" si="21"/>
        <v>2511.7930999999994</v>
      </c>
      <c r="I73" s="174">
        <f t="shared" si="22"/>
        <v>48.3</v>
      </c>
      <c r="J73" s="175">
        <v>1.0000000000005116E-2</v>
      </c>
      <c r="K73" s="176">
        <v>48.31</v>
      </c>
      <c r="L73" s="171"/>
      <c r="M73" s="169"/>
    </row>
    <row r="74" spans="1:13" s="125" customFormat="1" ht="15.6" x14ac:dyDescent="0.25">
      <c r="A74" s="169"/>
      <c r="B74" s="145">
        <v>43138</v>
      </c>
      <c r="C74" s="170"/>
      <c r="D74" s="169" t="s">
        <v>36</v>
      </c>
      <c r="E74" s="171" t="s">
        <v>51</v>
      </c>
      <c r="F74" s="171"/>
      <c r="G74" s="172">
        <v>7.3999999999999996E-2</v>
      </c>
      <c r="H74" s="173">
        <f t="shared" si="21"/>
        <v>2511.7930999999994</v>
      </c>
      <c r="I74" s="174">
        <f t="shared" si="22"/>
        <v>48.3</v>
      </c>
      <c r="J74" s="175">
        <v>1.0000000000005116E-2</v>
      </c>
      <c r="K74" s="176">
        <v>48.31</v>
      </c>
      <c r="L74" s="171"/>
      <c r="M74" s="169"/>
    </row>
    <row r="75" spans="1:13" s="125" customFormat="1" ht="15.6" x14ac:dyDescent="0.25">
      <c r="A75" s="169"/>
      <c r="B75" s="145">
        <v>46885</v>
      </c>
      <c r="C75" s="170"/>
      <c r="D75" s="169" t="s">
        <v>40</v>
      </c>
      <c r="E75" s="171" t="s">
        <v>51</v>
      </c>
      <c r="F75" s="171"/>
      <c r="G75" s="172">
        <v>7.3999999999999996E-2</v>
      </c>
      <c r="H75" s="173">
        <f t="shared" si="21"/>
        <v>2511.7930999999994</v>
      </c>
      <c r="I75" s="174">
        <f t="shared" si="22"/>
        <v>48.3</v>
      </c>
      <c r="J75" s="175">
        <v>1.0000000000005116E-2</v>
      </c>
      <c r="K75" s="176">
        <v>48.31</v>
      </c>
      <c r="L75" s="171"/>
      <c r="M75" s="169"/>
    </row>
    <row r="76" spans="1:13" s="125" customFormat="1" ht="15.6" x14ac:dyDescent="0.25">
      <c r="A76" s="169"/>
      <c r="B76" s="145">
        <v>62378</v>
      </c>
      <c r="C76" s="170"/>
      <c r="D76" s="169" t="s">
        <v>36</v>
      </c>
      <c r="E76" s="171" t="s">
        <v>51</v>
      </c>
      <c r="F76" s="171"/>
      <c r="G76" s="172">
        <v>7.3999999999999996E-2</v>
      </c>
      <c r="H76" s="173">
        <f t="shared" si="21"/>
        <v>2511.7930999999994</v>
      </c>
      <c r="I76" s="174">
        <f t="shared" si="22"/>
        <v>48.3</v>
      </c>
      <c r="J76" s="175">
        <v>1.0000000000005116E-2</v>
      </c>
      <c r="K76" s="176">
        <v>48.31</v>
      </c>
      <c r="L76" s="171"/>
      <c r="M76" s="169"/>
    </row>
    <row r="77" spans="1:13" s="125" customFormat="1" ht="15.6" x14ac:dyDescent="0.25">
      <c r="A77" s="169"/>
      <c r="B77" s="145">
        <v>64857</v>
      </c>
      <c r="C77" s="170"/>
      <c r="D77" s="169" t="s">
        <v>36</v>
      </c>
      <c r="E77" s="171" t="s">
        <v>51</v>
      </c>
      <c r="F77" s="171"/>
      <c r="G77" s="172">
        <v>5.6000000000000001E-2</v>
      </c>
      <c r="H77" s="173">
        <f t="shared" si="21"/>
        <v>1900.8163999999997</v>
      </c>
      <c r="I77" s="174">
        <f t="shared" si="22"/>
        <v>36.549999999999997</v>
      </c>
      <c r="J77" s="175">
        <v>1.0000000000005116E-2</v>
      </c>
      <c r="K77" s="176">
        <v>36.56</v>
      </c>
      <c r="L77" s="171"/>
      <c r="M77" s="169"/>
    </row>
    <row r="78" spans="1:13" s="125" customFormat="1" ht="15.6" x14ac:dyDescent="0.25">
      <c r="A78" s="169"/>
      <c r="B78" s="145">
        <v>68417</v>
      </c>
      <c r="C78" s="170"/>
      <c r="D78" s="169" t="s">
        <v>40</v>
      </c>
      <c r="E78" s="171" t="s">
        <v>51</v>
      </c>
      <c r="F78" s="171"/>
      <c r="G78" s="172">
        <v>7.3999999999999996E-2</v>
      </c>
      <c r="H78" s="173">
        <f t="shared" si="21"/>
        <v>2511.7930999999994</v>
      </c>
      <c r="I78" s="174">
        <f t="shared" si="22"/>
        <v>48.3</v>
      </c>
      <c r="J78" s="175">
        <v>1.0000000000005116E-2</v>
      </c>
      <c r="K78" s="176">
        <v>48.31</v>
      </c>
      <c r="L78" s="171"/>
      <c r="M78" s="169"/>
    </row>
    <row r="79" spans="1:13" s="125" customFormat="1" ht="15.6" x14ac:dyDescent="0.25">
      <c r="A79" s="169"/>
      <c r="B79" s="145">
        <v>81301</v>
      </c>
      <c r="C79" s="170"/>
      <c r="D79" s="169" t="s">
        <v>40</v>
      </c>
      <c r="E79" s="171" t="s">
        <v>51</v>
      </c>
      <c r="F79" s="171"/>
      <c r="G79" s="172">
        <v>0.111</v>
      </c>
      <c r="H79" s="173">
        <f t="shared" si="21"/>
        <v>3767.6896499999993</v>
      </c>
      <c r="I79" s="174">
        <f t="shared" si="22"/>
        <v>72.459999999999994</v>
      </c>
      <c r="J79" s="175">
        <v>-9.9999999999909051E-3</v>
      </c>
      <c r="K79" s="176">
        <v>72.45</v>
      </c>
      <c r="L79" s="171"/>
      <c r="M79" s="169"/>
    </row>
    <row r="80" spans="1:13" s="125" customFormat="1" ht="15.6" x14ac:dyDescent="0.25">
      <c r="A80" s="169"/>
      <c r="B80" s="145">
        <v>85782</v>
      </c>
      <c r="C80" s="170"/>
      <c r="D80" s="169" t="s">
        <v>36</v>
      </c>
      <c r="E80" s="171" t="s">
        <v>51</v>
      </c>
      <c r="F80" s="171"/>
      <c r="G80" s="172">
        <v>0.111</v>
      </c>
      <c r="H80" s="173">
        <f t="shared" si="21"/>
        <v>3767.6896499999993</v>
      </c>
      <c r="I80" s="174">
        <f t="shared" si="22"/>
        <v>72.459999999999994</v>
      </c>
      <c r="J80" s="175">
        <v>-9.9999999999909051E-3</v>
      </c>
      <c r="K80" s="176">
        <v>72.45</v>
      </c>
      <c r="L80" s="171"/>
      <c r="M80" s="169"/>
    </row>
    <row r="81" spans="1:13" s="125" customFormat="1" ht="15.6" x14ac:dyDescent="0.25">
      <c r="A81" s="169"/>
      <c r="B81" s="145">
        <v>88882</v>
      </c>
      <c r="C81" s="170"/>
      <c r="D81" s="169" t="s">
        <v>40</v>
      </c>
      <c r="E81" s="171" t="s">
        <v>51</v>
      </c>
      <c r="F81" s="171"/>
      <c r="G81" s="172">
        <v>0.111</v>
      </c>
      <c r="H81" s="173">
        <f t="shared" si="21"/>
        <v>3767.6896499999993</v>
      </c>
      <c r="I81" s="174">
        <f t="shared" si="22"/>
        <v>72.459999999999994</v>
      </c>
      <c r="J81" s="175">
        <v>-9.9999999999909051E-3</v>
      </c>
      <c r="K81" s="176">
        <v>72.45</v>
      </c>
      <c r="L81" s="171"/>
      <c r="M81" s="169"/>
    </row>
    <row r="82" spans="1:13" s="125" customFormat="1" ht="15.6" x14ac:dyDescent="0.25">
      <c r="A82" s="169"/>
      <c r="B82" s="145">
        <v>95426</v>
      </c>
      <c r="C82" s="170"/>
      <c r="D82" s="169" t="s">
        <v>36</v>
      </c>
      <c r="E82" s="171" t="s">
        <v>51</v>
      </c>
      <c r="F82" s="171"/>
      <c r="G82" s="172">
        <v>5.6000000000000001E-2</v>
      </c>
      <c r="H82" s="173">
        <f t="shared" si="21"/>
        <v>1900.8163999999997</v>
      </c>
      <c r="I82" s="174">
        <f t="shared" si="22"/>
        <v>36.549999999999997</v>
      </c>
      <c r="J82" s="175">
        <v>1.0000000000005116E-2</v>
      </c>
      <c r="K82" s="176">
        <v>36.56</v>
      </c>
      <c r="L82" s="171"/>
      <c r="M82" s="169"/>
    </row>
    <row r="83" spans="1:13" s="125" customFormat="1" ht="15.6" x14ac:dyDescent="0.25">
      <c r="A83" s="169"/>
      <c r="B83" s="145">
        <v>97479</v>
      </c>
      <c r="C83" s="170"/>
      <c r="D83" s="213" t="s">
        <v>40</v>
      </c>
      <c r="E83" s="214" t="s">
        <v>51</v>
      </c>
      <c r="F83" s="214"/>
      <c r="G83" s="215">
        <v>0.111</v>
      </c>
      <c r="H83" s="216">
        <f t="shared" si="21"/>
        <v>3767.6896499999993</v>
      </c>
      <c r="I83" s="217">
        <f t="shared" si="22"/>
        <v>72.459999999999994</v>
      </c>
      <c r="J83" s="218">
        <v>-9.9999999999909051E-3</v>
      </c>
      <c r="K83" s="219">
        <v>72.45</v>
      </c>
      <c r="L83" s="171"/>
      <c r="M83" s="169"/>
    </row>
    <row r="84" spans="1:13" s="125" customFormat="1" ht="16.2" thickBot="1" x14ac:dyDescent="0.3">
      <c r="A84" s="169"/>
      <c r="B84" s="145"/>
      <c r="C84" s="177"/>
      <c r="D84" s="220"/>
      <c r="E84" s="221" t="s">
        <v>38</v>
      </c>
      <c r="F84" s="221"/>
      <c r="G84" s="222">
        <f>SUBTOTAL(9,G72:G83)</f>
        <v>1</v>
      </c>
      <c r="H84" s="223">
        <v>33943.149999999994</v>
      </c>
      <c r="I84" s="224">
        <f>SUM(I72:I83)</f>
        <v>652.74</v>
      </c>
      <c r="J84" s="225">
        <v>4.0000000000077307E-2</v>
      </c>
      <c r="K84" s="223">
        <f t="shared" ref="K84" si="23">SUM(K72:K83)</f>
        <v>652.78</v>
      </c>
      <c r="L84" s="171"/>
      <c r="M84" s="169"/>
    </row>
    <row r="85" spans="1:13" s="125" customFormat="1" ht="15.6" x14ac:dyDescent="0.25">
      <c r="A85" s="169"/>
      <c r="B85" s="145">
        <v>26363</v>
      </c>
      <c r="C85" s="170"/>
      <c r="D85" s="206" t="s">
        <v>40</v>
      </c>
      <c r="E85" s="207" t="s">
        <v>50</v>
      </c>
      <c r="F85" s="207"/>
      <c r="G85" s="208">
        <v>0.111</v>
      </c>
      <c r="H85" s="209">
        <f t="shared" ref="H85:H96" si="24">G85/$G$97*$H$97</f>
        <v>3771.08403</v>
      </c>
      <c r="I85" s="210">
        <f t="shared" ref="I85:I96" si="25">ROUND(H85/52,2)</f>
        <v>72.52</v>
      </c>
      <c r="J85" s="211">
        <v>0</v>
      </c>
      <c r="K85" s="212">
        <v>72.52</v>
      </c>
      <c r="L85" s="171"/>
      <c r="M85" s="169"/>
    </row>
    <row r="86" spans="1:13" s="125" customFormat="1" ht="15.6" x14ac:dyDescent="0.25">
      <c r="A86" s="169"/>
      <c r="B86" s="145">
        <v>36735</v>
      </c>
      <c r="C86" s="170"/>
      <c r="D86" s="169" t="s">
        <v>40</v>
      </c>
      <c r="E86" s="171" t="s">
        <v>50</v>
      </c>
      <c r="F86" s="171"/>
      <c r="G86" s="172">
        <v>7.3999999999999996E-2</v>
      </c>
      <c r="H86" s="173">
        <f t="shared" si="24"/>
        <v>2514.05602</v>
      </c>
      <c r="I86" s="174">
        <f t="shared" si="25"/>
        <v>48.35</v>
      </c>
      <c r="J86" s="175">
        <v>0</v>
      </c>
      <c r="K86" s="176">
        <v>48.35</v>
      </c>
      <c r="L86" s="171"/>
      <c r="M86" s="169"/>
    </row>
    <row r="87" spans="1:13" s="125" customFormat="1" ht="15.6" x14ac:dyDescent="0.25">
      <c r="A87" s="169"/>
      <c r="B87" s="145">
        <v>40031</v>
      </c>
      <c r="C87" s="170"/>
      <c r="D87" s="169" t="s">
        <v>40</v>
      </c>
      <c r="E87" s="171" t="s">
        <v>50</v>
      </c>
      <c r="F87" s="171"/>
      <c r="G87" s="172">
        <v>7.3999999999999996E-2</v>
      </c>
      <c r="H87" s="173">
        <f t="shared" si="24"/>
        <v>2514.05602</v>
      </c>
      <c r="I87" s="174">
        <f t="shared" si="25"/>
        <v>48.35</v>
      </c>
      <c r="J87" s="175">
        <v>0</v>
      </c>
      <c r="K87" s="176">
        <v>48.35</v>
      </c>
      <c r="L87" s="171"/>
      <c r="M87" s="169"/>
    </row>
    <row r="88" spans="1:13" s="125" customFormat="1" ht="15.6" x14ac:dyDescent="0.25">
      <c r="A88" s="169"/>
      <c r="B88" s="145">
        <v>47282</v>
      </c>
      <c r="C88" s="170"/>
      <c r="D88" s="169" t="s">
        <v>36</v>
      </c>
      <c r="E88" s="171" t="s">
        <v>50</v>
      </c>
      <c r="F88" s="171"/>
      <c r="G88" s="172">
        <v>5.6000000000000001E-2</v>
      </c>
      <c r="H88" s="173">
        <f t="shared" si="24"/>
        <v>1902.5288800000001</v>
      </c>
      <c r="I88" s="174">
        <f t="shared" si="25"/>
        <v>36.590000000000003</v>
      </c>
      <c r="J88" s="175">
        <v>0</v>
      </c>
      <c r="K88" s="176">
        <v>36.590000000000003</v>
      </c>
      <c r="L88" s="171"/>
      <c r="M88" s="169"/>
    </row>
    <row r="89" spans="1:13" s="125" customFormat="1" ht="15.6" x14ac:dyDescent="0.25">
      <c r="A89" s="169"/>
      <c r="B89" s="145">
        <v>70683</v>
      </c>
      <c r="C89" s="170"/>
      <c r="D89" s="169" t="s">
        <v>36</v>
      </c>
      <c r="E89" s="171" t="s">
        <v>50</v>
      </c>
      <c r="F89" s="171"/>
      <c r="G89" s="172">
        <v>0.111</v>
      </c>
      <c r="H89" s="173">
        <f t="shared" si="24"/>
        <v>3771.08403</v>
      </c>
      <c r="I89" s="174">
        <f t="shared" si="25"/>
        <v>72.52</v>
      </c>
      <c r="J89" s="175">
        <v>0</v>
      </c>
      <c r="K89" s="176">
        <v>72.52</v>
      </c>
      <c r="L89" s="171"/>
      <c r="M89" s="169"/>
    </row>
    <row r="90" spans="1:13" s="125" customFormat="1" ht="15.6" x14ac:dyDescent="0.25">
      <c r="A90" s="169"/>
      <c r="B90" s="145">
        <v>73919</v>
      </c>
      <c r="C90" s="170"/>
      <c r="D90" s="169" t="s">
        <v>36</v>
      </c>
      <c r="E90" s="171" t="s">
        <v>50</v>
      </c>
      <c r="F90" s="171"/>
      <c r="G90" s="172">
        <v>7.3999999999999996E-2</v>
      </c>
      <c r="H90" s="173">
        <f t="shared" si="24"/>
        <v>2514.05602</v>
      </c>
      <c r="I90" s="174">
        <f t="shared" si="25"/>
        <v>48.35</v>
      </c>
      <c r="J90" s="175">
        <v>0</v>
      </c>
      <c r="K90" s="176">
        <v>48.35</v>
      </c>
      <c r="L90" s="171"/>
      <c r="M90" s="169"/>
    </row>
    <row r="91" spans="1:13" s="125" customFormat="1" ht="15.6" x14ac:dyDescent="0.25">
      <c r="A91" s="169"/>
      <c r="B91" s="145">
        <v>74880</v>
      </c>
      <c r="C91" s="170"/>
      <c r="D91" s="169" t="s">
        <v>36</v>
      </c>
      <c r="E91" s="171" t="s">
        <v>50</v>
      </c>
      <c r="F91" s="171"/>
      <c r="G91" s="172">
        <v>5.6000000000000001E-2</v>
      </c>
      <c r="H91" s="173">
        <f t="shared" si="24"/>
        <v>1902.5288800000001</v>
      </c>
      <c r="I91" s="174">
        <f t="shared" si="25"/>
        <v>36.590000000000003</v>
      </c>
      <c r="J91" s="175">
        <v>0</v>
      </c>
      <c r="K91" s="176">
        <v>36.590000000000003</v>
      </c>
      <c r="L91" s="171"/>
      <c r="M91" s="169"/>
    </row>
    <row r="92" spans="1:13" s="125" customFormat="1" ht="15.6" x14ac:dyDescent="0.25">
      <c r="A92" s="169"/>
      <c r="B92" s="145">
        <v>87317</v>
      </c>
      <c r="C92" s="170"/>
      <c r="D92" s="169" t="s">
        <v>40</v>
      </c>
      <c r="E92" s="171" t="s">
        <v>50</v>
      </c>
      <c r="F92" s="171"/>
      <c r="G92" s="172">
        <v>7.3999999999999996E-2</v>
      </c>
      <c r="H92" s="173">
        <f t="shared" si="24"/>
        <v>2514.05602</v>
      </c>
      <c r="I92" s="174">
        <f t="shared" si="25"/>
        <v>48.35</v>
      </c>
      <c r="J92" s="175">
        <v>0</v>
      </c>
      <c r="K92" s="176">
        <v>48.35</v>
      </c>
      <c r="L92" s="171"/>
      <c r="M92" s="169"/>
    </row>
    <row r="93" spans="1:13" s="125" customFormat="1" ht="15.6" x14ac:dyDescent="0.25">
      <c r="A93" s="169"/>
      <c r="B93" s="145">
        <v>89692</v>
      </c>
      <c r="C93" s="170"/>
      <c r="D93" s="169" t="s">
        <v>40</v>
      </c>
      <c r="E93" s="171" t="s">
        <v>50</v>
      </c>
      <c r="F93" s="171"/>
      <c r="G93" s="172">
        <v>7.3999999999999996E-2</v>
      </c>
      <c r="H93" s="173">
        <f t="shared" si="24"/>
        <v>2514.05602</v>
      </c>
      <c r="I93" s="174">
        <f t="shared" si="25"/>
        <v>48.35</v>
      </c>
      <c r="J93" s="175">
        <v>0</v>
      </c>
      <c r="K93" s="176">
        <v>48.35</v>
      </c>
      <c r="L93" s="171"/>
      <c r="M93" s="169"/>
    </row>
    <row r="94" spans="1:13" s="125" customFormat="1" ht="15.6" x14ac:dyDescent="0.25">
      <c r="A94" s="169"/>
      <c r="B94" s="145">
        <v>95034</v>
      </c>
      <c r="C94" s="170"/>
      <c r="D94" s="169" t="s">
        <v>40</v>
      </c>
      <c r="E94" s="171" t="s">
        <v>50</v>
      </c>
      <c r="F94" s="171"/>
      <c r="G94" s="172">
        <v>0.111</v>
      </c>
      <c r="H94" s="173">
        <f t="shared" si="24"/>
        <v>3771.08403</v>
      </c>
      <c r="I94" s="174">
        <f t="shared" si="25"/>
        <v>72.52</v>
      </c>
      <c r="J94" s="175">
        <v>0</v>
      </c>
      <c r="K94" s="176">
        <v>72.52</v>
      </c>
      <c r="L94" s="171"/>
      <c r="M94" s="169"/>
    </row>
    <row r="95" spans="1:13" s="125" customFormat="1" ht="15.6" x14ac:dyDescent="0.25">
      <c r="A95" s="169"/>
      <c r="B95" s="145">
        <v>99158</v>
      </c>
      <c r="C95" s="170"/>
      <c r="D95" s="169" t="s">
        <v>40</v>
      </c>
      <c r="E95" s="171" t="s">
        <v>50</v>
      </c>
      <c r="F95" s="171"/>
      <c r="G95" s="172">
        <v>0.111</v>
      </c>
      <c r="H95" s="173">
        <f t="shared" si="24"/>
        <v>3771.08403</v>
      </c>
      <c r="I95" s="174">
        <f t="shared" si="25"/>
        <v>72.52</v>
      </c>
      <c r="J95" s="175">
        <v>0</v>
      </c>
      <c r="K95" s="176">
        <v>72.52</v>
      </c>
      <c r="L95" s="171"/>
      <c r="M95" s="169"/>
    </row>
    <row r="96" spans="1:13" s="125" customFormat="1" ht="15.6" x14ac:dyDescent="0.25">
      <c r="A96" s="169"/>
      <c r="B96" s="145">
        <v>99159</v>
      </c>
      <c r="C96" s="170"/>
      <c r="D96" s="213" t="s">
        <v>40</v>
      </c>
      <c r="E96" s="214" t="s">
        <v>50</v>
      </c>
      <c r="F96" s="214"/>
      <c r="G96" s="215">
        <v>7.3999999999999996E-2</v>
      </c>
      <c r="H96" s="216">
        <f t="shared" si="24"/>
        <v>2514.05602</v>
      </c>
      <c r="I96" s="217">
        <f t="shared" si="25"/>
        <v>48.35</v>
      </c>
      <c r="J96" s="218">
        <v>0</v>
      </c>
      <c r="K96" s="219">
        <v>48.35</v>
      </c>
      <c r="L96" s="171"/>
      <c r="M96" s="169"/>
    </row>
    <row r="97" spans="1:13" s="125" customFormat="1" ht="16.2" thickBot="1" x14ac:dyDescent="0.3">
      <c r="A97" s="169"/>
      <c r="B97" s="145"/>
      <c r="C97" s="177"/>
      <c r="D97" s="220"/>
      <c r="E97" s="221" t="s">
        <v>38</v>
      </c>
      <c r="F97" s="221"/>
      <c r="G97" s="222">
        <f>SUBTOTAL(9,G85:G96)</f>
        <v>0.99999999999999989</v>
      </c>
      <c r="H97" s="223">
        <v>33973.729999999996</v>
      </c>
      <c r="I97" s="224">
        <f>SUM(I85:I96)</f>
        <v>653.36</v>
      </c>
      <c r="J97" s="225">
        <v>0</v>
      </c>
      <c r="K97" s="223">
        <f t="shared" ref="K97" si="26">SUM(K85:K96)</f>
        <v>653.36</v>
      </c>
      <c r="L97" s="171"/>
      <c r="M97" s="169"/>
    </row>
    <row r="98" spans="1:13" s="125" customFormat="1" ht="15.6" x14ac:dyDescent="0.25">
      <c r="A98" s="169"/>
      <c r="B98" s="145">
        <v>292</v>
      </c>
      <c r="C98" s="170"/>
      <c r="D98" s="206" t="s">
        <v>40</v>
      </c>
      <c r="E98" s="207" t="s">
        <v>49</v>
      </c>
      <c r="F98" s="207"/>
      <c r="G98" s="208">
        <v>0.111</v>
      </c>
      <c r="H98" s="209">
        <f t="shared" ref="H98:H109" si="27">G98/$G$110*$H$110</f>
        <v>4085.8911300000009</v>
      </c>
      <c r="I98" s="210">
        <f t="shared" ref="I98:I109" si="28">ROUND(H98/52,2)</f>
        <v>78.569999999999993</v>
      </c>
      <c r="J98" s="211">
        <v>0</v>
      </c>
      <c r="K98" s="212">
        <v>78.569999999999993</v>
      </c>
      <c r="L98" s="171"/>
      <c r="M98" s="169"/>
    </row>
    <row r="99" spans="1:13" s="125" customFormat="1" ht="15.6" x14ac:dyDescent="0.25">
      <c r="A99" s="169"/>
      <c r="B99" s="145">
        <v>8537</v>
      </c>
      <c r="C99" s="170"/>
      <c r="D99" s="169" t="s">
        <v>40</v>
      </c>
      <c r="E99" s="171" t="s">
        <v>49</v>
      </c>
      <c r="F99" s="171"/>
      <c r="G99" s="172">
        <v>7.3999999999999996E-2</v>
      </c>
      <c r="H99" s="173">
        <f t="shared" si="27"/>
        <v>2723.9274200000004</v>
      </c>
      <c r="I99" s="174">
        <f t="shared" si="28"/>
        <v>52.38</v>
      </c>
      <c r="J99" s="175">
        <v>0</v>
      </c>
      <c r="K99" s="176">
        <v>52.38</v>
      </c>
      <c r="L99" s="171"/>
      <c r="M99" s="169"/>
    </row>
    <row r="100" spans="1:13" s="125" customFormat="1" ht="15.6" x14ac:dyDescent="0.25">
      <c r="A100" s="169"/>
      <c r="B100" s="145">
        <v>10273</v>
      </c>
      <c r="C100" s="170"/>
      <c r="D100" s="169" t="s">
        <v>40</v>
      </c>
      <c r="E100" s="171" t="s">
        <v>49</v>
      </c>
      <c r="F100" s="171"/>
      <c r="G100" s="172">
        <v>7.3999999999999996E-2</v>
      </c>
      <c r="H100" s="173">
        <f t="shared" si="27"/>
        <v>2723.9274200000004</v>
      </c>
      <c r="I100" s="174">
        <f t="shared" si="28"/>
        <v>52.38</v>
      </c>
      <c r="J100" s="175">
        <v>0</v>
      </c>
      <c r="K100" s="176">
        <v>52.38</v>
      </c>
      <c r="L100" s="171"/>
      <c r="M100" s="169"/>
    </row>
    <row r="101" spans="1:13" s="125" customFormat="1" ht="15.6" x14ac:dyDescent="0.25">
      <c r="A101" s="169"/>
      <c r="B101" s="145">
        <v>15384</v>
      </c>
      <c r="C101" s="170"/>
      <c r="D101" s="169" t="s">
        <v>40</v>
      </c>
      <c r="E101" s="171" t="s">
        <v>49</v>
      </c>
      <c r="F101" s="171"/>
      <c r="G101" s="172">
        <v>0.111</v>
      </c>
      <c r="H101" s="173">
        <f t="shared" si="27"/>
        <v>4085.8911300000009</v>
      </c>
      <c r="I101" s="174">
        <f t="shared" si="28"/>
        <v>78.569999999999993</v>
      </c>
      <c r="J101" s="175">
        <v>0</v>
      </c>
      <c r="K101" s="176">
        <v>78.569999999999993</v>
      </c>
      <c r="L101" s="171"/>
      <c r="M101" s="169"/>
    </row>
    <row r="102" spans="1:13" s="125" customFormat="1" ht="15.6" x14ac:dyDescent="0.25">
      <c r="A102" s="169"/>
      <c r="B102" s="145">
        <v>38340</v>
      </c>
      <c r="C102" s="170"/>
      <c r="D102" s="169" t="s">
        <v>36</v>
      </c>
      <c r="E102" s="171" t="s">
        <v>49</v>
      </c>
      <c r="F102" s="171"/>
      <c r="G102" s="172">
        <v>5.6000000000000001E-2</v>
      </c>
      <c r="H102" s="173">
        <f t="shared" si="27"/>
        <v>2061.3504800000005</v>
      </c>
      <c r="I102" s="174">
        <f t="shared" si="28"/>
        <v>39.64</v>
      </c>
      <c r="J102" s="175">
        <v>0</v>
      </c>
      <c r="K102" s="176">
        <v>39.64</v>
      </c>
      <c r="L102" s="171"/>
      <c r="M102" s="169"/>
    </row>
    <row r="103" spans="1:13" s="125" customFormat="1" ht="15.6" x14ac:dyDescent="0.25">
      <c r="A103" s="169"/>
      <c r="B103" s="145">
        <v>54143</v>
      </c>
      <c r="C103" s="170"/>
      <c r="D103" s="169" t="s">
        <v>40</v>
      </c>
      <c r="E103" s="171" t="s">
        <v>49</v>
      </c>
      <c r="F103" s="171"/>
      <c r="G103" s="172">
        <v>7.3999999999999996E-2</v>
      </c>
      <c r="H103" s="173">
        <f t="shared" si="27"/>
        <v>2723.9274200000004</v>
      </c>
      <c r="I103" s="174">
        <f t="shared" si="28"/>
        <v>52.38</v>
      </c>
      <c r="J103" s="175">
        <v>0</v>
      </c>
      <c r="K103" s="176">
        <v>52.38</v>
      </c>
      <c r="L103" s="171"/>
      <c r="M103" s="169"/>
    </row>
    <row r="104" spans="1:13" s="125" customFormat="1" ht="15.6" x14ac:dyDescent="0.25">
      <c r="A104" s="169"/>
      <c r="B104" s="145">
        <v>63577</v>
      </c>
      <c r="C104" s="170"/>
      <c r="D104" s="169" t="s">
        <v>40</v>
      </c>
      <c r="E104" s="171" t="s">
        <v>49</v>
      </c>
      <c r="F104" s="171"/>
      <c r="G104" s="172">
        <v>0.111</v>
      </c>
      <c r="H104" s="173">
        <f t="shared" si="27"/>
        <v>4085.8911300000009</v>
      </c>
      <c r="I104" s="174">
        <f t="shared" si="28"/>
        <v>78.569999999999993</v>
      </c>
      <c r="J104" s="175">
        <v>0</v>
      </c>
      <c r="K104" s="176">
        <v>78.569999999999993</v>
      </c>
      <c r="L104" s="171"/>
      <c r="M104" s="169"/>
    </row>
    <row r="105" spans="1:13" s="125" customFormat="1" ht="15.6" x14ac:dyDescent="0.25">
      <c r="A105" s="169"/>
      <c r="B105" s="145">
        <v>83844</v>
      </c>
      <c r="C105" s="170"/>
      <c r="D105" s="169" t="s">
        <v>40</v>
      </c>
      <c r="E105" s="171" t="s">
        <v>49</v>
      </c>
      <c r="F105" s="171"/>
      <c r="G105" s="172">
        <v>5.6000000000000001E-2</v>
      </c>
      <c r="H105" s="173">
        <f t="shared" si="27"/>
        <v>2061.3504800000005</v>
      </c>
      <c r="I105" s="174">
        <f t="shared" si="28"/>
        <v>39.64</v>
      </c>
      <c r="J105" s="175">
        <v>0</v>
      </c>
      <c r="K105" s="176">
        <v>39.64</v>
      </c>
      <c r="L105" s="171"/>
      <c r="M105" s="169"/>
    </row>
    <row r="106" spans="1:13" s="125" customFormat="1" ht="15.6" x14ac:dyDescent="0.25">
      <c r="A106" s="169"/>
      <c r="B106" s="145">
        <v>84801</v>
      </c>
      <c r="C106" s="170"/>
      <c r="D106" s="169" t="s">
        <v>40</v>
      </c>
      <c r="E106" s="171" t="s">
        <v>49</v>
      </c>
      <c r="F106" s="171"/>
      <c r="G106" s="172">
        <v>0.111</v>
      </c>
      <c r="H106" s="173">
        <f t="shared" si="27"/>
        <v>4085.8911300000009</v>
      </c>
      <c r="I106" s="174">
        <f t="shared" si="28"/>
        <v>78.569999999999993</v>
      </c>
      <c r="J106" s="175">
        <v>0</v>
      </c>
      <c r="K106" s="176">
        <v>78.569999999999993</v>
      </c>
      <c r="L106" s="171"/>
      <c r="M106" s="169"/>
    </row>
    <row r="107" spans="1:13" s="125" customFormat="1" ht="15.6" x14ac:dyDescent="0.25">
      <c r="A107" s="169"/>
      <c r="B107" s="145">
        <v>87575</v>
      </c>
      <c r="C107" s="170"/>
      <c r="D107" s="169" t="s">
        <v>40</v>
      </c>
      <c r="E107" s="171" t="s">
        <v>49</v>
      </c>
      <c r="F107" s="171"/>
      <c r="G107" s="172">
        <v>7.3999999999999996E-2</v>
      </c>
      <c r="H107" s="173">
        <f t="shared" si="27"/>
        <v>2723.9274200000004</v>
      </c>
      <c r="I107" s="174">
        <f t="shared" si="28"/>
        <v>52.38</v>
      </c>
      <c r="J107" s="175">
        <v>0</v>
      </c>
      <c r="K107" s="176">
        <v>52.38</v>
      </c>
      <c r="L107" s="171"/>
      <c r="M107" s="169"/>
    </row>
    <row r="108" spans="1:13" s="125" customFormat="1" ht="15.6" x14ac:dyDescent="0.25">
      <c r="A108" s="169"/>
      <c r="B108" s="145">
        <v>90652</v>
      </c>
      <c r="C108" s="170"/>
      <c r="D108" s="169" t="s">
        <v>40</v>
      </c>
      <c r="E108" s="171" t="s">
        <v>49</v>
      </c>
      <c r="F108" s="171"/>
      <c r="G108" s="172">
        <v>7.3999999999999996E-2</v>
      </c>
      <c r="H108" s="173">
        <f t="shared" si="27"/>
        <v>2723.9274200000004</v>
      </c>
      <c r="I108" s="174">
        <f t="shared" si="28"/>
        <v>52.38</v>
      </c>
      <c r="J108" s="175">
        <v>0</v>
      </c>
      <c r="K108" s="176">
        <v>52.38</v>
      </c>
      <c r="L108" s="171"/>
      <c r="M108" s="169"/>
    </row>
    <row r="109" spans="1:13" s="125" customFormat="1" ht="15.6" x14ac:dyDescent="0.25">
      <c r="A109" s="169"/>
      <c r="B109" s="145">
        <v>91904</v>
      </c>
      <c r="C109" s="170"/>
      <c r="D109" s="213" t="s">
        <v>40</v>
      </c>
      <c r="E109" s="214" t="s">
        <v>49</v>
      </c>
      <c r="F109" s="214"/>
      <c r="G109" s="215">
        <v>7.3999999999999996E-2</v>
      </c>
      <c r="H109" s="216">
        <f t="shared" si="27"/>
        <v>2723.9274200000004</v>
      </c>
      <c r="I109" s="217">
        <f t="shared" si="28"/>
        <v>52.38</v>
      </c>
      <c r="J109" s="218">
        <v>0</v>
      </c>
      <c r="K109" s="219">
        <v>52.38</v>
      </c>
      <c r="L109" s="171"/>
      <c r="M109" s="169"/>
    </row>
    <row r="110" spans="1:13" s="125" customFormat="1" ht="16.2" thickBot="1" x14ac:dyDescent="0.3">
      <c r="A110" s="169"/>
      <c r="B110" s="145"/>
      <c r="C110" s="177"/>
      <c r="D110" s="220"/>
      <c r="E110" s="221" t="s">
        <v>38</v>
      </c>
      <c r="F110" s="221"/>
      <c r="G110" s="222">
        <f>SUBTOTAL(9,G98:G109)</f>
        <v>0.99999999999999989</v>
      </c>
      <c r="H110" s="223">
        <v>36809.83</v>
      </c>
      <c r="I110" s="224">
        <f>SUM(I98:I109)</f>
        <v>707.83999999999992</v>
      </c>
      <c r="J110" s="225">
        <v>0</v>
      </c>
      <c r="K110" s="223">
        <f t="shared" ref="K110" si="29">SUM(K98:K109)</f>
        <v>707.83999999999992</v>
      </c>
      <c r="L110" s="171"/>
      <c r="M110" s="169"/>
    </row>
    <row r="111" spans="1:13" s="125" customFormat="1" ht="15.6" x14ac:dyDescent="0.25">
      <c r="A111" s="169"/>
      <c r="B111" s="145">
        <v>12246</v>
      </c>
      <c r="C111" s="170"/>
      <c r="D111" s="206" t="s">
        <v>36</v>
      </c>
      <c r="E111" s="207" t="s">
        <v>48</v>
      </c>
      <c r="F111" s="207"/>
      <c r="G111" s="208">
        <v>7.3999999999999996E-2</v>
      </c>
      <c r="H111" s="209">
        <f t="shared" ref="H111:H122" si="30">G111/$G$123*$H$123</f>
        <v>1769.8520800000001</v>
      </c>
      <c r="I111" s="210">
        <f t="shared" ref="I111:I122" si="31">ROUND(H111/52,2)</f>
        <v>34.04</v>
      </c>
      <c r="J111" s="211">
        <v>0</v>
      </c>
      <c r="K111" s="212">
        <v>34.04</v>
      </c>
      <c r="L111" s="171"/>
      <c r="M111" s="169"/>
    </row>
    <row r="112" spans="1:13" s="125" customFormat="1" ht="15.6" x14ac:dyDescent="0.25">
      <c r="A112" s="169"/>
      <c r="B112" s="145">
        <v>20824</v>
      </c>
      <c r="C112" s="170"/>
      <c r="D112" s="169" t="s">
        <v>40</v>
      </c>
      <c r="E112" s="171" t="s">
        <v>48</v>
      </c>
      <c r="F112" s="171"/>
      <c r="G112" s="172">
        <v>7.3999999999999996E-2</v>
      </c>
      <c r="H112" s="173">
        <f t="shared" si="30"/>
        <v>1769.8520800000001</v>
      </c>
      <c r="I112" s="174">
        <f t="shared" si="31"/>
        <v>34.04</v>
      </c>
      <c r="J112" s="175">
        <v>0</v>
      </c>
      <c r="K112" s="176">
        <v>34.04</v>
      </c>
      <c r="L112" s="171"/>
      <c r="M112" s="169"/>
    </row>
    <row r="113" spans="1:13" s="125" customFormat="1" ht="15.6" x14ac:dyDescent="0.25">
      <c r="A113" s="169"/>
      <c r="B113" s="145">
        <v>27545</v>
      </c>
      <c r="C113" s="170"/>
      <c r="D113" s="169" t="s">
        <v>40</v>
      </c>
      <c r="E113" s="171" t="s">
        <v>48</v>
      </c>
      <c r="F113" s="171"/>
      <c r="G113" s="172">
        <v>0.111</v>
      </c>
      <c r="H113" s="173">
        <f t="shared" si="30"/>
        <v>2654.7781200000004</v>
      </c>
      <c r="I113" s="174">
        <f t="shared" si="31"/>
        <v>51.05</v>
      </c>
      <c r="J113" s="175">
        <v>0</v>
      </c>
      <c r="K113" s="176">
        <v>51.05</v>
      </c>
      <c r="L113" s="171"/>
      <c r="M113" s="169"/>
    </row>
    <row r="114" spans="1:13" s="125" customFormat="1" ht="15.6" x14ac:dyDescent="0.25">
      <c r="A114" s="169"/>
      <c r="B114" s="145">
        <v>30655</v>
      </c>
      <c r="C114" s="170"/>
      <c r="D114" s="169" t="s">
        <v>40</v>
      </c>
      <c r="E114" s="171" t="s">
        <v>48</v>
      </c>
      <c r="F114" s="171"/>
      <c r="G114" s="172">
        <v>0.111</v>
      </c>
      <c r="H114" s="173">
        <f t="shared" si="30"/>
        <v>2654.7781200000004</v>
      </c>
      <c r="I114" s="174">
        <f t="shared" si="31"/>
        <v>51.05</v>
      </c>
      <c r="J114" s="175">
        <v>0</v>
      </c>
      <c r="K114" s="176">
        <v>51.05</v>
      </c>
      <c r="L114" s="171"/>
      <c r="M114" s="169"/>
    </row>
    <row r="115" spans="1:13" s="125" customFormat="1" ht="15.6" x14ac:dyDescent="0.25">
      <c r="A115" s="169"/>
      <c r="B115" s="145">
        <v>32633</v>
      </c>
      <c r="C115" s="170"/>
      <c r="D115" s="169" t="s">
        <v>40</v>
      </c>
      <c r="E115" s="171" t="s">
        <v>48</v>
      </c>
      <c r="F115" s="171"/>
      <c r="G115" s="172">
        <v>5.6000000000000001E-2</v>
      </c>
      <c r="H115" s="173">
        <f t="shared" si="30"/>
        <v>1339.34752</v>
      </c>
      <c r="I115" s="174">
        <f t="shared" si="31"/>
        <v>25.76</v>
      </c>
      <c r="J115" s="175">
        <v>0</v>
      </c>
      <c r="K115" s="176">
        <v>25.76</v>
      </c>
      <c r="L115" s="171"/>
      <c r="M115" s="169"/>
    </row>
    <row r="116" spans="1:13" s="125" customFormat="1" ht="15.6" x14ac:dyDescent="0.25">
      <c r="A116" s="169"/>
      <c r="B116" s="145">
        <v>50548</v>
      </c>
      <c r="C116" s="170"/>
      <c r="D116" s="169" t="s">
        <v>40</v>
      </c>
      <c r="E116" s="171" t="s">
        <v>48</v>
      </c>
      <c r="F116" s="171"/>
      <c r="G116" s="172">
        <v>0.111</v>
      </c>
      <c r="H116" s="173">
        <f t="shared" si="30"/>
        <v>2654.7781200000004</v>
      </c>
      <c r="I116" s="174">
        <f t="shared" si="31"/>
        <v>51.05</v>
      </c>
      <c r="J116" s="175">
        <v>0</v>
      </c>
      <c r="K116" s="176">
        <v>51.05</v>
      </c>
      <c r="L116" s="171"/>
      <c r="M116" s="169"/>
    </row>
    <row r="117" spans="1:13" s="125" customFormat="1" ht="15.6" x14ac:dyDescent="0.25">
      <c r="A117" s="169"/>
      <c r="B117" s="145">
        <v>54628</v>
      </c>
      <c r="C117" s="170"/>
      <c r="D117" s="169" t="s">
        <v>40</v>
      </c>
      <c r="E117" s="171" t="s">
        <v>48</v>
      </c>
      <c r="F117" s="171"/>
      <c r="G117" s="172">
        <v>0.111</v>
      </c>
      <c r="H117" s="173">
        <f t="shared" si="30"/>
        <v>2654.7781200000004</v>
      </c>
      <c r="I117" s="174">
        <f t="shared" si="31"/>
        <v>51.05</v>
      </c>
      <c r="J117" s="175">
        <v>0</v>
      </c>
      <c r="K117" s="176">
        <v>51.05</v>
      </c>
      <c r="L117" s="171"/>
      <c r="M117" s="169"/>
    </row>
    <row r="118" spans="1:13" s="125" customFormat="1" ht="15.6" x14ac:dyDescent="0.25">
      <c r="A118" s="169"/>
      <c r="B118" s="145">
        <v>59417</v>
      </c>
      <c r="C118" s="170"/>
      <c r="D118" s="169" t="s">
        <v>40</v>
      </c>
      <c r="E118" s="171" t="s">
        <v>48</v>
      </c>
      <c r="F118" s="171"/>
      <c r="G118" s="172">
        <v>7.3999999999999996E-2</v>
      </c>
      <c r="H118" s="173">
        <f t="shared" si="30"/>
        <v>1769.8520800000001</v>
      </c>
      <c r="I118" s="174">
        <f t="shared" si="31"/>
        <v>34.04</v>
      </c>
      <c r="J118" s="175">
        <v>0</v>
      </c>
      <c r="K118" s="176">
        <v>34.04</v>
      </c>
      <c r="L118" s="171"/>
      <c r="M118" s="169"/>
    </row>
    <row r="119" spans="1:13" s="125" customFormat="1" ht="15.6" x14ac:dyDescent="0.25">
      <c r="A119" s="169"/>
      <c r="B119" s="145">
        <v>81337</v>
      </c>
      <c r="C119" s="170"/>
      <c r="D119" s="169" t="s">
        <v>36</v>
      </c>
      <c r="E119" s="171" t="s">
        <v>48</v>
      </c>
      <c r="F119" s="171"/>
      <c r="G119" s="172">
        <v>5.6000000000000001E-2</v>
      </c>
      <c r="H119" s="173">
        <f t="shared" si="30"/>
        <v>1339.34752</v>
      </c>
      <c r="I119" s="174">
        <f t="shared" si="31"/>
        <v>25.76</v>
      </c>
      <c r="J119" s="175">
        <v>0</v>
      </c>
      <c r="K119" s="176">
        <v>25.76</v>
      </c>
      <c r="L119" s="171"/>
      <c r="M119" s="169"/>
    </row>
    <row r="120" spans="1:13" s="125" customFormat="1" ht="15.6" x14ac:dyDescent="0.25">
      <c r="A120" s="169"/>
      <c r="B120" s="145">
        <v>85242</v>
      </c>
      <c r="C120" s="170"/>
      <c r="D120" s="169" t="s">
        <v>40</v>
      </c>
      <c r="E120" s="171" t="s">
        <v>48</v>
      </c>
      <c r="F120" s="171"/>
      <c r="G120" s="172">
        <v>7.3999999999999996E-2</v>
      </c>
      <c r="H120" s="173">
        <f t="shared" si="30"/>
        <v>1769.8520800000001</v>
      </c>
      <c r="I120" s="174">
        <f t="shared" si="31"/>
        <v>34.04</v>
      </c>
      <c r="J120" s="175">
        <v>0</v>
      </c>
      <c r="K120" s="176">
        <v>34.04</v>
      </c>
      <c r="L120" s="171"/>
      <c r="M120" s="169"/>
    </row>
    <row r="121" spans="1:13" s="125" customFormat="1" ht="15.6" x14ac:dyDescent="0.25">
      <c r="A121" s="169"/>
      <c r="B121" s="145">
        <v>86156</v>
      </c>
      <c r="C121" s="170"/>
      <c r="D121" s="169" t="s">
        <v>40</v>
      </c>
      <c r="E121" s="171" t="s">
        <v>48</v>
      </c>
      <c r="F121" s="171"/>
      <c r="G121" s="172">
        <v>7.3999999999999996E-2</v>
      </c>
      <c r="H121" s="173">
        <f t="shared" si="30"/>
        <v>1769.8520800000001</v>
      </c>
      <c r="I121" s="174">
        <f t="shared" si="31"/>
        <v>34.04</v>
      </c>
      <c r="J121" s="175">
        <v>0</v>
      </c>
      <c r="K121" s="176">
        <v>34.04</v>
      </c>
      <c r="L121" s="171"/>
      <c r="M121" s="169"/>
    </row>
    <row r="122" spans="1:13" s="125" customFormat="1" ht="15.6" x14ac:dyDescent="0.25">
      <c r="A122" s="169"/>
      <c r="B122" s="145">
        <v>95015</v>
      </c>
      <c r="C122" s="170"/>
      <c r="D122" s="213" t="s">
        <v>40</v>
      </c>
      <c r="E122" s="214" t="s">
        <v>48</v>
      </c>
      <c r="F122" s="214"/>
      <c r="G122" s="215">
        <v>7.3999999999999996E-2</v>
      </c>
      <c r="H122" s="216">
        <f t="shared" si="30"/>
        <v>1769.8520800000001</v>
      </c>
      <c r="I122" s="217">
        <f t="shared" si="31"/>
        <v>34.04</v>
      </c>
      <c r="J122" s="218">
        <v>0</v>
      </c>
      <c r="K122" s="219">
        <v>34.04</v>
      </c>
      <c r="L122" s="171"/>
      <c r="M122" s="169"/>
    </row>
    <row r="123" spans="1:13" s="125" customFormat="1" ht="16.2" thickBot="1" x14ac:dyDescent="0.3">
      <c r="A123" s="169"/>
      <c r="B123" s="145"/>
      <c r="C123" s="177"/>
      <c r="D123" s="220"/>
      <c r="E123" s="221" t="s">
        <v>38</v>
      </c>
      <c r="F123" s="221"/>
      <c r="G123" s="222">
        <f>SUBTOTAL(9,G111:G122)</f>
        <v>0.99999999999999989</v>
      </c>
      <c r="H123" s="223">
        <v>23916.92</v>
      </c>
      <c r="I123" s="224">
        <f>SUM(I111:I122)</f>
        <v>459.96000000000009</v>
      </c>
      <c r="J123" s="225">
        <v>0</v>
      </c>
      <c r="K123" s="223">
        <f t="shared" ref="K123" si="32">SUM(K111:K122)</f>
        <v>459.96000000000009</v>
      </c>
      <c r="L123" s="171"/>
      <c r="M123" s="169"/>
    </row>
    <row r="124" spans="1:13" s="125" customFormat="1" ht="15.6" x14ac:dyDescent="0.25">
      <c r="A124" s="169"/>
      <c r="B124" s="145">
        <v>31796</v>
      </c>
      <c r="C124" s="170"/>
      <c r="D124" s="206" t="s">
        <v>40</v>
      </c>
      <c r="E124" s="207" t="s">
        <v>47</v>
      </c>
      <c r="F124" s="207"/>
      <c r="G124" s="208">
        <v>0.16669999999999999</v>
      </c>
      <c r="H124" s="209">
        <f t="shared" ref="H124:H129" si="33">G124/$G$130*$H$130</f>
        <v>2595.7316666666666</v>
      </c>
      <c r="I124" s="210">
        <f t="shared" ref="I124:I129" si="34">ROUND(H124/52,2)</f>
        <v>49.92</v>
      </c>
      <c r="J124" s="211">
        <v>-1.0000000000005116E-2</v>
      </c>
      <c r="K124" s="212">
        <v>49.91</v>
      </c>
      <c r="L124" s="171"/>
      <c r="M124" s="169"/>
    </row>
    <row r="125" spans="1:13" s="125" customFormat="1" ht="15.6" x14ac:dyDescent="0.25">
      <c r="A125" s="169"/>
      <c r="B125" s="145">
        <v>32132</v>
      </c>
      <c r="C125" s="170"/>
      <c r="D125" s="169" t="s">
        <v>36</v>
      </c>
      <c r="E125" s="171" t="s">
        <v>47</v>
      </c>
      <c r="F125" s="171"/>
      <c r="G125" s="172">
        <v>0.16669999999999999</v>
      </c>
      <c r="H125" s="173">
        <f t="shared" si="33"/>
        <v>2595.7316666666666</v>
      </c>
      <c r="I125" s="174">
        <f t="shared" si="34"/>
        <v>49.92</v>
      </c>
      <c r="J125" s="175">
        <v>-1.0000000000005116E-2</v>
      </c>
      <c r="K125" s="176">
        <v>49.91</v>
      </c>
      <c r="L125" s="171"/>
      <c r="M125" s="169"/>
    </row>
    <row r="126" spans="1:13" s="125" customFormat="1" ht="15.6" x14ac:dyDescent="0.25">
      <c r="A126" s="169"/>
      <c r="B126" s="145">
        <v>44120</v>
      </c>
      <c r="C126" s="170"/>
      <c r="D126" s="169" t="s">
        <v>36</v>
      </c>
      <c r="E126" s="171" t="s">
        <v>47</v>
      </c>
      <c r="F126" s="171"/>
      <c r="G126" s="172">
        <v>0.16669999999999999</v>
      </c>
      <c r="H126" s="173">
        <f t="shared" si="33"/>
        <v>2595.7316666666666</v>
      </c>
      <c r="I126" s="174">
        <f t="shared" si="34"/>
        <v>49.92</v>
      </c>
      <c r="J126" s="175">
        <v>-1.0000000000005116E-2</v>
      </c>
      <c r="K126" s="176">
        <v>49.91</v>
      </c>
      <c r="L126" s="171"/>
      <c r="M126" s="169"/>
    </row>
    <row r="127" spans="1:13" s="125" customFormat="1" ht="15.6" x14ac:dyDescent="0.25">
      <c r="A127" s="169"/>
      <c r="B127" s="145">
        <v>47624</v>
      </c>
      <c r="C127" s="170"/>
      <c r="D127" s="169" t="s">
        <v>36</v>
      </c>
      <c r="E127" s="171" t="s">
        <v>47</v>
      </c>
      <c r="F127" s="171"/>
      <c r="G127" s="172">
        <v>0.16669999999999999</v>
      </c>
      <c r="H127" s="173">
        <f t="shared" si="33"/>
        <v>2595.7316666666666</v>
      </c>
      <c r="I127" s="174">
        <f t="shared" si="34"/>
        <v>49.92</v>
      </c>
      <c r="J127" s="175">
        <v>-1.0000000000005116E-2</v>
      </c>
      <c r="K127" s="176">
        <v>49.91</v>
      </c>
      <c r="L127" s="171"/>
      <c r="M127" s="169"/>
    </row>
    <row r="128" spans="1:13" s="125" customFormat="1" ht="15.6" x14ac:dyDescent="0.25">
      <c r="A128" s="169"/>
      <c r="B128" s="145">
        <v>61922</v>
      </c>
      <c r="C128" s="170"/>
      <c r="D128" s="169" t="s">
        <v>40</v>
      </c>
      <c r="E128" s="171" t="s">
        <v>47</v>
      </c>
      <c r="F128" s="171"/>
      <c r="G128" s="172">
        <v>0.16669999999999999</v>
      </c>
      <c r="H128" s="173">
        <f t="shared" si="33"/>
        <v>2595.7316666666666</v>
      </c>
      <c r="I128" s="174">
        <f t="shared" si="34"/>
        <v>49.92</v>
      </c>
      <c r="J128" s="175">
        <v>-1.0000000000005116E-2</v>
      </c>
      <c r="K128" s="176">
        <v>49.91</v>
      </c>
      <c r="L128" s="171"/>
      <c r="M128" s="169"/>
    </row>
    <row r="129" spans="1:13" s="125" customFormat="1" ht="15.6" x14ac:dyDescent="0.25">
      <c r="A129" s="169"/>
      <c r="B129" s="145">
        <v>96848</v>
      </c>
      <c r="C129" s="170"/>
      <c r="D129" s="213" t="s">
        <v>36</v>
      </c>
      <c r="E129" s="214" t="s">
        <v>47</v>
      </c>
      <c r="F129" s="214"/>
      <c r="G129" s="215">
        <v>0.16669999999999999</v>
      </c>
      <c r="H129" s="216">
        <f t="shared" si="33"/>
        <v>2595.7316666666666</v>
      </c>
      <c r="I129" s="217">
        <f t="shared" si="34"/>
        <v>49.92</v>
      </c>
      <c r="J129" s="218">
        <v>-1.0000000000005116E-2</v>
      </c>
      <c r="K129" s="219">
        <v>49.91</v>
      </c>
      <c r="L129" s="186"/>
      <c r="M129" s="169"/>
    </row>
    <row r="130" spans="1:13" s="125" customFormat="1" ht="16.2" thickBot="1" x14ac:dyDescent="0.3">
      <c r="A130" s="169"/>
      <c r="B130" s="145"/>
      <c r="C130" s="177"/>
      <c r="D130" s="220"/>
      <c r="E130" s="221" t="s">
        <v>38</v>
      </c>
      <c r="F130" s="221"/>
      <c r="G130" s="222">
        <f>SUBTOTAL(9,G124:G129)</f>
        <v>1.0002</v>
      </c>
      <c r="H130" s="223">
        <v>15574.39</v>
      </c>
      <c r="I130" s="224">
        <f>SUM(I124:I129)</f>
        <v>299.52000000000004</v>
      </c>
      <c r="J130" s="225">
        <v>-6.0000000000030695E-2</v>
      </c>
      <c r="K130" s="223">
        <f t="shared" ref="K130" si="35">SUM(K124:K129)</f>
        <v>299.45999999999998</v>
      </c>
      <c r="L130" s="171"/>
      <c r="M130" s="169"/>
    </row>
    <row r="131" spans="1:13" s="125" customFormat="1" ht="15.6" x14ac:dyDescent="0.25">
      <c r="A131" s="169"/>
      <c r="B131" s="145">
        <v>16776</v>
      </c>
      <c r="C131" s="170"/>
      <c r="D131" s="206" t="s">
        <v>40</v>
      </c>
      <c r="E131" s="207" t="s">
        <v>46</v>
      </c>
      <c r="F131" s="207"/>
      <c r="G131" s="208">
        <v>0.16669999999999999</v>
      </c>
      <c r="H131" s="209">
        <f t="shared" ref="H131:H136" si="36">G131/$G$137*$H$137</f>
        <v>2278.79</v>
      </c>
      <c r="I131" s="210">
        <f t="shared" ref="I131:I136" si="37">ROUND(H131/52,2)</f>
        <v>43.82</v>
      </c>
      <c r="J131" s="211">
        <v>9.9999999999980105E-3</v>
      </c>
      <c r="K131" s="212">
        <v>43.83</v>
      </c>
      <c r="L131" s="171"/>
      <c r="M131" s="169"/>
    </row>
    <row r="132" spans="1:13" s="125" customFormat="1" ht="15.6" x14ac:dyDescent="0.25">
      <c r="A132" s="169"/>
      <c r="B132" s="145">
        <v>27237</v>
      </c>
      <c r="C132" s="170"/>
      <c r="D132" s="169" t="s">
        <v>40</v>
      </c>
      <c r="E132" s="171" t="s">
        <v>46</v>
      </c>
      <c r="F132" s="171"/>
      <c r="G132" s="172">
        <v>0.16669999999999999</v>
      </c>
      <c r="H132" s="173">
        <f t="shared" si="36"/>
        <v>2278.79</v>
      </c>
      <c r="I132" s="174">
        <f t="shared" si="37"/>
        <v>43.82</v>
      </c>
      <c r="J132" s="175">
        <v>9.9999999999980105E-3</v>
      </c>
      <c r="K132" s="176">
        <v>43.83</v>
      </c>
      <c r="L132" s="171"/>
      <c r="M132" s="169"/>
    </row>
    <row r="133" spans="1:13" s="125" customFormat="1" ht="15.6" x14ac:dyDescent="0.25">
      <c r="A133" s="169"/>
      <c r="B133" s="145">
        <v>32527</v>
      </c>
      <c r="C133" s="170"/>
      <c r="D133" s="169" t="s">
        <v>36</v>
      </c>
      <c r="E133" s="171" t="s">
        <v>46</v>
      </c>
      <c r="F133" s="171"/>
      <c r="G133" s="172">
        <v>0.16669999999999999</v>
      </c>
      <c r="H133" s="173">
        <f t="shared" si="36"/>
        <v>2278.79</v>
      </c>
      <c r="I133" s="174">
        <f t="shared" si="37"/>
        <v>43.82</v>
      </c>
      <c r="J133" s="175">
        <v>9.9999999999980105E-3</v>
      </c>
      <c r="K133" s="176">
        <v>43.83</v>
      </c>
      <c r="L133" s="171"/>
      <c r="M133" s="169"/>
    </row>
    <row r="134" spans="1:13" s="125" customFormat="1" ht="15.6" x14ac:dyDescent="0.25">
      <c r="A134" s="169"/>
      <c r="B134" s="145">
        <v>37432</v>
      </c>
      <c r="C134" s="170"/>
      <c r="D134" s="169" t="s">
        <v>36</v>
      </c>
      <c r="E134" s="171" t="s">
        <v>46</v>
      </c>
      <c r="F134" s="171"/>
      <c r="G134" s="172">
        <v>0.16669999999999999</v>
      </c>
      <c r="H134" s="173">
        <f t="shared" si="36"/>
        <v>2278.79</v>
      </c>
      <c r="I134" s="174">
        <f t="shared" si="37"/>
        <v>43.82</v>
      </c>
      <c r="J134" s="175">
        <v>9.9999999999980105E-3</v>
      </c>
      <c r="K134" s="176">
        <v>43.83</v>
      </c>
      <c r="L134" s="171"/>
      <c r="M134" s="169"/>
    </row>
    <row r="135" spans="1:13" s="125" customFormat="1" ht="15.6" x14ac:dyDescent="0.25">
      <c r="A135" s="169"/>
      <c r="B135" s="145">
        <v>54004</v>
      </c>
      <c r="C135" s="170"/>
      <c r="D135" s="169" t="s">
        <v>36</v>
      </c>
      <c r="E135" s="171" t="s">
        <v>46</v>
      </c>
      <c r="F135" s="171"/>
      <c r="G135" s="172">
        <v>0.16669999999999999</v>
      </c>
      <c r="H135" s="173">
        <f t="shared" si="36"/>
        <v>2278.79</v>
      </c>
      <c r="I135" s="174">
        <f t="shared" si="37"/>
        <v>43.82</v>
      </c>
      <c r="J135" s="175">
        <v>9.9999999999980105E-3</v>
      </c>
      <c r="K135" s="176">
        <v>43.83</v>
      </c>
      <c r="L135" s="171"/>
      <c r="M135" s="169"/>
    </row>
    <row r="136" spans="1:13" s="125" customFormat="1" ht="15.6" x14ac:dyDescent="0.25">
      <c r="A136" s="169"/>
      <c r="B136" s="145">
        <v>75623</v>
      </c>
      <c r="C136" s="170"/>
      <c r="D136" s="213" t="s">
        <v>40</v>
      </c>
      <c r="E136" s="214" t="s">
        <v>46</v>
      </c>
      <c r="F136" s="214"/>
      <c r="G136" s="215">
        <v>0.16669999999999999</v>
      </c>
      <c r="H136" s="216">
        <f t="shared" si="36"/>
        <v>2278.79</v>
      </c>
      <c r="I136" s="217">
        <f t="shared" si="37"/>
        <v>43.82</v>
      </c>
      <c r="J136" s="218">
        <v>9.9999999999980105E-3</v>
      </c>
      <c r="K136" s="219">
        <v>43.83</v>
      </c>
      <c r="L136" s="171"/>
      <c r="M136" s="169"/>
    </row>
    <row r="137" spans="1:13" s="125" customFormat="1" ht="16.2" thickBot="1" x14ac:dyDescent="0.3">
      <c r="A137" s="169"/>
      <c r="B137" s="145"/>
      <c r="C137" s="177"/>
      <c r="D137" s="220"/>
      <c r="E137" s="221" t="s">
        <v>38</v>
      </c>
      <c r="F137" s="221"/>
      <c r="G137" s="222">
        <f>SUBTOTAL(9,G131:G136)</f>
        <v>1.0002</v>
      </c>
      <c r="H137" s="223">
        <v>13672.740000000002</v>
      </c>
      <c r="I137" s="224">
        <f>SUM(I131:I136)</f>
        <v>262.92</v>
      </c>
      <c r="J137" s="225">
        <v>5.9999999999988063E-2</v>
      </c>
      <c r="K137" s="223">
        <f t="shared" ref="K137" si="38">SUM(K131:K136)</f>
        <v>262.97999999999996</v>
      </c>
      <c r="L137" s="171"/>
      <c r="M137" s="169"/>
    </row>
    <row r="138" spans="1:13" s="125" customFormat="1" ht="15.6" x14ac:dyDescent="0.25">
      <c r="A138" s="169"/>
      <c r="B138" s="145">
        <v>13356</v>
      </c>
      <c r="C138" s="170"/>
      <c r="D138" s="206" t="s">
        <v>36</v>
      </c>
      <c r="E138" s="207" t="s">
        <v>45</v>
      </c>
      <c r="F138" s="207"/>
      <c r="G138" s="208">
        <v>0.16669999999999999</v>
      </c>
      <c r="H138" s="209">
        <f t="shared" ref="H138:H143" si="39">G138/$G$144*$H$144</f>
        <v>1892.6283333333333</v>
      </c>
      <c r="I138" s="210">
        <f t="shared" ref="I138:I143" si="40">ROUND(H138/52,2)</f>
        <v>36.4</v>
      </c>
      <c r="J138" s="211">
        <v>-9.9999999999980105E-3</v>
      </c>
      <c r="K138" s="212">
        <v>36.39</v>
      </c>
      <c r="L138" s="171"/>
      <c r="M138" s="169"/>
    </row>
    <row r="139" spans="1:13" s="125" customFormat="1" ht="15.6" x14ac:dyDescent="0.25">
      <c r="A139" s="169"/>
      <c r="B139" s="145">
        <v>14339</v>
      </c>
      <c r="C139" s="170"/>
      <c r="D139" s="169" t="s">
        <v>36</v>
      </c>
      <c r="E139" s="171" t="s">
        <v>45</v>
      </c>
      <c r="F139" s="171"/>
      <c r="G139" s="172">
        <v>0.16669999999999999</v>
      </c>
      <c r="H139" s="173">
        <f t="shared" si="39"/>
        <v>1892.6283333333333</v>
      </c>
      <c r="I139" s="174">
        <f t="shared" si="40"/>
        <v>36.4</v>
      </c>
      <c r="J139" s="175">
        <v>-9.9999999999980105E-3</v>
      </c>
      <c r="K139" s="176">
        <v>36.39</v>
      </c>
      <c r="L139" s="171"/>
      <c r="M139" s="169"/>
    </row>
    <row r="140" spans="1:13" s="125" customFormat="1" ht="15.6" x14ac:dyDescent="0.25">
      <c r="A140" s="169"/>
      <c r="B140" s="145">
        <v>24618</v>
      </c>
      <c r="C140" s="170"/>
      <c r="D140" s="169" t="s">
        <v>40</v>
      </c>
      <c r="E140" s="171" t="s">
        <v>45</v>
      </c>
      <c r="F140" s="171"/>
      <c r="G140" s="172">
        <v>0.16669999999999999</v>
      </c>
      <c r="H140" s="173">
        <f t="shared" si="39"/>
        <v>1892.6283333333333</v>
      </c>
      <c r="I140" s="174">
        <f t="shared" si="40"/>
        <v>36.4</v>
      </c>
      <c r="J140" s="175">
        <v>-9.9999999999980105E-3</v>
      </c>
      <c r="K140" s="176">
        <v>36.39</v>
      </c>
      <c r="L140" s="171"/>
      <c r="M140" s="169"/>
    </row>
    <row r="141" spans="1:13" s="125" customFormat="1" ht="15.6" x14ac:dyDescent="0.25">
      <c r="A141" s="169"/>
      <c r="B141" s="145">
        <v>33086</v>
      </c>
      <c r="C141" s="170"/>
      <c r="D141" s="169" t="s">
        <v>36</v>
      </c>
      <c r="E141" s="171" t="s">
        <v>45</v>
      </c>
      <c r="F141" s="171"/>
      <c r="G141" s="172">
        <v>0.16669999999999999</v>
      </c>
      <c r="H141" s="173">
        <f t="shared" si="39"/>
        <v>1892.6283333333333</v>
      </c>
      <c r="I141" s="174">
        <f t="shared" si="40"/>
        <v>36.4</v>
      </c>
      <c r="J141" s="175">
        <v>-9.9999999999980105E-3</v>
      </c>
      <c r="K141" s="176">
        <v>36.39</v>
      </c>
      <c r="L141" s="171"/>
      <c r="M141" s="169"/>
    </row>
    <row r="142" spans="1:13" s="125" customFormat="1" ht="15.6" x14ac:dyDescent="0.25">
      <c r="A142" s="169"/>
      <c r="B142" s="145">
        <v>54191</v>
      </c>
      <c r="C142" s="170"/>
      <c r="D142" s="169" t="s">
        <v>40</v>
      </c>
      <c r="E142" s="171" t="s">
        <v>45</v>
      </c>
      <c r="F142" s="171"/>
      <c r="G142" s="172">
        <v>0.16669999999999999</v>
      </c>
      <c r="H142" s="173">
        <f t="shared" si="39"/>
        <v>1892.6283333333333</v>
      </c>
      <c r="I142" s="174">
        <f t="shared" si="40"/>
        <v>36.4</v>
      </c>
      <c r="J142" s="175">
        <v>-9.9999999999980105E-3</v>
      </c>
      <c r="K142" s="176">
        <v>36.39</v>
      </c>
      <c r="L142" s="171"/>
      <c r="M142" s="169"/>
    </row>
    <row r="143" spans="1:13" s="125" customFormat="1" ht="15.6" x14ac:dyDescent="0.25">
      <c r="A143" s="169"/>
      <c r="B143" s="145">
        <v>85266</v>
      </c>
      <c r="C143" s="170"/>
      <c r="D143" s="213" t="s">
        <v>40</v>
      </c>
      <c r="E143" s="214" t="s">
        <v>45</v>
      </c>
      <c r="F143" s="214"/>
      <c r="G143" s="215">
        <v>0.16669999999999999</v>
      </c>
      <c r="H143" s="216">
        <f t="shared" si="39"/>
        <v>1892.6283333333333</v>
      </c>
      <c r="I143" s="217">
        <f t="shared" si="40"/>
        <v>36.4</v>
      </c>
      <c r="J143" s="218">
        <v>-9.9999999999980105E-3</v>
      </c>
      <c r="K143" s="219">
        <v>36.39</v>
      </c>
      <c r="L143" s="171"/>
      <c r="M143" s="169"/>
    </row>
    <row r="144" spans="1:13" s="125" customFormat="1" ht="16.2" thickBot="1" x14ac:dyDescent="0.3">
      <c r="A144" s="169"/>
      <c r="B144" s="145"/>
      <c r="C144" s="177"/>
      <c r="D144" s="220"/>
      <c r="E144" s="221" t="s">
        <v>38</v>
      </c>
      <c r="F144" s="221"/>
      <c r="G144" s="222">
        <f>SUBTOTAL(9,G138:G143)</f>
        <v>1.0002</v>
      </c>
      <c r="H144" s="223">
        <v>11355.77</v>
      </c>
      <c r="I144" s="224">
        <f>SUM(I138:I143)</f>
        <v>218.4</v>
      </c>
      <c r="J144" s="225">
        <v>-5.9999999999988063E-2</v>
      </c>
      <c r="K144" s="223">
        <f t="shared" ref="K144" si="41">SUM(K138:K143)</f>
        <v>218.33999999999997</v>
      </c>
      <c r="L144" s="171"/>
      <c r="M144" s="169"/>
    </row>
    <row r="145" spans="1:13" s="125" customFormat="1" ht="15.6" x14ac:dyDescent="0.25">
      <c r="A145" s="169"/>
      <c r="B145" s="145">
        <v>5439</v>
      </c>
      <c r="C145" s="170"/>
      <c r="D145" s="206" t="s">
        <v>40</v>
      </c>
      <c r="E145" s="207" t="s">
        <v>44</v>
      </c>
      <c r="F145" s="207"/>
      <c r="G145" s="208">
        <v>0.16669999999999999</v>
      </c>
      <c r="H145" s="209">
        <f t="shared" ref="H145:H150" si="42">G145/$G$151*$H$151</f>
        <v>2204.9266666666663</v>
      </c>
      <c r="I145" s="210">
        <f t="shared" ref="I145:I150" si="43">ROUND(H145/52,2)</f>
        <v>42.4</v>
      </c>
      <c r="J145" s="211">
        <v>0</v>
      </c>
      <c r="K145" s="212">
        <v>42.4</v>
      </c>
      <c r="L145" s="187"/>
      <c r="M145" s="169"/>
    </row>
    <row r="146" spans="1:13" s="125" customFormat="1" ht="15.6" x14ac:dyDescent="0.25">
      <c r="A146" s="169"/>
      <c r="B146" s="145">
        <v>9427</v>
      </c>
      <c r="C146" s="170"/>
      <c r="D146" s="169" t="s">
        <v>36</v>
      </c>
      <c r="E146" s="171" t="s">
        <v>44</v>
      </c>
      <c r="F146" s="171"/>
      <c r="G146" s="172">
        <v>0.16669999999999999</v>
      </c>
      <c r="H146" s="173">
        <f t="shared" si="42"/>
        <v>2204.9266666666663</v>
      </c>
      <c r="I146" s="174">
        <f t="shared" si="43"/>
        <v>42.4</v>
      </c>
      <c r="J146" s="175">
        <v>0</v>
      </c>
      <c r="K146" s="176">
        <v>42.4</v>
      </c>
      <c r="L146" s="187"/>
      <c r="M146" s="169"/>
    </row>
    <row r="147" spans="1:13" s="125" customFormat="1" ht="15.6" x14ac:dyDescent="0.25">
      <c r="A147" s="169"/>
      <c r="B147" s="145">
        <v>13448</v>
      </c>
      <c r="C147" s="170"/>
      <c r="D147" s="169" t="s">
        <v>40</v>
      </c>
      <c r="E147" s="171" t="s">
        <v>44</v>
      </c>
      <c r="F147" s="171"/>
      <c r="G147" s="172">
        <v>0.16669999999999999</v>
      </c>
      <c r="H147" s="173">
        <f t="shared" si="42"/>
        <v>2204.9266666666663</v>
      </c>
      <c r="I147" s="174">
        <f t="shared" si="43"/>
        <v>42.4</v>
      </c>
      <c r="J147" s="175">
        <v>0</v>
      </c>
      <c r="K147" s="176">
        <v>42.4</v>
      </c>
      <c r="L147" s="187"/>
      <c r="M147" s="169"/>
    </row>
    <row r="148" spans="1:13" s="125" customFormat="1" ht="15.6" x14ac:dyDescent="0.25">
      <c r="A148" s="169"/>
      <c r="B148" s="145">
        <v>31862</v>
      </c>
      <c r="C148" s="170"/>
      <c r="D148" s="169" t="s">
        <v>40</v>
      </c>
      <c r="E148" s="171" t="s">
        <v>44</v>
      </c>
      <c r="F148" s="171"/>
      <c r="G148" s="172">
        <v>0.16669999999999999</v>
      </c>
      <c r="H148" s="173">
        <f t="shared" si="42"/>
        <v>2204.9266666666663</v>
      </c>
      <c r="I148" s="174">
        <f t="shared" si="43"/>
        <v>42.4</v>
      </c>
      <c r="J148" s="175">
        <v>0</v>
      </c>
      <c r="K148" s="176">
        <v>42.4</v>
      </c>
      <c r="L148" s="187"/>
      <c r="M148" s="169"/>
    </row>
    <row r="149" spans="1:13" s="125" customFormat="1" ht="15.6" x14ac:dyDescent="0.25">
      <c r="A149" s="169"/>
      <c r="B149" s="145">
        <v>32877</v>
      </c>
      <c r="C149" s="170"/>
      <c r="D149" s="169" t="s">
        <v>40</v>
      </c>
      <c r="E149" s="171" t="s">
        <v>44</v>
      </c>
      <c r="F149" s="171"/>
      <c r="G149" s="172">
        <v>0.16669999999999999</v>
      </c>
      <c r="H149" s="173">
        <f t="shared" si="42"/>
        <v>2204.9266666666663</v>
      </c>
      <c r="I149" s="174">
        <f t="shared" si="43"/>
        <v>42.4</v>
      </c>
      <c r="J149" s="175">
        <v>0</v>
      </c>
      <c r="K149" s="176">
        <v>42.4</v>
      </c>
      <c r="L149" s="187"/>
      <c r="M149" s="169"/>
    </row>
    <row r="150" spans="1:13" s="125" customFormat="1" ht="15.6" x14ac:dyDescent="0.25">
      <c r="A150" s="169"/>
      <c r="B150" s="145">
        <v>42050</v>
      </c>
      <c r="C150" s="170"/>
      <c r="D150" s="213" t="s">
        <v>36</v>
      </c>
      <c r="E150" s="214" t="s">
        <v>44</v>
      </c>
      <c r="F150" s="214"/>
      <c r="G150" s="215">
        <v>0.16669999999999999</v>
      </c>
      <c r="H150" s="216">
        <f t="shared" si="42"/>
        <v>2204.9266666666663</v>
      </c>
      <c r="I150" s="217">
        <f t="shared" si="43"/>
        <v>42.4</v>
      </c>
      <c r="J150" s="218">
        <v>0</v>
      </c>
      <c r="K150" s="219">
        <v>42.4</v>
      </c>
      <c r="L150" s="187"/>
      <c r="M150" s="169"/>
    </row>
    <row r="151" spans="1:13" s="125" customFormat="1" ht="16.2" thickBot="1" x14ac:dyDescent="0.3">
      <c r="A151" s="169"/>
      <c r="B151" s="145"/>
      <c r="C151" s="177"/>
      <c r="D151" s="220"/>
      <c r="E151" s="221" t="s">
        <v>38</v>
      </c>
      <c r="F151" s="221"/>
      <c r="G151" s="222">
        <f>SUBTOTAL(9,G145:G150)</f>
        <v>1.0002</v>
      </c>
      <c r="H151" s="223">
        <v>13229.56</v>
      </c>
      <c r="I151" s="224">
        <f>SUM(I145:I150)</f>
        <v>254.4</v>
      </c>
      <c r="J151" s="225">
        <v>0</v>
      </c>
      <c r="K151" s="223">
        <f t="shared" ref="K151" si="44">SUM(K145:K150)</f>
        <v>254.4</v>
      </c>
      <c r="L151" s="187"/>
      <c r="M151" s="169"/>
    </row>
    <row r="152" spans="1:13" s="125" customFormat="1" ht="15.6" x14ac:dyDescent="0.25">
      <c r="A152" s="169"/>
      <c r="B152" s="145">
        <v>37269</v>
      </c>
      <c r="C152" s="170"/>
      <c r="D152" s="206" t="s">
        <v>40</v>
      </c>
      <c r="E152" s="207" t="s">
        <v>43</v>
      </c>
      <c r="F152" s="207"/>
      <c r="G152" s="208">
        <v>0.16669999999999999</v>
      </c>
      <c r="H152" s="209">
        <f t="shared" ref="H152:H157" si="45">G152/$G$158*$H$158</f>
        <v>2190.7183333333332</v>
      </c>
      <c r="I152" s="210">
        <f t="shared" ref="I152:I157" si="46">ROUND(H152/52,2)</f>
        <v>42.13</v>
      </c>
      <c r="J152" s="211">
        <v>0</v>
      </c>
      <c r="K152" s="212">
        <v>42.13</v>
      </c>
      <c r="L152" s="187"/>
      <c r="M152" s="169"/>
    </row>
    <row r="153" spans="1:13" s="125" customFormat="1" ht="15.6" x14ac:dyDescent="0.25">
      <c r="A153" s="169"/>
      <c r="B153" s="145">
        <v>53496</v>
      </c>
      <c r="C153" s="170"/>
      <c r="D153" s="169" t="s">
        <v>36</v>
      </c>
      <c r="E153" s="171" t="s">
        <v>43</v>
      </c>
      <c r="F153" s="171"/>
      <c r="G153" s="172">
        <v>0.16669999999999999</v>
      </c>
      <c r="H153" s="173">
        <f t="shared" si="45"/>
        <v>2190.7183333333332</v>
      </c>
      <c r="I153" s="174">
        <f t="shared" si="46"/>
        <v>42.13</v>
      </c>
      <c r="J153" s="175">
        <v>0</v>
      </c>
      <c r="K153" s="176">
        <v>42.13</v>
      </c>
      <c r="L153" s="187"/>
      <c r="M153" s="169"/>
    </row>
    <row r="154" spans="1:13" s="125" customFormat="1" ht="15.6" x14ac:dyDescent="0.25">
      <c r="A154" s="169"/>
      <c r="B154" s="145">
        <v>64287</v>
      </c>
      <c r="C154" s="170"/>
      <c r="D154" s="169" t="s">
        <v>36</v>
      </c>
      <c r="E154" s="171" t="s">
        <v>43</v>
      </c>
      <c r="F154" s="171"/>
      <c r="G154" s="172">
        <v>0.16669999999999999</v>
      </c>
      <c r="H154" s="173">
        <f t="shared" si="45"/>
        <v>2190.7183333333332</v>
      </c>
      <c r="I154" s="174">
        <f t="shared" si="46"/>
        <v>42.13</v>
      </c>
      <c r="J154" s="175">
        <v>0</v>
      </c>
      <c r="K154" s="176">
        <v>42.13</v>
      </c>
      <c r="L154" s="187"/>
      <c r="M154" s="169"/>
    </row>
    <row r="155" spans="1:13" s="125" customFormat="1" ht="15.6" x14ac:dyDescent="0.25">
      <c r="A155" s="169"/>
      <c r="B155" s="145">
        <v>66013</v>
      </c>
      <c r="C155" s="170"/>
      <c r="D155" s="169" t="s">
        <v>36</v>
      </c>
      <c r="E155" s="171" t="s">
        <v>43</v>
      </c>
      <c r="F155" s="171"/>
      <c r="G155" s="172">
        <v>0.16669999999999999</v>
      </c>
      <c r="H155" s="173">
        <f t="shared" si="45"/>
        <v>2190.7183333333332</v>
      </c>
      <c r="I155" s="174">
        <f t="shared" si="46"/>
        <v>42.13</v>
      </c>
      <c r="J155" s="175">
        <v>0</v>
      </c>
      <c r="K155" s="176">
        <v>42.13</v>
      </c>
      <c r="L155" s="171"/>
      <c r="M155" s="169"/>
    </row>
    <row r="156" spans="1:13" s="125" customFormat="1" ht="15.6" x14ac:dyDescent="0.25">
      <c r="A156" s="169"/>
      <c r="B156" s="145">
        <v>80678</v>
      </c>
      <c r="C156" s="170"/>
      <c r="D156" s="169" t="s">
        <v>40</v>
      </c>
      <c r="E156" s="171" t="s">
        <v>43</v>
      </c>
      <c r="F156" s="171"/>
      <c r="G156" s="172">
        <v>0.16669999999999999</v>
      </c>
      <c r="H156" s="173">
        <f t="shared" si="45"/>
        <v>2190.7183333333332</v>
      </c>
      <c r="I156" s="174">
        <f t="shared" si="46"/>
        <v>42.13</v>
      </c>
      <c r="J156" s="175">
        <v>0</v>
      </c>
      <c r="K156" s="176">
        <v>42.13</v>
      </c>
      <c r="L156" s="171"/>
      <c r="M156" s="169"/>
    </row>
    <row r="157" spans="1:13" s="125" customFormat="1" ht="15.6" x14ac:dyDescent="0.25">
      <c r="A157" s="169"/>
      <c r="B157" s="145">
        <v>87746</v>
      </c>
      <c r="C157" s="170"/>
      <c r="D157" s="213" t="s">
        <v>40</v>
      </c>
      <c r="E157" s="214" t="s">
        <v>43</v>
      </c>
      <c r="F157" s="214"/>
      <c r="G157" s="215">
        <v>0.16669999999999999</v>
      </c>
      <c r="H157" s="216">
        <f t="shared" si="45"/>
        <v>2190.7183333333332</v>
      </c>
      <c r="I157" s="217">
        <f t="shared" si="46"/>
        <v>42.13</v>
      </c>
      <c r="J157" s="218">
        <v>0</v>
      </c>
      <c r="K157" s="219">
        <v>42.13</v>
      </c>
      <c r="L157" s="187"/>
      <c r="M157" s="169"/>
    </row>
    <row r="158" spans="1:13" s="125" customFormat="1" ht="16.2" thickBot="1" x14ac:dyDescent="0.3">
      <c r="A158" s="169"/>
      <c r="B158" s="145"/>
      <c r="C158" s="177"/>
      <c r="D158" s="220"/>
      <c r="E158" s="221" t="s">
        <v>38</v>
      </c>
      <c r="F158" s="221"/>
      <c r="G158" s="222">
        <f>SUBTOTAL(9,G152:G157)</f>
        <v>1.0002</v>
      </c>
      <c r="H158" s="223">
        <v>13144.31</v>
      </c>
      <c r="I158" s="224">
        <f>SUM(I152:I157)</f>
        <v>252.78</v>
      </c>
      <c r="J158" s="225">
        <v>0</v>
      </c>
      <c r="K158" s="223">
        <f t="shared" ref="K158" si="47">SUM(K152:K157)</f>
        <v>252.78</v>
      </c>
      <c r="L158" s="171"/>
      <c r="M158" s="169"/>
    </row>
    <row r="159" spans="1:13" s="125" customFormat="1" ht="15.6" x14ac:dyDescent="0.25">
      <c r="A159" s="169"/>
      <c r="B159" s="145">
        <v>12088</v>
      </c>
      <c r="C159" s="170"/>
      <c r="D159" s="206" t="s">
        <v>40</v>
      </c>
      <c r="E159" s="207" t="s">
        <v>42</v>
      </c>
      <c r="F159" s="207"/>
      <c r="G159" s="208">
        <v>0.16669999999999999</v>
      </c>
      <c r="H159" s="209">
        <f t="shared" ref="H159:H164" si="48">G159/$G$165*$H$165</f>
        <v>3240.6949999999997</v>
      </c>
      <c r="I159" s="210">
        <f t="shared" ref="I159:I164" si="49">ROUND(H159/52,2)</f>
        <v>62.32</v>
      </c>
      <c r="J159" s="211">
        <v>0</v>
      </c>
      <c r="K159" s="212">
        <v>62.32</v>
      </c>
      <c r="L159" s="171"/>
      <c r="M159" s="169"/>
    </row>
    <row r="160" spans="1:13" s="125" customFormat="1" ht="15.6" x14ac:dyDescent="0.25">
      <c r="A160" s="169"/>
      <c r="B160" s="145">
        <v>17453</v>
      </c>
      <c r="C160" s="170"/>
      <c r="D160" s="169" t="s">
        <v>40</v>
      </c>
      <c r="E160" s="171" t="s">
        <v>42</v>
      </c>
      <c r="F160" s="171"/>
      <c r="G160" s="172">
        <v>0.16669999999999999</v>
      </c>
      <c r="H160" s="173">
        <f t="shared" si="48"/>
        <v>3240.6949999999997</v>
      </c>
      <c r="I160" s="174">
        <f t="shared" si="49"/>
        <v>62.32</v>
      </c>
      <c r="J160" s="175">
        <v>0</v>
      </c>
      <c r="K160" s="176">
        <v>62.32</v>
      </c>
      <c r="L160" s="171"/>
      <c r="M160" s="169"/>
    </row>
    <row r="161" spans="1:13" s="125" customFormat="1" ht="15.6" x14ac:dyDescent="0.25">
      <c r="A161" s="169"/>
      <c r="B161" s="145">
        <v>38373</v>
      </c>
      <c r="C161" s="170"/>
      <c r="D161" s="169" t="s">
        <v>40</v>
      </c>
      <c r="E161" s="171" t="s">
        <v>42</v>
      </c>
      <c r="F161" s="171"/>
      <c r="G161" s="172">
        <v>0.16669999999999999</v>
      </c>
      <c r="H161" s="173">
        <f t="shared" si="48"/>
        <v>3240.6949999999997</v>
      </c>
      <c r="I161" s="174">
        <f t="shared" si="49"/>
        <v>62.32</v>
      </c>
      <c r="J161" s="175">
        <v>0</v>
      </c>
      <c r="K161" s="176">
        <v>62.32</v>
      </c>
      <c r="L161" s="171"/>
      <c r="M161" s="169"/>
    </row>
    <row r="162" spans="1:13" s="125" customFormat="1" ht="15.6" x14ac:dyDescent="0.25">
      <c r="A162" s="169"/>
      <c r="B162" s="145">
        <v>51074</v>
      </c>
      <c r="C162" s="170"/>
      <c r="D162" s="169" t="s">
        <v>36</v>
      </c>
      <c r="E162" s="171" t="s">
        <v>42</v>
      </c>
      <c r="F162" s="171"/>
      <c r="G162" s="172">
        <v>0.16669999999999999</v>
      </c>
      <c r="H162" s="173">
        <f t="shared" si="48"/>
        <v>3240.6949999999997</v>
      </c>
      <c r="I162" s="174">
        <f t="shared" si="49"/>
        <v>62.32</v>
      </c>
      <c r="J162" s="175">
        <v>0</v>
      </c>
      <c r="K162" s="176">
        <v>62.32</v>
      </c>
      <c r="L162" s="171"/>
      <c r="M162" s="169"/>
    </row>
    <row r="163" spans="1:13" s="125" customFormat="1" ht="15.6" x14ac:dyDescent="0.25">
      <c r="A163" s="169"/>
      <c r="B163" s="145">
        <v>57909</v>
      </c>
      <c r="C163" s="170"/>
      <c r="D163" s="169" t="s">
        <v>40</v>
      </c>
      <c r="E163" s="171" t="s">
        <v>42</v>
      </c>
      <c r="F163" s="171"/>
      <c r="G163" s="172">
        <v>0.16669999999999999</v>
      </c>
      <c r="H163" s="173">
        <f t="shared" si="48"/>
        <v>3240.6949999999997</v>
      </c>
      <c r="I163" s="174">
        <f t="shared" si="49"/>
        <v>62.32</v>
      </c>
      <c r="J163" s="175">
        <v>0</v>
      </c>
      <c r="K163" s="176">
        <v>62.32</v>
      </c>
      <c r="L163" s="171"/>
      <c r="M163" s="169"/>
    </row>
    <row r="164" spans="1:13" s="125" customFormat="1" ht="15.6" x14ac:dyDescent="0.25">
      <c r="A164" s="169"/>
      <c r="B164" s="145">
        <v>69696</v>
      </c>
      <c r="C164" s="170"/>
      <c r="D164" s="213" t="s">
        <v>40</v>
      </c>
      <c r="E164" s="214" t="s">
        <v>42</v>
      </c>
      <c r="F164" s="214"/>
      <c r="G164" s="215">
        <v>0.16669999999999999</v>
      </c>
      <c r="H164" s="216">
        <f t="shared" si="48"/>
        <v>3240.6949999999997</v>
      </c>
      <c r="I164" s="217">
        <f t="shared" si="49"/>
        <v>62.32</v>
      </c>
      <c r="J164" s="218">
        <v>0</v>
      </c>
      <c r="K164" s="219">
        <v>62.32</v>
      </c>
      <c r="L164" s="171"/>
      <c r="M164" s="169"/>
    </row>
    <row r="165" spans="1:13" s="125" customFormat="1" ht="16.2" thickBot="1" x14ac:dyDescent="0.3">
      <c r="A165" s="169"/>
      <c r="B165" s="145"/>
      <c r="C165" s="177"/>
      <c r="D165" s="220"/>
      <c r="E165" s="221" t="s">
        <v>38</v>
      </c>
      <c r="F165" s="221"/>
      <c r="G165" s="222">
        <f>SUBTOTAL(9,G159:G164)</f>
        <v>1.0002</v>
      </c>
      <c r="H165" s="223">
        <v>19444.169999999998</v>
      </c>
      <c r="I165" s="224">
        <f>SUM(I159:I164)</f>
        <v>373.92</v>
      </c>
      <c r="J165" s="225">
        <v>0</v>
      </c>
      <c r="K165" s="223">
        <f t="shared" ref="K165" si="50">SUM(K159:K164)</f>
        <v>373.92</v>
      </c>
      <c r="L165" s="171"/>
      <c r="M165" s="169"/>
    </row>
    <row r="166" spans="1:13" s="125" customFormat="1" ht="15.6" x14ac:dyDescent="0.25">
      <c r="A166" s="169"/>
      <c r="B166" s="145">
        <v>522</v>
      </c>
      <c r="C166" s="170"/>
      <c r="D166" s="206" t="s">
        <v>36</v>
      </c>
      <c r="E166" s="207" t="s">
        <v>41</v>
      </c>
      <c r="F166" s="207"/>
      <c r="G166" s="208">
        <v>3.0400000000000002E-3</v>
      </c>
      <c r="H166" s="209">
        <f t="shared" ref="H166:H229" si="51">G166/$G$427*$H$427</f>
        <v>949.65734672026599</v>
      </c>
      <c r="I166" s="210">
        <f t="shared" ref="I166:I229" si="52">ROUND(H166/52,2)</f>
        <v>18.260000000000002</v>
      </c>
      <c r="J166" s="211">
        <v>0</v>
      </c>
      <c r="K166" s="212">
        <v>18.260000000000002</v>
      </c>
      <c r="L166" s="171"/>
      <c r="M166" s="169"/>
    </row>
    <row r="167" spans="1:13" s="125" customFormat="1" ht="15.6" x14ac:dyDescent="0.25">
      <c r="A167" s="169"/>
      <c r="B167" s="145">
        <v>901</v>
      </c>
      <c r="C167" s="170"/>
      <c r="D167" s="169" t="s">
        <v>40</v>
      </c>
      <c r="E167" s="171" t="s">
        <v>41</v>
      </c>
      <c r="F167" s="171"/>
      <c r="G167" s="172">
        <v>4.0000000000000001E-3</v>
      </c>
      <c r="H167" s="173">
        <f t="shared" si="51"/>
        <v>1249.5491404214024</v>
      </c>
      <c r="I167" s="174">
        <f t="shared" si="52"/>
        <v>24.03</v>
      </c>
      <c r="J167" s="175">
        <v>0</v>
      </c>
      <c r="K167" s="176">
        <v>24.03</v>
      </c>
      <c r="L167" s="171"/>
      <c r="M167" s="169"/>
    </row>
    <row r="168" spans="1:13" s="125" customFormat="1" ht="15.6" x14ac:dyDescent="0.25">
      <c r="A168" s="169"/>
      <c r="B168" s="145">
        <v>1685</v>
      </c>
      <c r="C168" s="170"/>
      <c r="D168" s="169" t="s">
        <v>36</v>
      </c>
      <c r="E168" s="171" t="s">
        <v>41</v>
      </c>
      <c r="F168" s="171"/>
      <c r="G168" s="172">
        <v>4.0000000000000001E-3</v>
      </c>
      <c r="H168" s="173">
        <f t="shared" si="51"/>
        <v>1249.5491404214024</v>
      </c>
      <c r="I168" s="174">
        <f t="shared" si="52"/>
        <v>24.03</v>
      </c>
      <c r="J168" s="175">
        <v>0</v>
      </c>
      <c r="K168" s="176">
        <v>24.03</v>
      </c>
      <c r="L168" s="171"/>
      <c r="M168" s="169"/>
    </row>
    <row r="169" spans="1:13" s="125" customFormat="1" ht="15.6" x14ac:dyDescent="0.25">
      <c r="A169" s="169"/>
      <c r="B169" s="145">
        <v>1747</v>
      </c>
      <c r="C169" s="170"/>
      <c r="D169" s="169" t="s">
        <v>36</v>
      </c>
      <c r="E169" s="171" t="s">
        <v>41</v>
      </c>
      <c r="F169" s="171"/>
      <c r="G169" s="172">
        <v>5.4799999999999996E-3</v>
      </c>
      <c r="H169" s="173">
        <f t="shared" si="51"/>
        <v>1711.8823223773215</v>
      </c>
      <c r="I169" s="174">
        <f t="shared" si="52"/>
        <v>32.92</v>
      </c>
      <c r="J169" s="175">
        <v>0</v>
      </c>
      <c r="K169" s="176">
        <v>32.92</v>
      </c>
      <c r="L169" s="171"/>
      <c r="M169" s="169"/>
    </row>
    <row r="170" spans="1:13" s="125" customFormat="1" ht="15.6" x14ac:dyDescent="0.25">
      <c r="A170" s="169"/>
      <c r="B170" s="145">
        <v>2381</v>
      </c>
      <c r="C170" s="170"/>
      <c r="D170" s="169" t="s">
        <v>40</v>
      </c>
      <c r="E170" s="171" t="s">
        <v>41</v>
      </c>
      <c r="F170" s="171"/>
      <c r="G170" s="172">
        <v>3.0400000000000002E-3</v>
      </c>
      <c r="H170" s="173">
        <f t="shared" si="51"/>
        <v>949.65734672026599</v>
      </c>
      <c r="I170" s="174">
        <f t="shared" si="52"/>
        <v>18.260000000000002</v>
      </c>
      <c r="J170" s="175">
        <v>0</v>
      </c>
      <c r="K170" s="176">
        <v>18.260000000000002</v>
      </c>
      <c r="L170" s="171"/>
      <c r="M170" s="169"/>
    </row>
    <row r="171" spans="1:13" s="125" customFormat="1" ht="15.6" x14ac:dyDescent="0.25">
      <c r="A171" s="169"/>
      <c r="B171" s="145">
        <v>2591</v>
      </c>
      <c r="C171" s="170"/>
      <c r="D171" s="169" t="s">
        <v>36</v>
      </c>
      <c r="E171" s="171" t="s">
        <v>41</v>
      </c>
      <c r="F171" s="171"/>
      <c r="G171" s="172">
        <v>4.0000000000000001E-3</v>
      </c>
      <c r="H171" s="173">
        <f t="shared" si="51"/>
        <v>1249.5491404214024</v>
      </c>
      <c r="I171" s="174">
        <f t="shared" si="52"/>
        <v>24.03</v>
      </c>
      <c r="J171" s="175">
        <v>0</v>
      </c>
      <c r="K171" s="176">
        <v>24.03</v>
      </c>
      <c r="L171" s="171"/>
      <c r="M171" s="169"/>
    </row>
    <row r="172" spans="1:13" s="125" customFormat="1" ht="15.6" x14ac:dyDescent="0.25">
      <c r="A172" s="169"/>
      <c r="B172" s="145">
        <v>2629</v>
      </c>
      <c r="C172" s="170"/>
      <c r="D172" s="169" t="s">
        <v>36</v>
      </c>
      <c r="E172" s="171" t="s">
        <v>41</v>
      </c>
      <c r="F172" s="171"/>
      <c r="G172" s="172">
        <v>3.0400000000000002E-3</v>
      </c>
      <c r="H172" s="173">
        <f t="shared" si="51"/>
        <v>949.65734672026599</v>
      </c>
      <c r="I172" s="174">
        <f t="shared" si="52"/>
        <v>18.260000000000002</v>
      </c>
      <c r="J172" s="175">
        <v>0</v>
      </c>
      <c r="K172" s="176">
        <v>18.260000000000002</v>
      </c>
      <c r="L172" s="171"/>
      <c r="M172" s="169"/>
    </row>
    <row r="173" spans="1:13" s="125" customFormat="1" ht="15.6" x14ac:dyDescent="0.25">
      <c r="A173" s="169"/>
      <c r="B173" s="145">
        <v>2908</v>
      </c>
      <c r="C173" s="170"/>
      <c r="D173" s="169" t="s">
        <v>40</v>
      </c>
      <c r="E173" s="171" t="s">
        <v>41</v>
      </c>
      <c r="F173" s="171"/>
      <c r="G173" s="172">
        <v>4.0000000000000001E-3</v>
      </c>
      <c r="H173" s="173">
        <f t="shared" si="51"/>
        <v>1249.5491404214024</v>
      </c>
      <c r="I173" s="174">
        <f t="shared" si="52"/>
        <v>24.03</v>
      </c>
      <c r="J173" s="175">
        <v>0</v>
      </c>
      <c r="K173" s="176">
        <v>24.03</v>
      </c>
      <c r="L173" s="171"/>
      <c r="M173" s="169"/>
    </row>
    <row r="174" spans="1:13" s="125" customFormat="1" ht="15.6" x14ac:dyDescent="0.25">
      <c r="A174" s="169"/>
      <c r="B174" s="145">
        <v>3407</v>
      </c>
      <c r="C174" s="170"/>
      <c r="D174" s="169" t="s">
        <v>40</v>
      </c>
      <c r="E174" s="171" t="s">
        <v>41</v>
      </c>
      <c r="F174" s="171"/>
      <c r="G174" s="172">
        <v>3.0400000000000002E-3</v>
      </c>
      <c r="H174" s="173">
        <f t="shared" si="51"/>
        <v>949.65734672026599</v>
      </c>
      <c r="I174" s="174">
        <f t="shared" si="52"/>
        <v>18.260000000000002</v>
      </c>
      <c r="J174" s="175">
        <v>0</v>
      </c>
      <c r="K174" s="176">
        <v>18.260000000000002</v>
      </c>
      <c r="L174" s="171"/>
      <c r="M174" s="169"/>
    </row>
    <row r="175" spans="1:13" s="125" customFormat="1" ht="15.6" x14ac:dyDescent="0.25">
      <c r="A175" s="169"/>
      <c r="B175" s="145">
        <v>3703</v>
      </c>
      <c r="C175" s="170"/>
      <c r="D175" s="169" t="s">
        <v>36</v>
      </c>
      <c r="E175" s="171" t="s">
        <v>41</v>
      </c>
      <c r="F175" s="171"/>
      <c r="G175" s="172">
        <v>4.0000000000000001E-3</v>
      </c>
      <c r="H175" s="173">
        <f t="shared" si="51"/>
        <v>1249.5491404214024</v>
      </c>
      <c r="I175" s="174">
        <f t="shared" si="52"/>
        <v>24.03</v>
      </c>
      <c r="J175" s="175">
        <v>0</v>
      </c>
      <c r="K175" s="176">
        <v>24.03</v>
      </c>
      <c r="L175" s="171"/>
      <c r="M175" s="169"/>
    </row>
    <row r="176" spans="1:13" s="125" customFormat="1" ht="15.6" x14ac:dyDescent="0.25">
      <c r="A176" s="169"/>
      <c r="B176" s="145">
        <v>4104</v>
      </c>
      <c r="C176" s="170"/>
      <c r="D176" s="169" t="s">
        <v>36</v>
      </c>
      <c r="E176" s="171" t="s">
        <v>41</v>
      </c>
      <c r="F176" s="171"/>
      <c r="G176" s="172">
        <v>3.0400000000000002E-3</v>
      </c>
      <c r="H176" s="173">
        <f t="shared" si="51"/>
        <v>949.65734672026599</v>
      </c>
      <c r="I176" s="174">
        <f t="shared" si="52"/>
        <v>18.260000000000002</v>
      </c>
      <c r="J176" s="175">
        <v>0</v>
      </c>
      <c r="K176" s="176">
        <v>18.260000000000002</v>
      </c>
      <c r="L176" s="171"/>
      <c r="M176" s="169"/>
    </row>
    <row r="177" spans="1:13" s="125" customFormat="1" ht="15.6" x14ac:dyDescent="0.25">
      <c r="A177" s="169"/>
      <c r="B177" s="145">
        <v>4279</v>
      </c>
      <c r="C177" s="170"/>
      <c r="D177" s="169" t="s">
        <v>40</v>
      </c>
      <c r="E177" s="171" t="s">
        <v>41</v>
      </c>
      <c r="F177" s="171"/>
      <c r="G177" s="172">
        <v>4.0000000000000001E-3</v>
      </c>
      <c r="H177" s="173">
        <f t="shared" si="51"/>
        <v>1249.5491404214024</v>
      </c>
      <c r="I177" s="174">
        <f t="shared" si="52"/>
        <v>24.03</v>
      </c>
      <c r="J177" s="175">
        <v>0</v>
      </c>
      <c r="K177" s="176">
        <v>24.03</v>
      </c>
      <c r="L177" s="171"/>
      <c r="M177" s="169"/>
    </row>
    <row r="178" spans="1:13" s="125" customFormat="1" ht="15.6" x14ac:dyDescent="0.25">
      <c r="A178" s="169"/>
      <c r="B178" s="145">
        <v>4889</v>
      </c>
      <c r="C178" s="170"/>
      <c r="D178" s="169" t="s">
        <v>36</v>
      </c>
      <c r="E178" s="171" t="s">
        <v>41</v>
      </c>
      <c r="F178" s="171"/>
      <c r="G178" s="172">
        <v>3.0400000000000002E-3</v>
      </c>
      <c r="H178" s="173">
        <f t="shared" si="51"/>
        <v>949.65734672026599</v>
      </c>
      <c r="I178" s="174">
        <f t="shared" si="52"/>
        <v>18.260000000000002</v>
      </c>
      <c r="J178" s="175">
        <v>0</v>
      </c>
      <c r="K178" s="176">
        <v>18.260000000000002</v>
      </c>
      <c r="L178" s="171"/>
      <c r="M178" s="169"/>
    </row>
    <row r="179" spans="1:13" s="125" customFormat="1" ht="15.6" x14ac:dyDescent="0.25">
      <c r="A179" s="169"/>
      <c r="B179" s="145">
        <v>5751</v>
      </c>
      <c r="C179" s="170"/>
      <c r="D179" s="169" t="s">
        <v>40</v>
      </c>
      <c r="E179" s="171" t="s">
        <v>41</v>
      </c>
      <c r="F179" s="171"/>
      <c r="G179" s="172">
        <v>3.0400000000000002E-3</v>
      </c>
      <c r="H179" s="173">
        <f t="shared" si="51"/>
        <v>949.65734672026599</v>
      </c>
      <c r="I179" s="174">
        <f t="shared" si="52"/>
        <v>18.260000000000002</v>
      </c>
      <c r="J179" s="175">
        <v>0</v>
      </c>
      <c r="K179" s="176">
        <v>18.260000000000002</v>
      </c>
      <c r="L179" s="171"/>
      <c r="M179" s="169"/>
    </row>
    <row r="180" spans="1:13" s="125" customFormat="1" ht="15.6" x14ac:dyDescent="0.25">
      <c r="A180" s="169"/>
      <c r="B180" s="145">
        <v>5980</v>
      </c>
      <c r="C180" s="170"/>
      <c r="D180" s="169" t="s">
        <v>40</v>
      </c>
      <c r="E180" s="171" t="s">
        <v>41</v>
      </c>
      <c r="F180" s="171"/>
      <c r="G180" s="172">
        <v>5.4799999999999996E-3</v>
      </c>
      <c r="H180" s="173">
        <f t="shared" si="51"/>
        <v>1711.8823223773215</v>
      </c>
      <c r="I180" s="174">
        <f t="shared" si="52"/>
        <v>32.92</v>
      </c>
      <c r="J180" s="175">
        <v>0</v>
      </c>
      <c r="K180" s="176">
        <v>32.92</v>
      </c>
      <c r="L180" s="171"/>
      <c r="M180" s="169"/>
    </row>
    <row r="181" spans="1:13" s="125" customFormat="1" ht="15.6" x14ac:dyDescent="0.25">
      <c r="A181" s="169"/>
      <c r="B181" s="145">
        <v>6551</v>
      </c>
      <c r="C181" s="170"/>
      <c r="D181" s="169" t="s">
        <v>36</v>
      </c>
      <c r="E181" s="171" t="s">
        <v>41</v>
      </c>
      <c r="F181" s="171"/>
      <c r="G181" s="172">
        <v>3.0400000000000002E-3</v>
      </c>
      <c r="H181" s="173">
        <f t="shared" si="51"/>
        <v>949.65734672026599</v>
      </c>
      <c r="I181" s="174">
        <f t="shared" si="52"/>
        <v>18.260000000000002</v>
      </c>
      <c r="J181" s="175">
        <v>0</v>
      </c>
      <c r="K181" s="176">
        <v>18.260000000000002</v>
      </c>
      <c r="L181" s="171"/>
      <c r="M181" s="169"/>
    </row>
    <row r="182" spans="1:13" s="125" customFormat="1" ht="15.6" x14ac:dyDescent="0.25">
      <c r="A182" s="169"/>
      <c r="B182" s="145">
        <v>6698</v>
      </c>
      <c r="C182" s="170"/>
      <c r="D182" s="169" t="s">
        <v>36</v>
      </c>
      <c r="E182" s="171" t="s">
        <v>41</v>
      </c>
      <c r="F182" s="171"/>
      <c r="G182" s="172">
        <v>4.0000000000000001E-3</v>
      </c>
      <c r="H182" s="173">
        <f t="shared" si="51"/>
        <v>1249.5491404214024</v>
      </c>
      <c r="I182" s="174">
        <f t="shared" si="52"/>
        <v>24.03</v>
      </c>
      <c r="J182" s="175">
        <v>0</v>
      </c>
      <c r="K182" s="176">
        <v>24.03</v>
      </c>
      <c r="L182" s="171"/>
      <c r="M182" s="169"/>
    </row>
    <row r="183" spans="1:13" s="125" customFormat="1" ht="15.6" x14ac:dyDescent="0.25">
      <c r="A183" s="169"/>
      <c r="B183" s="145">
        <v>6780</v>
      </c>
      <c r="C183" s="170"/>
      <c r="D183" s="169" t="s">
        <v>40</v>
      </c>
      <c r="E183" s="171" t="s">
        <v>41</v>
      </c>
      <c r="F183" s="171"/>
      <c r="G183" s="172">
        <v>4.0000000000000001E-3</v>
      </c>
      <c r="H183" s="173">
        <f t="shared" si="51"/>
        <v>1249.5491404214024</v>
      </c>
      <c r="I183" s="174">
        <f t="shared" si="52"/>
        <v>24.03</v>
      </c>
      <c r="J183" s="175">
        <v>0</v>
      </c>
      <c r="K183" s="176">
        <v>24.03</v>
      </c>
      <c r="L183" s="171"/>
      <c r="M183" s="169"/>
    </row>
    <row r="184" spans="1:13" s="125" customFormat="1" ht="15.6" x14ac:dyDescent="0.25">
      <c r="A184" s="169"/>
      <c r="B184" s="145">
        <v>6888</v>
      </c>
      <c r="C184" s="170"/>
      <c r="D184" s="169" t="s">
        <v>40</v>
      </c>
      <c r="E184" s="171" t="s">
        <v>41</v>
      </c>
      <c r="F184" s="171"/>
      <c r="G184" s="172">
        <v>4.0000000000000001E-3</v>
      </c>
      <c r="H184" s="173">
        <f t="shared" si="51"/>
        <v>1249.5491404214024</v>
      </c>
      <c r="I184" s="174">
        <f t="shared" si="52"/>
        <v>24.03</v>
      </c>
      <c r="J184" s="175">
        <v>0</v>
      </c>
      <c r="K184" s="176">
        <v>24.03</v>
      </c>
      <c r="L184" s="171"/>
      <c r="M184" s="169"/>
    </row>
    <row r="185" spans="1:13" s="125" customFormat="1" ht="15.6" x14ac:dyDescent="0.25">
      <c r="A185" s="169"/>
      <c r="B185" s="145">
        <v>7589</v>
      </c>
      <c r="C185" s="170"/>
      <c r="D185" s="169" t="s">
        <v>36</v>
      </c>
      <c r="E185" s="171" t="s">
        <v>41</v>
      </c>
      <c r="F185" s="171"/>
      <c r="G185" s="172">
        <v>3.0400000000000002E-3</v>
      </c>
      <c r="H185" s="173">
        <f t="shared" si="51"/>
        <v>949.65734672026599</v>
      </c>
      <c r="I185" s="174">
        <f t="shared" si="52"/>
        <v>18.260000000000002</v>
      </c>
      <c r="J185" s="175">
        <v>0</v>
      </c>
      <c r="K185" s="176">
        <v>18.260000000000002</v>
      </c>
      <c r="L185" s="171"/>
      <c r="M185" s="169"/>
    </row>
    <row r="186" spans="1:13" s="125" customFormat="1" ht="15.6" x14ac:dyDescent="0.25">
      <c r="A186" s="169"/>
      <c r="B186" s="145">
        <v>7781</v>
      </c>
      <c r="C186" s="170"/>
      <c r="D186" s="169" t="s">
        <v>36</v>
      </c>
      <c r="E186" s="171" t="s">
        <v>41</v>
      </c>
      <c r="F186" s="171"/>
      <c r="G186" s="172">
        <v>3.0400000000000002E-3</v>
      </c>
      <c r="H186" s="173">
        <f t="shared" si="51"/>
        <v>949.65734672026599</v>
      </c>
      <c r="I186" s="174">
        <f t="shared" si="52"/>
        <v>18.260000000000002</v>
      </c>
      <c r="J186" s="175">
        <v>0</v>
      </c>
      <c r="K186" s="176">
        <v>18.260000000000002</v>
      </c>
      <c r="L186" s="171"/>
      <c r="M186" s="169"/>
    </row>
    <row r="187" spans="1:13" s="125" customFormat="1" ht="15.6" x14ac:dyDescent="0.25">
      <c r="A187" s="169"/>
      <c r="B187" s="145">
        <v>7783</v>
      </c>
      <c r="C187" s="170"/>
      <c r="D187" s="169" t="s">
        <v>40</v>
      </c>
      <c r="E187" s="171" t="s">
        <v>41</v>
      </c>
      <c r="F187" s="171"/>
      <c r="G187" s="172">
        <v>4.0000000000000001E-3</v>
      </c>
      <c r="H187" s="173">
        <f t="shared" si="51"/>
        <v>1249.5491404214024</v>
      </c>
      <c r="I187" s="174">
        <f t="shared" si="52"/>
        <v>24.03</v>
      </c>
      <c r="J187" s="175">
        <v>0</v>
      </c>
      <c r="K187" s="176">
        <v>24.03</v>
      </c>
      <c r="L187" s="171"/>
      <c r="M187" s="169"/>
    </row>
    <row r="188" spans="1:13" s="125" customFormat="1" ht="15.6" x14ac:dyDescent="0.25">
      <c r="A188" s="169"/>
      <c r="B188" s="145">
        <v>8235</v>
      </c>
      <c r="C188" s="170"/>
      <c r="D188" s="169" t="s">
        <v>36</v>
      </c>
      <c r="E188" s="171" t="s">
        <v>41</v>
      </c>
      <c r="F188" s="171"/>
      <c r="G188" s="172">
        <v>4.0000000000000001E-3</v>
      </c>
      <c r="H188" s="173">
        <f t="shared" si="51"/>
        <v>1249.5491404214024</v>
      </c>
      <c r="I188" s="174">
        <f t="shared" si="52"/>
        <v>24.03</v>
      </c>
      <c r="J188" s="175">
        <v>0</v>
      </c>
      <c r="K188" s="176">
        <v>24.03</v>
      </c>
      <c r="L188" s="171"/>
      <c r="M188" s="169"/>
    </row>
    <row r="189" spans="1:13" s="125" customFormat="1" ht="15.6" x14ac:dyDescent="0.25">
      <c r="A189" s="169"/>
      <c r="B189" s="145">
        <v>8643</v>
      </c>
      <c r="C189" s="170"/>
      <c r="D189" s="169" t="s">
        <v>40</v>
      </c>
      <c r="E189" s="171" t="s">
        <v>41</v>
      </c>
      <c r="F189" s="171"/>
      <c r="G189" s="172">
        <v>3.0400000000000002E-3</v>
      </c>
      <c r="H189" s="173">
        <f t="shared" si="51"/>
        <v>949.65734672026599</v>
      </c>
      <c r="I189" s="174">
        <f t="shared" si="52"/>
        <v>18.260000000000002</v>
      </c>
      <c r="J189" s="175">
        <v>0</v>
      </c>
      <c r="K189" s="176">
        <v>18.260000000000002</v>
      </c>
      <c r="L189" s="171"/>
      <c r="M189" s="169"/>
    </row>
    <row r="190" spans="1:13" s="125" customFormat="1" ht="15.6" x14ac:dyDescent="0.25">
      <c r="A190" s="169"/>
      <c r="B190" s="145">
        <v>8964</v>
      </c>
      <c r="C190" s="170"/>
      <c r="D190" s="169" t="s">
        <v>40</v>
      </c>
      <c r="E190" s="171" t="s">
        <v>41</v>
      </c>
      <c r="F190" s="171"/>
      <c r="G190" s="172">
        <v>3.0400000000000002E-3</v>
      </c>
      <c r="H190" s="173">
        <f t="shared" si="51"/>
        <v>949.65734672026599</v>
      </c>
      <c r="I190" s="174">
        <f t="shared" si="52"/>
        <v>18.260000000000002</v>
      </c>
      <c r="J190" s="175">
        <v>0</v>
      </c>
      <c r="K190" s="176">
        <v>18.260000000000002</v>
      </c>
      <c r="L190" s="171"/>
      <c r="M190" s="169"/>
    </row>
    <row r="191" spans="1:13" s="125" customFormat="1" ht="15.6" x14ac:dyDescent="0.25">
      <c r="A191" s="169"/>
      <c r="B191" s="145">
        <v>9075</v>
      </c>
      <c r="C191" s="170"/>
      <c r="D191" s="169" t="s">
        <v>40</v>
      </c>
      <c r="E191" s="171" t="s">
        <v>41</v>
      </c>
      <c r="F191" s="171"/>
      <c r="G191" s="172">
        <v>4.0000000000000001E-3</v>
      </c>
      <c r="H191" s="173">
        <f t="shared" si="51"/>
        <v>1249.5491404214024</v>
      </c>
      <c r="I191" s="174">
        <f t="shared" si="52"/>
        <v>24.03</v>
      </c>
      <c r="J191" s="175">
        <v>0</v>
      </c>
      <c r="K191" s="176">
        <v>24.03</v>
      </c>
      <c r="L191" s="171"/>
      <c r="M191" s="169"/>
    </row>
    <row r="192" spans="1:13" s="125" customFormat="1" ht="15.6" x14ac:dyDescent="0.25">
      <c r="A192" s="169"/>
      <c r="B192" s="145">
        <v>9528</v>
      </c>
      <c r="C192" s="170"/>
      <c r="D192" s="169" t="s">
        <v>36</v>
      </c>
      <c r="E192" s="171" t="s">
        <v>41</v>
      </c>
      <c r="F192" s="171"/>
      <c r="G192" s="172">
        <v>3.0400000000000002E-3</v>
      </c>
      <c r="H192" s="173">
        <f t="shared" si="51"/>
        <v>949.65734672026599</v>
      </c>
      <c r="I192" s="174">
        <f t="shared" si="52"/>
        <v>18.260000000000002</v>
      </c>
      <c r="J192" s="175">
        <v>0</v>
      </c>
      <c r="K192" s="176">
        <v>18.260000000000002</v>
      </c>
      <c r="L192" s="171"/>
      <c r="M192" s="169"/>
    </row>
    <row r="193" spans="1:13" s="125" customFormat="1" ht="15.6" x14ac:dyDescent="0.25">
      <c r="A193" s="169"/>
      <c r="B193" s="145">
        <v>10647</v>
      </c>
      <c r="C193" s="170"/>
      <c r="D193" s="169" t="s">
        <v>40</v>
      </c>
      <c r="E193" s="171" t="s">
        <v>41</v>
      </c>
      <c r="F193" s="171"/>
      <c r="G193" s="172">
        <v>3.0400000000000002E-3</v>
      </c>
      <c r="H193" s="173">
        <f t="shared" si="51"/>
        <v>949.65734672026599</v>
      </c>
      <c r="I193" s="174">
        <f t="shared" si="52"/>
        <v>18.260000000000002</v>
      </c>
      <c r="J193" s="175">
        <v>0</v>
      </c>
      <c r="K193" s="176">
        <v>18.260000000000002</v>
      </c>
      <c r="L193" s="171"/>
      <c r="M193" s="169"/>
    </row>
    <row r="194" spans="1:13" s="125" customFormat="1" ht="15.6" x14ac:dyDescent="0.25">
      <c r="A194" s="169"/>
      <c r="B194" s="145">
        <v>11132</v>
      </c>
      <c r="C194" s="170"/>
      <c r="D194" s="169" t="s">
        <v>40</v>
      </c>
      <c r="E194" s="171" t="s">
        <v>41</v>
      </c>
      <c r="F194" s="171"/>
      <c r="G194" s="172">
        <v>4.0000000000000001E-3</v>
      </c>
      <c r="H194" s="173">
        <f t="shared" si="51"/>
        <v>1249.5491404214024</v>
      </c>
      <c r="I194" s="174">
        <f t="shared" si="52"/>
        <v>24.03</v>
      </c>
      <c r="J194" s="175">
        <v>0</v>
      </c>
      <c r="K194" s="176">
        <v>24.03</v>
      </c>
      <c r="L194" s="171"/>
      <c r="M194" s="169"/>
    </row>
    <row r="195" spans="1:13" s="125" customFormat="1" ht="15.6" x14ac:dyDescent="0.25">
      <c r="A195" s="169"/>
      <c r="B195" s="145">
        <v>11269</v>
      </c>
      <c r="C195" s="170"/>
      <c r="D195" s="169" t="s">
        <v>36</v>
      </c>
      <c r="E195" s="171" t="s">
        <v>41</v>
      </c>
      <c r="F195" s="171"/>
      <c r="G195" s="172">
        <v>3.0400000000000002E-3</v>
      </c>
      <c r="H195" s="173">
        <f t="shared" si="51"/>
        <v>949.65734672026599</v>
      </c>
      <c r="I195" s="174">
        <f t="shared" si="52"/>
        <v>18.260000000000002</v>
      </c>
      <c r="J195" s="175">
        <v>0</v>
      </c>
      <c r="K195" s="176">
        <v>18.260000000000002</v>
      </c>
      <c r="L195" s="171"/>
      <c r="M195" s="169"/>
    </row>
    <row r="196" spans="1:13" s="125" customFormat="1" ht="15.6" x14ac:dyDescent="0.25">
      <c r="A196" s="169"/>
      <c r="B196" s="145">
        <v>12284</v>
      </c>
      <c r="C196" s="170"/>
      <c r="D196" s="169" t="s">
        <v>36</v>
      </c>
      <c r="E196" s="171" t="s">
        <v>41</v>
      </c>
      <c r="F196" s="171"/>
      <c r="G196" s="172">
        <v>3.0400000000000002E-3</v>
      </c>
      <c r="H196" s="173">
        <f t="shared" si="51"/>
        <v>949.65734672026599</v>
      </c>
      <c r="I196" s="174">
        <f t="shared" si="52"/>
        <v>18.260000000000002</v>
      </c>
      <c r="J196" s="175">
        <v>0</v>
      </c>
      <c r="K196" s="176">
        <v>18.260000000000002</v>
      </c>
      <c r="L196" s="171"/>
      <c r="M196" s="169"/>
    </row>
    <row r="197" spans="1:13" s="125" customFormat="1" ht="15.6" x14ac:dyDescent="0.25">
      <c r="A197" s="169"/>
      <c r="B197" s="145">
        <v>12483</v>
      </c>
      <c r="C197" s="170"/>
      <c r="D197" s="169" t="s">
        <v>40</v>
      </c>
      <c r="E197" s="171" t="s">
        <v>41</v>
      </c>
      <c r="F197" s="171"/>
      <c r="G197" s="172">
        <v>3.0400000000000002E-3</v>
      </c>
      <c r="H197" s="173">
        <f t="shared" si="51"/>
        <v>949.65734672026599</v>
      </c>
      <c r="I197" s="174">
        <f t="shared" si="52"/>
        <v>18.260000000000002</v>
      </c>
      <c r="J197" s="175">
        <v>0</v>
      </c>
      <c r="K197" s="176">
        <v>18.260000000000002</v>
      </c>
      <c r="L197" s="171"/>
      <c r="M197" s="169"/>
    </row>
    <row r="198" spans="1:13" s="125" customFormat="1" ht="15.6" x14ac:dyDescent="0.25">
      <c r="A198" s="169"/>
      <c r="B198" s="145">
        <v>12592</v>
      </c>
      <c r="C198" s="170"/>
      <c r="D198" s="169" t="s">
        <v>40</v>
      </c>
      <c r="E198" s="171" t="s">
        <v>41</v>
      </c>
      <c r="F198" s="171"/>
      <c r="G198" s="172">
        <v>4.0000000000000001E-3</v>
      </c>
      <c r="H198" s="173">
        <f t="shared" si="51"/>
        <v>1249.5491404214024</v>
      </c>
      <c r="I198" s="174">
        <f t="shared" si="52"/>
        <v>24.03</v>
      </c>
      <c r="J198" s="175">
        <v>0</v>
      </c>
      <c r="K198" s="176">
        <v>24.03</v>
      </c>
      <c r="L198" s="171"/>
      <c r="M198" s="169"/>
    </row>
    <row r="199" spans="1:13" s="125" customFormat="1" ht="15.6" x14ac:dyDescent="0.25">
      <c r="A199" s="169"/>
      <c r="B199" s="145">
        <v>13475</v>
      </c>
      <c r="C199" s="170"/>
      <c r="D199" s="169" t="s">
        <v>36</v>
      </c>
      <c r="E199" s="171" t="s">
        <v>41</v>
      </c>
      <c r="F199" s="171"/>
      <c r="G199" s="172">
        <v>4.0000000000000001E-3</v>
      </c>
      <c r="H199" s="173">
        <f t="shared" si="51"/>
        <v>1249.5491404214024</v>
      </c>
      <c r="I199" s="174">
        <f t="shared" si="52"/>
        <v>24.03</v>
      </c>
      <c r="J199" s="175">
        <v>0</v>
      </c>
      <c r="K199" s="176">
        <v>24.03</v>
      </c>
      <c r="L199" s="171"/>
      <c r="M199" s="169"/>
    </row>
    <row r="200" spans="1:13" s="125" customFormat="1" ht="15.6" x14ac:dyDescent="0.25">
      <c r="A200" s="169"/>
      <c r="B200" s="145">
        <v>13978</v>
      </c>
      <c r="C200" s="170"/>
      <c r="D200" s="169" t="s">
        <v>36</v>
      </c>
      <c r="E200" s="171" t="s">
        <v>41</v>
      </c>
      <c r="F200" s="171"/>
      <c r="G200" s="172">
        <v>4.0000000000000001E-3</v>
      </c>
      <c r="H200" s="173">
        <f t="shared" si="51"/>
        <v>1249.5491404214024</v>
      </c>
      <c r="I200" s="174">
        <f t="shared" si="52"/>
        <v>24.03</v>
      </c>
      <c r="J200" s="175">
        <v>0</v>
      </c>
      <c r="K200" s="176">
        <v>24.03</v>
      </c>
      <c r="L200" s="171"/>
      <c r="M200" s="169"/>
    </row>
    <row r="201" spans="1:13" s="125" customFormat="1" ht="15.6" x14ac:dyDescent="0.25">
      <c r="A201" s="169"/>
      <c r="B201" s="145">
        <v>14579</v>
      </c>
      <c r="C201" s="170"/>
      <c r="D201" s="169" t="s">
        <v>40</v>
      </c>
      <c r="E201" s="171" t="s">
        <v>41</v>
      </c>
      <c r="F201" s="171"/>
      <c r="G201" s="172">
        <v>3.0400000000000002E-3</v>
      </c>
      <c r="H201" s="173">
        <f t="shared" si="51"/>
        <v>949.65734672026599</v>
      </c>
      <c r="I201" s="174">
        <f t="shared" si="52"/>
        <v>18.260000000000002</v>
      </c>
      <c r="J201" s="175">
        <v>0</v>
      </c>
      <c r="K201" s="176">
        <v>18.260000000000002</v>
      </c>
      <c r="L201" s="171"/>
      <c r="M201" s="169"/>
    </row>
    <row r="202" spans="1:13" s="125" customFormat="1" ht="15.6" x14ac:dyDescent="0.25">
      <c r="A202" s="169"/>
      <c r="B202" s="145">
        <v>14605</v>
      </c>
      <c r="C202" s="170"/>
      <c r="D202" s="169" t="s">
        <v>40</v>
      </c>
      <c r="E202" s="171" t="s">
        <v>41</v>
      </c>
      <c r="F202" s="171"/>
      <c r="G202" s="172">
        <v>5.4799999999999996E-3</v>
      </c>
      <c r="H202" s="173">
        <f t="shared" si="51"/>
        <v>1711.8823223773215</v>
      </c>
      <c r="I202" s="174">
        <f t="shared" si="52"/>
        <v>32.92</v>
      </c>
      <c r="J202" s="175">
        <v>0</v>
      </c>
      <c r="K202" s="176">
        <v>32.92</v>
      </c>
      <c r="L202" s="171"/>
      <c r="M202" s="169"/>
    </row>
    <row r="203" spans="1:13" s="125" customFormat="1" ht="15.6" x14ac:dyDescent="0.25">
      <c r="A203" s="169"/>
      <c r="B203" s="145">
        <v>14684</v>
      </c>
      <c r="C203" s="170"/>
      <c r="D203" s="169" t="s">
        <v>40</v>
      </c>
      <c r="E203" s="171" t="s">
        <v>41</v>
      </c>
      <c r="F203" s="171"/>
      <c r="G203" s="172">
        <v>4.0000000000000001E-3</v>
      </c>
      <c r="H203" s="173">
        <f t="shared" si="51"/>
        <v>1249.5491404214024</v>
      </c>
      <c r="I203" s="174">
        <f t="shared" si="52"/>
        <v>24.03</v>
      </c>
      <c r="J203" s="175">
        <v>0</v>
      </c>
      <c r="K203" s="176">
        <v>24.03</v>
      </c>
      <c r="L203" s="171"/>
      <c r="M203" s="169"/>
    </row>
    <row r="204" spans="1:13" s="125" customFormat="1" ht="15.6" x14ac:dyDescent="0.25">
      <c r="A204" s="169"/>
      <c r="B204" s="145">
        <v>14805</v>
      </c>
      <c r="C204" s="170"/>
      <c r="D204" s="169" t="s">
        <v>36</v>
      </c>
      <c r="E204" s="171" t="s">
        <v>41</v>
      </c>
      <c r="F204" s="171"/>
      <c r="G204" s="172">
        <v>3.0400000000000002E-3</v>
      </c>
      <c r="H204" s="173">
        <f t="shared" si="51"/>
        <v>949.65734672026599</v>
      </c>
      <c r="I204" s="174">
        <f t="shared" si="52"/>
        <v>18.260000000000002</v>
      </c>
      <c r="J204" s="175">
        <v>0</v>
      </c>
      <c r="K204" s="176">
        <v>18.260000000000002</v>
      </c>
      <c r="L204" s="171"/>
      <c r="M204" s="169"/>
    </row>
    <row r="205" spans="1:13" s="125" customFormat="1" ht="15.6" x14ac:dyDescent="0.25">
      <c r="A205" s="169"/>
      <c r="B205" s="145">
        <v>16496</v>
      </c>
      <c r="C205" s="170"/>
      <c r="D205" s="169" t="s">
        <v>36</v>
      </c>
      <c r="E205" s="171" t="s">
        <v>41</v>
      </c>
      <c r="F205" s="171"/>
      <c r="G205" s="172">
        <v>4.0000000000000001E-3</v>
      </c>
      <c r="H205" s="173">
        <f t="shared" si="51"/>
        <v>1249.5491404214024</v>
      </c>
      <c r="I205" s="174">
        <f t="shared" si="52"/>
        <v>24.03</v>
      </c>
      <c r="J205" s="175">
        <v>0</v>
      </c>
      <c r="K205" s="176">
        <v>24.03</v>
      </c>
      <c r="L205" s="171"/>
      <c r="M205" s="169"/>
    </row>
    <row r="206" spans="1:13" s="125" customFormat="1" ht="15.6" x14ac:dyDescent="0.25">
      <c r="A206" s="169"/>
      <c r="B206" s="145">
        <v>17024</v>
      </c>
      <c r="C206" s="170"/>
      <c r="D206" s="169" t="s">
        <v>40</v>
      </c>
      <c r="E206" s="171" t="s">
        <v>41</v>
      </c>
      <c r="F206" s="171"/>
      <c r="G206" s="172">
        <v>4.0000000000000001E-3</v>
      </c>
      <c r="H206" s="173">
        <f t="shared" si="51"/>
        <v>1249.5491404214024</v>
      </c>
      <c r="I206" s="174">
        <f t="shared" si="52"/>
        <v>24.03</v>
      </c>
      <c r="J206" s="175">
        <v>0</v>
      </c>
      <c r="K206" s="176">
        <v>24.03</v>
      </c>
      <c r="L206" s="171"/>
      <c r="M206" s="169"/>
    </row>
    <row r="207" spans="1:13" s="125" customFormat="1" ht="15.6" x14ac:dyDescent="0.25">
      <c r="A207" s="169"/>
      <c r="B207" s="145">
        <v>17029</v>
      </c>
      <c r="C207" s="170"/>
      <c r="D207" s="169" t="s">
        <v>40</v>
      </c>
      <c r="E207" s="171" t="s">
        <v>41</v>
      </c>
      <c r="F207" s="171"/>
      <c r="G207" s="172">
        <v>4.0000000000000001E-3</v>
      </c>
      <c r="H207" s="173">
        <f t="shared" si="51"/>
        <v>1249.5491404214024</v>
      </c>
      <c r="I207" s="174">
        <f t="shared" si="52"/>
        <v>24.03</v>
      </c>
      <c r="J207" s="175">
        <v>0</v>
      </c>
      <c r="K207" s="176">
        <v>24.03</v>
      </c>
      <c r="L207" s="171"/>
      <c r="M207" s="169"/>
    </row>
    <row r="208" spans="1:13" s="125" customFormat="1" ht="15.6" x14ac:dyDescent="0.25">
      <c r="A208" s="169"/>
      <c r="B208" s="145">
        <v>18332</v>
      </c>
      <c r="C208" s="170"/>
      <c r="D208" s="169" t="s">
        <v>40</v>
      </c>
      <c r="E208" s="171" t="s">
        <v>41</v>
      </c>
      <c r="F208" s="171"/>
      <c r="G208" s="172">
        <v>3.0400000000000002E-3</v>
      </c>
      <c r="H208" s="173">
        <f t="shared" si="51"/>
        <v>949.65734672026599</v>
      </c>
      <c r="I208" s="174">
        <f t="shared" si="52"/>
        <v>18.260000000000002</v>
      </c>
      <c r="J208" s="175">
        <v>0</v>
      </c>
      <c r="K208" s="176">
        <v>18.260000000000002</v>
      </c>
      <c r="L208" s="171"/>
      <c r="M208" s="169"/>
    </row>
    <row r="209" spans="1:13" s="125" customFormat="1" ht="15.6" x14ac:dyDescent="0.25">
      <c r="A209" s="169"/>
      <c r="B209" s="145">
        <v>18935</v>
      </c>
      <c r="C209" s="170"/>
      <c r="D209" s="169" t="s">
        <v>36</v>
      </c>
      <c r="E209" s="171" t="s">
        <v>41</v>
      </c>
      <c r="F209" s="171"/>
      <c r="G209" s="172">
        <v>4.0000000000000001E-3</v>
      </c>
      <c r="H209" s="173">
        <f t="shared" si="51"/>
        <v>1249.5491404214024</v>
      </c>
      <c r="I209" s="174">
        <f t="shared" si="52"/>
        <v>24.03</v>
      </c>
      <c r="J209" s="175">
        <v>0</v>
      </c>
      <c r="K209" s="176">
        <v>24.03</v>
      </c>
      <c r="L209" s="171"/>
      <c r="M209" s="169"/>
    </row>
    <row r="210" spans="1:13" s="125" customFormat="1" ht="15.6" x14ac:dyDescent="0.25">
      <c r="A210" s="169"/>
      <c r="B210" s="145">
        <v>19030</v>
      </c>
      <c r="C210" s="170"/>
      <c r="D210" s="169" t="s">
        <v>40</v>
      </c>
      <c r="E210" s="171" t="s">
        <v>41</v>
      </c>
      <c r="F210" s="171"/>
      <c r="G210" s="172">
        <v>3.0400000000000002E-3</v>
      </c>
      <c r="H210" s="173">
        <f t="shared" si="51"/>
        <v>949.65734672026599</v>
      </c>
      <c r="I210" s="174">
        <f t="shared" si="52"/>
        <v>18.260000000000002</v>
      </c>
      <c r="J210" s="175">
        <v>0</v>
      </c>
      <c r="K210" s="176">
        <v>18.260000000000002</v>
      </c>
      <c r="L210" s="171"/>
      <c r="M210" s="169"/>
    </row>
    <row r="211" spans="1:13" s="125" customFormat="1" ht="15.6" x14ac:dyDescent="0.25">
      <c r="A211" s="169"/>
      <c r="B211" s="145">
        <v>19089</v>
      </c>
      <c r="C211" s="170"/>
      <c r="D211" s="169" t="s">
        <v>36</v>
      </c>
      <c r="E211" s="171" t="s">
        <v>41</v>
      </c>
      <c r="F211" s="171"/>
      <c r="G211" s="172">
        <v>4.0000000000000001E-3</v>
      </c>
      <c r="H211" s="173">
        <f t="shared" si="51"/>
        <v>1249.5491404214024</v>
      </c>
      <c r="I211" s="174">
        <f t="shared" si="52"/>
        <v>24.03</v>
      </c>
      <c r="J211" s="175">
        <v>0</v>
      </c>
      <c r="K211" s="176">
        <v>24.03</v>
      </c>
      <c r="L211" s="171"/>
      <c r="M211" s="169"/>
    </row>
    <row r="212" spans="1:13" s="125" customFormat="1" ht="15.6" x14ac:dyDescent="0.25">
      <c r="A212" s="169"/>
      <c r="B212" s="145">
        <v>19136</v>
      </c>
      <c r="C212" s="170"/>
      <c r="D212" s="169" t="s">
        <v>40</v>
      </c>
      <c r="E212" s="171" t="s">
        <v>41</v>
      </c>
      <c r="F212" s="171"/>
      <c r="G212" s="172">
        <v>3.0400000000000002E-3</v>
      </c>
      <c r="H212" s="173">
        <f t="shared" si="51"/>
        <v>949.65734672026599</v>
      </c>
      <c r="I212" s="174">
        <f t="shared" si="52"/>
        <v>18.260000000000002</v>
      </c>
      <c r="J212" s="175">
        <v>0</v>
      </c>
      <c r="K212" s="176">
        <v>18.260000000000002</v>
      </c>
      <c r="L212" s="171"/>
      <c r="M212" s="169"/>
    </row>
    <row r="213" spans="1:13" s="125" customFormat="1" ht="15.6" x14ac:dyDescent="0.25">
      <c r="A213" s="169"/>
      <c r="B213" s="145">
        <v>19204</v>
      </c>
      <c r="C213" s="170"/>
      <c r="D213" s="169" t="s">
        <v>40</v>
      </c>
      <c r="E213" s="171" t="s">
        <v>41</v>
      </c>
      <c r="F213" s="171"/>
      <c r="G213" s="172">
        <v>5.4799999999999996E-3</v>
      </c>
      <c r="H213" s="173">
        <f t="shared" si="51"/>
        <v>1711.8823223773215</v>
      </c>
      <c r="I213" s="174">
        <f t="shared" si="52"/>
        <v>32.92</v>
      </c>
      <c r="J213" s="175">
        <v>0</v>
      </c>
      <c r="K213" s="176">
        <v>32.92</v>
      </c>
      <c r="L213" s="171"/>
      <c r="M213" s="169"/>
    </row>
    <row r="214" spans="1:13" s="125" customFormat="1" ht="15.6" x14ac:dyDescent="0.25">
      <c r="A214" s="169"/>
      <c r="B214" s="145">
        <v>19832</v>
      </c>
      <c r="C214" s="170"/>
      <c r="D214" s="169" t="s">
        <v>40</v>
      </c>
      <c r="E214" s="171" t="s">
        <v>41</v>
      </c>
      <c r="F214" s="171"/>
      <c r="G214" s="172">
        <v>3.0400000000000002E-3</v>
      </c>
      <c r="H214" s="173">
        <f t="shared" si="51"/>
        <v>949.65734672026599</v>
      </c>
      <c r="I214" s="174">
        <f t="shared" si="52"/>
        <v>18.260000000000002</v>
      </c>
      <c r="J214" s="175">
        <v>0</v>
      </c>
      <c r="K214" s="176">
        <v>18.260000000000002</v>
      </c>
      <c r="L214" s="171"/>
      <c r="M214" s="169"/>
    </row>
    <row r="215" spans="1:13" s="125" customFormat="1" ht="15.6" x14ac:dyDescent="0.25">
      <c r="A215" s="169"/>
      <c r="B215" s="145">
        <v>20086</v>
      </c>
      <c r="C215" s="170"/>
      <c r="D215" s="169" t="s">
        <v>36</v>
      </c>
      <c r="E215" s="171" t="s">
        <v>41</v>
      </c>
      <c r="F215" s="171"/>
      <c r="G215" s="172">
        <v>4.0000000000000001E-3</v>
      </c>
      <c r="H215" s="173">
        <f t="shared" si="51"/>
        <v>1249.5491404214024</v>
      </c>
      <c r="I215" s="174">
        <f t="shared" si="52"/>
        <v>24.03</v>
      </c>
      <c r="J215" s="175">
        <v>0</v>
      </c>
      <c r="K215" s="176">
        <v>24.03</v>
      </c>
      <c r="L215" s="171"/>
      <c r="M215" s="169"/>
    </row>
    <row r="216" spans="1:13" s="125" customFormat="1" ht="15.6" x14ac:dyDescent="0.25">
      <c r="A216" s="169"/>
      <c r="B216" s="145">
        <v>20648</v>
      </c>
      <c r="C216" s="170"/>
      <c r="D216" s="169" t="s">
        <v>36</v>
      </c>
      <c r="E216" s="171" t="s">
        <v>41</v>
      </c>
      <c r="F216" s="171"/>
      <c r="G216" s="172">
        <v>4.0000000000000001E-3</v>
      </c>
      <c r="H216" s="173">
        <f t="shared" si="51"/>
        <v>1249.5491404214024</v>
      </c>
      <c r="I216" s="174">
        <f t="shared" si="52"/>
        <v>24.03</v>
      </c>
      <c r="J216" s="175">
        <v>0</v>
      </c>
      <c r="K216" s="176">
        <v>24.03</v>
      </c>
      <c r="L216" s="171"/>
      <c r="M216" s="169"/>
    </row>
    <row r="217" spans="1:13" s="125" customFormat="1" ht="15.6" x14ac:dyDescent="0.25">
      <c r="A217" s="169"/>
      <c r="B217" s="145">
        <v>21342</v>
      </c>
      <c r="C217" s="170"/>
      <c r="D217" s="169" t="s">
        <v>36</v>
      </c>
      <c r="E217" s="171" t="s">
        <v>41</v>
      </c>
      <c r="F217" s="171"/>
      <c r="G217" s="172">
        <v>3.0400000000000002E-3</v>
      </c>
      <c r="H217" s="173">
        <f t="shared" si="51"/>
        <v>949.65734672026599</v>
      </c>
      <c r="I217" s="174">
        <f t="shared" si="52"/>
        <v>18.260000000000002</v>
      </c>
      <c r="J217" s="175">
        <v>0</v>
      </c>
      <c r="K217" s="176">
        <v>18.260000000000002</v>
      </c>
      <c r="L217" s="171"/>
      <c r="M217" s="169"/>
    </row>
    <row r="218" spans="1:13" s="125" customFormat="1" ht="15.6" x14ac:dyDescent="0.25">
      <c r="A218" s="169"/>
      <c r="B218" s="145">
        <v>21428</v>
      </c>
      <c r="C218" s="170"/>
      <c r="D218" s="169" t="s">
        <v>36</v>
      </c>
      <c r="E218" s="171" t="s">
        <v>41</v>
      </c>
      <c r="F218" s="171"/>
      <c r="G218" s="172">
        <v>4.0000000000000001E-3</v>
      </c>
      <c r="H218" s="173">
        <f t="shared" si="51"/>
        <v>1249.5491404214024</v>
      </c>
      <c r="I218" s="174">
        <f t="shared" si="52"/>
        <v>24.03</v>
      </c>
      <c r="J218" s="175">
        <v>0</v>
      </c>
      <c r="K218" s="176">
        <v>24.03</v>
      </c>
      <c r="L218" s="171"/>
      <c r="M218" s="169"/>
    </row>
    <row r="219" spans="1:13" s="125" customFormat="1" ht="15.6" x14ac:dyDescent="0.25">
      <c r="A219" s="169"/>
      <c r="B219" s="145">
        <v>21986</v>
      </c>
      <c r="C219" s="170"/>
      <c r="D219" s="169" t="s">
        <v>36</v>
      </c>
      <c r="E219" s="171" t="s">
        <v>41</v>
      </c>
      <c r="F219" s="171"/>
      <c r="G219" s="172">
        <v>3.0400000000000002E-3</v>
      </c>
      <c r="H219" s="173">
        <f t="shared" si="51"/>
        <v>949.65734672026599</v>
      </c>
      <c r="I219" s="174">
        <f t="shared" si="52"/>
        <v>18.260000000000002</v>
      </c>
      <c r="J219" s="175">
        <v>0</v>
      </c>
      <c r="K219" s="176">
        <v>18.260000000000002</v>
      </c>
      <c r="L219" s="171"/>
      <c r="M219" s="169"/>
    </row>
    <row r="220" spans="1:13" s="125" customFormat="1" ht="15.6" x14ac:dyDescent="0.25">
      <c r="A220" s="169"/>
      <c r="B220" s="145">
        <v>23090</v>
      </c>
      <c r="C220" s="170"/>
      <c r="D220" s="169" t="s">
        <v>40</v>
      </c>
      <c r="E220" s="171" t="s">
        <v>41</v>
      </c>
      <c r="F220" s="171"/>
      <c r="G220" s="172">
        <v>3.0400000000000002E-3</v>
      </c>
      <c r="H220" s="173">
        <f t="shared" si="51"/>
        <v>949.65734672026599</v>
      </c>
      <c r="I220" s="174">
        <f t="shared" si="52"/>
        <v>18.260000000000002</v>
      </c>
      <c r="J220" s="175">
        <v>0</v>
      </c>
      <c r="K220" s="176">
        <v>18.260000000000002</v>
      </c>
      <c r="L220" s="171"/>
      <c r="M220" s="169"/>
    </row>
    <row r="221" spans="1:13" s="125" customFormat="1" ht="15.6" x14ac:dyDescent="0.25">
      <c r="A221" s="169"/>
      <c r="B221" s="145">
        <v>23515</v>
      </c>
      <c r="C221" s="170"/>
      <c r="D221" s="169" t="s">
        <v>36</v>
      </c>
      <c r="E221" s="171" t="s">
        <v>41</v>
      </c>
      <c r="F221" s="171"/>
      <c r="G221" s="172">
        <v>3.0400000000000002E-3</v>
      </c>
      <c r="H221" s="173">
        <f t="shared" si="51"/>
        <v>949.65734672026599</v>
      </c>
      <c r="I221" s="174">
        <f t="shared" si="52"/>
        <v>18.260000000000002</v>
      </c>
      <c r="J221" s="175">
        <v>0</v>
      </c>
      <c r="K221" s="176">
        <v>18.260000000000002</v>
      </c>
      <c r="L221" s="171"/>
      <c r="M221" s="169"/>
    </row>
    <row r="222" spans="1:13" s="125" customFormat="1" ht="15.6" x14ac:dyDescent="0.25">
      <c r="A222" s="169"/>
      <c r="B222" s="145">
        <v>24115</v>
      </c>
      <c r="C222" s="170"/>
      <c r="D222" s="169" t="s">
        <v>40</v>
      </c>
      <c r="E222" s="171" t="s">
        <v>41</v>
      </c>
      <c r="F222" s="171"/>
      <c r="G222" s="172">
        <v>3.0400000000000002E-3</v>
      </c>
      <c r="H222" s="173">
        <f t="shared" si="51"/>
        <v>949.65734672026599</v>
      </c>
      <c r="I222" s="174">
        <f t="shared" si="52"/>
        <v>18.260000000000002</v>
      </c>
      <c r="J222" s="175">
        <v>0</v>
      </c>
      <c r="K222" s="176">
        <v>18.260000000000002</v>
      </c>
      <c r="L222" s="171"/>
      <c r="M222" s="169"/>
    </row>
    <row r="223" spans="1:13" s="125" customFormat="1" ht="15.6" x14ac:dyDescent="0.25">
      <c r="A223" s="169"/>
      <c r="B223" s="145">
        <v>24605</v>
      </c>
      <c r="C223" s="170"/>
      <c r="D223" s="169" t="s">
        <v>40</v>
      </c>
      <c r="E223" s="171" t="s">
        <v>41</v>
      </c>
      <c r="F223" s="171"/>
      <c r="G223" s="172">
        <v>4.0000000000000001E-3</v>
      </c>
      <c r="H223" s="173">
        <f t="shared" si="51"/>
        <v>1249.5491404214024</v>
      </c>
      <c r="I223" s="174">
        <f t="shared" si="52"/>
        <v>24.03</v>
      </c>
      <c r="J223" s="175">
        <v>0</v>
      </c>
      <c r="K223" s="176">
        <v>24.03</v>
      </c>
      <c r="L223" s="171"/>
      <c r="M223" s="169"/>
    </row>
    <row r="224" spans="1:13" s="125" customFormat="1" ht="15.6" x14ac:dyDescent="0.25">
      <c r="A224" s="169"/>
      <c r="B224" s="145">
        <v>25049</v>
      </c>
      <c r="C224" s="170"/>
      <c r="D224" s="169" t="s">
        <v>40</v>
      </c>
      <c r="E224" s="171" t="s">
        <v>41</v>
      </c>
      <c r="F224" s="171"/>
      <c r="G224" s="172">
        <v>3.0400000000000002E-3</v>
      </c>
      <c r="H224" s="173">
        <f t="shared" si="51"/>
        <v>949.65734672026599</v>
      </c>
      <c r="I224" s="174">
        <f t="shared" si="52"/>
        <v>18.260000000000002</v>
      </c>
      <c r="J224" s="175">
        <v>0</v>
      </c>
      <c r="K224" s="176">
        <v>18.260000000000002</v>
      </c>
      <c r="L224" s="171"/>
      <c r="M224" s="169"/>
    </row>
    <row r="225" spans="1:13" s="125" customFormat="1" ht="15.6" x14ac:dyDescent="0.25">
      <c r="A225" s="169"/>
      <c r="B225" s="145">
        <v>25485</v>
      </c>
      <c r="C225" s="170"/>
      <c r="D225" s="169" t="s">
        <v>40</v>
      </c>
      <c r="E225" s="171" t="s">
        <v>41</v>
      </c>
      <c r="F225" s="171"/>
      <c r="G225" s="172">
        <v>3.0400000000000002E-3</v>
      </c>
      <c r="H225" s="173">
        <f t="shared" si="51"/>
        <v>949.65734672026599</v>
      </c>
      <c r="I225" s="174">
        <f t="shared" si="52"/>
        <v>18.260000000000002</v>
      </c>
      <c r="J225" s="175">
        <v>0</v>
      </c>
      <c r="K225" s="176">
        <v>18.260000000000002</v>
      </c>
      <c r="L225" s="171"/>
      <c r="M225" s="169"/>
    </row>
    <row r="226" spans="1:13" s="125" customFormat="1" ht="15.6" x14ac:dyDescent="0.25">
      <c r="A226" s="169"/>
      <c r="B226" s="145">
        <v>25929</v>
      </c>
      <c r="C226" s="170"/>
      <c r="D226" s="169" t="s">
        <v>40</v>
      </c>
      <c r="E226" s="171" t="s">
        <v>41</v>
      </c>
      <c r="F226" s="171"/>
      <c r="G226" s="172">
        <v>4.0000000000000001E-3</v>
      </c>
      <c r="H226" s="173">
        <f t="shared" si="51"/>
        <v>1249.5491404214024</v>
      </c>
      <c r="I226" s="174">
        <f t="shared" si="52"/>
        <v>24.03</v>
      </c>
      <c r="J226" s="175">
        <v>0</v>
      </c>
      <c r="K226" s="176">
        <v>24.03</v>
      </c>
      <c r="L226" s="171"/>
      <c r="M226" s="169"/>
    </row>
    <row r="227" spans="1:13" s="125" customFormat="1" ht="15.6" x14ac:dyDescent="0.25">
      <c r="A227" s="169"/>
      <c r="B227" s="145">
        <v>25970</v>
      </c>
      <c r="C227" s="170"/>
      <c r="D227" s="169" t="s">
        <v>40</v>
      </c>
      <c r="E227" s="171" t="s">
        <v>41</v>
      </c>
      <c r="F227" s="171"/>
      <c r="G227" s="172">
        <v>3.0400000000000002E-3</v>
      </c>
      <c r="H227" s="173">
        <f t="shared" si="51"/>
        <v>949.65734672026599</v>
      </c>
      <c r="I227" s="174">
        <f t="shared" si="52"/>
        <v>18.260000000000002</v>
      </c>
      <c r="J227" s="175">
        <v>0</v>
      </c>
      <c r="K227" s="176">
        <v>18.260000000000002</v>
      </c>
      <c r="L227" s="171"/>
      <c r="M227" s="169"/>
    </row>
    <row r="228" spans="1:13" s="125" customFormat="1" ht="15.6" x14ac:dyDescent="0.25">
      <c r="A228" s="169"/>
      <c r="B228" s="145">
        <v>26287</v>
      </c>
      <c r="C228" s="170"/>
      <c r="D228" s="169" t="s">
        <v>40</v>
      </c>
      <c r="E228" s="171" t="s">
        <v>41</v>
      </c>
      <c r="F228" s="171"/>
      <c r="G228" s="172">
        <v>3.0400000000000002E-3</v>
      </c>
      <c r="H228" s="173">
        <f t="shared" si="51"/>
        <v>949.65734672026599</v>
      </c>
      <c r="I228" s="174">
        <f t="shared" si="52"/>
        <v>18.260000000000002</v>
      </c>
      <c r="J228" s="175">
        <v>0</v>
      </c>
      <c r="K228" s="176">
        <v>18.260000000000002</v>
      </c>
      <c r="L228" s="171"/>
      <c r="M228" s="169"/>
    </row>
    <row r="229" spans="1:13" s="125" customFormat="1" ht="15.6" x14ac:dyDescent="0.25">
      <c r="A229" s="169"/>
      <c r="B229" s="145">
        <v>27588</v>
      </c>
      <c r="C229" s="170"/>
      <c r="D229" s="169" t="s">
        <v>40</v>
      </c>
      <c r="E229" s="171" t="s">
        <v>41</v>
      </c>
      <c r="F229" s="171"/>
      <c r="G229" s="172">
        <v>4.0000000000000001E-3</v>
      </c>
      <c r="H229" s="173">
        <f t="shared" si="51"/>
        <v>1249.5491404214024</v>
      </c>
      <c r="I229" s="174">
        <f t="shared" si="52"/>
        <v>24.03</v>
      </c>
      <c r="J229" s="175">
        <v>0</v>
      </c>
      <c r="K229" s="176">
        <v>24.03</v>
      </c>
      <c r="L229" s="171"/>
      <c r="M229" s="169"/>
    </row>
    <row r="230" spans="1:13" s="125" customFormat="1" ht="15.6" x14ac:dyDescent="0.25">
      <c r="A230" s="169"/>
      <c r="B230" s="145">
        <v>27627</v>
      </c>
      <c r="C230" s="170"/>
      <c r="D230" s="169" t="s">
        <v>40</v>
      </c>
      <c r="E230" s="171" t="s">
        <v>41</v>
      </c>
      <c r="F230" s="171"/>
      <c r="G230" s="172">
        <v>4.0000000000000001E-3</v>
      </c>
      <c r="H230" s="173">
        <f t="shared" ref="H230:H293" si="53">G230/$G$427*$H$427</f>
        <v>1249.5491404214024</v>
      </c>
      <c r="I230" s="174">
        <f t="shared" ref="I230:I293" si="54">ROUND(H230/52,2)</f>
        <v>24.03</v>
      </c>
      <c r="J230" s="175">
        <v>0</v>
      </c>
      <c r="K230" s="176">
        <v>24.03</v>
      </c>
      <c r="L230" s="171"/>
      <c r="M230" s="169"/>
    </row>
    <row r="231" spans="1:13" s="125" customFormat="1" ht="15.6" x14ac:dyDescent="0.25">
      <c r="A231" s="169"/>
      <c r="B231" s="145">
        <v>27697</v>
      </c>
      <c r="C231" s="170"/>
      <c r="D231" s="169" t="s">
        <v>36</v>
      </c>
      <c r="E231" s="171" t="s">
        <v>41</v>
      </c>
      <c r="F231" s="171"/>
      <c r="G231" s="172">
        <v>3.0400000000000002E-3</v>
      </c>
      <c r="H231" s="173">
        <f t="shared" si="53"/>
        <v>949.65734672026599</v>
      </c>
      <c r="I231" s="174">
        <f t="shared" si="54"/>
        <v>18.260000000000002</v>
      </c>
      <c r="J231" s="175">
        <v>0</v>
      </c>
      <c r="K231" s="176">
        <v>18.260000000000002</v>
      </c>
      <c r="L231" s="171"/>
      <c r="M231" s="169"/>
    </row>
    <row r="232" spans="1:13" s="125" customFormat="1" ht="15.6" x14ac:dyDescent="0.25">
      <c r="A232" s="169"/>
      <c r="B232" s="145">
        <v>27972</v>
      </c>
      <c r="C232" s="170"/>
      <c r="D232" s="169" t="s">
        <v>40</v>
      </c>
      <c r="E232" s="171" t="s">
        <v>41</v>
      </c>
      <c r="F232" s="171"/>
      <c r="G232" s="172">
        <v>4.0000000000000001E-3</v>
      </c>
      <c r="H232" s="173">
        <f t="shared" si="53"/>
        <v>1249.5491404214024</v>
      </c>
      <c r="I232" s="174">
        <f t="shared" si="54"/>
        <v>24.03</v>
      </c>
      <c r="J232" s="175">
        <v>0</v>
      </c>
      <c r="K232" s="176">
        <v>24.03</v>
      </c>
      <c r="L232" s="171"/>
      <c r="M232" s="169"/>
    </row>
    <row r="233" spans="1:13" s="125" customFormat="1" ht="15.6" x14ac:dyDescent="0.25">
      <c r="A233" s="169"/>
      <c r="B233" s="145">
        <v>28475</v>
      </c>
      <c r="C233" s="170"/>
      <c r="D233" s="169" t="s">
        <v>40</v>
      </c>
      <c r="E233" s="171" t="s">
        <v>41</v>
      </c>
      <c r="F233" s="171"/>
      <c r="G233" s="172">
        <v>5.4799999999999996E-3</v>
      </c>
      <c r="H233" s="173">
        <f t="shared" si="53"/>
        <v>1711.8823223773215</v>
      </c>
      <c r="I233" s="174">
        <f t="shared" si="54"/>
        <v>32.92</v>
      </c>
      <c r="J233" s="175">
        <v>0</v>
      </c>
      <c r="K233" s="176">
        <v>32.92</v>
      </c>
      <c r="L233" s="171"/>
      <c r="M233" s="169"/>
    </row>
    <row r="234" spans="1:13" s="125" customFormat="1" ht="15.6" x14ac:dyDescent="0.25">
      <c r="A234" s="169"/>
      <c r="B234" s="145">
        <v>29436</v>
      </c>
      <c r="C234" s="170"/>
      <c r="D234" s="169" t="s">
        <v>40</v>
      </c>
      <c r="E234" s="171" t="s">
        <v>41</v>
      </c>
      <c r="F234" s="171"/>
      <c r="G234" s="172">
        <v>4.0000000000000001E-3</v>
      </c>
      <c r="H234" s="173">
        <f t="shared" si="53"/>
        <v>1249.5491404214024</v>
      </c>
      <c r="I234" s="174">
        <f t="shared" si="54"/>
        <v>24.03</v>
      </c>
      <c r="J234" s="175">
        <v>0</v>
      </c>
      <c r="K234" s="176">
        <v>24.03</v>
      </c>
      <c r="L234" s="171"/>
      <c r="M234" s="169"/>
    </row>
    <row r="235" spans="1:13" s="125" customFormat="1" ht="15.6" x14ac:dyDescent="0.25">
      <c r="A235" s="169"/>
      <c r="B235" s="145">
        <v>29888</v>
      </c>
      <c r="C235" s="170"/>
      <c r="D235" s="169" t="s">
        <v>36</v>
      </c>
      <c r="E235" s="171" t="s">
        <v>41</v>
      </c>
      <c r="F235" s="171"/>
      <c r="G235" s="172">
        <v>3.0400000000000002E-3</v>
      </c>
      <c r="H235" s="173">
        <f t="shared" si="53"/>
        <v>949.65734672026599</v>
      </c>
      <c r="I235" s="174">
        <f t="shared" si="54"/>
        <v>18.260000000000002</v>
      </c>
      <c r="J235" s="175">
        <v>0</v>
      </c>
      <c r="K235" s="176">
        <v>18.260000000000002</v>
      </c>
      <c r="L235" s="171"/>
      <c r="M235" s="169"/>
    </row>
    <row r="236" spans="1:13" s="125" customFormat="1" ht="15.6" x14ac:dyDescent="0.25">
      <c r="A236" s="169"/>
      <c r="B236" s="145">
        <v>30249</v>
      </c>
      <c r="C236" s="170"/>
      <c r="D236" s="169" t="s">
        <v>40</v>
      </c>
      <c r="E236" s="171" t="s">
        <v>41</v>
      </c>
      <c r="F236" s="171"/>
      <c r="G236" s="172">
        <v>4.0000000000000001E-3</v>
      </c>
      <c r="H236" s="173">
        <f t="shared" si="53"/>
        <v>1249.5491404214024</v>
      </c>
      <c r="I236" s="174">
        <f t="shared" si="54"/>
        <v>24.03</v>
      </c>
      <c r="J236" s="175">
        <v>0</v>
      </c>
      <c r="K236" s="176">
        <v>24.03</v>
      </c>
      <c r="L236" s="171"/>
      <c r="M236" s="169"/>
    </row>
    <row r="237" spans="1:13" s="125" customFormat="1" ht="15.6" x14ac:dyDescent="0.25">
      <c r="A237" s="169"/>
      <c r="B237" s="145">
        <v>30370</v>
      </c>
      <c r="C237" s="170"/>
      <c r="D237" s="169" t="s">
        <v>40</v>
      </c>
      <c r="E237" s="171" t="s">
        <v>41</v>
      </c>
      <c r="F237" s="171"/>
      <c r="G237" s="172">
        <v>4.0000000000000001E-3</v>
      </c>
      <c r="H237" s="173">
        <f t="shared" si="53"/>
        <v>1249.5491404214024</v>
      </c>
      <c r="I237" s="174">
        <f t="shared" si="54"/>
        <v>24.03</v>
      </c>
      <c r="J237" s="175">
        <v>0</v>
      </c>
      <c r="K237" s="176">
        <v>24.03</v>
      </c>
      <c r="L237" s="171"/>
      <c r="M237" s="169"/>
    </row>
    <row r="238" spans="1:13" s="125" customFormat="1" ht="15.6" x14ac:dyDescent="0.25">
      <c r="A238" s="169"/>
      <c r="B238" s="145">
        <v>30375</v>
      </c>
      <c r="C238" s="170"/>
      <c r="D238" s="169" t="s">
        <v>40</v>
      </c>
      <c r="E238" s="171" t="s">
        <v>41</v>
      </c>
      <c r="F238" s="171"/>
      <c r="G238" s="172">
        <v>3.0400000000000002E-3</v>
      </c>
      <c r="H238" s="173">
        <f t="shared" si="53"/>
        <v>949.65734672026599</v>
      </c>
      <c r="I238" s="174">
        <f t="shared" si="54"/>
        <v>18.260000000000002</v>
      </c>
      <c r="J238" s="175">
        <v>0</v>
      </c>
      <c r="K238" s="176">
        <v>18.260000000000002</v>
      </c>
      <c r="L238" s="171"/>
      <c r="M238" s="169"/>
    </row>
    <row r="239" spans="1:13" s="125" customFormat="1" ht="15.6" x14ac:dyDescent="0.25">
      <c r="A239" s="169"/>
      <c r="B239" s="145">
        <v>30417</v>
      </c>
      <c r="C239" s="170"/>
      <c r="D239" s="169" t="s">
        <v>40</v>
      </c>
      <c r="E239" s="171" t="s">
        <v>41</v>
      </c>
      <c r="F239" s="171"/>
      <c r="G239" s="172">
        <v>4.0000000000000001E-3</v>
      </c>
      <c r="H239" s="173">
        <f t="shared" si="53"/>
        <v>1249.5491404214024</v>
      </c>
      <c r="I239" s="174">
        <f t="shared" si="54"/>
        <v>24.03</v>
      </c>
      <c r="J239" s="175">
        <v>0</v>
      </c>
      <c r="K239" s="176">
        <v>24.03</v>
      </c>
      <c r="L239" s="171"/>
      <c r="M239" s="169"/>
    </row>
    <row r="240" spans="1:13" s="125" customFormat="1" ht="15.6" x14ac:dyDescent="0.25">
      <c r="A240" s="169"/>
      <c r="B240" s="145">
        <v>30518</v>
      </c>
      <c r="C240" s="170"/>
      <c r="D240" s="169" t="s">
        <v>40</v>
      </c>
      <c r="E240" s="171" t="s">
        <v>41</v>
      </c>
      <c r="F240" s="171"/>
      <c r="G240" s="172">
        <v>4.0000000000000001E-3</v>
      </c>
      <c r="H240" s="173">
        <f t="shared" si="53"/>
        <v>1249.5491404214024</v>
      </c>
      <c r="I240" s="174">
        <f t="shared" si="54"/>
        <v>24.03</v>
      </c>
      <c r="J240" s="175">
        <v>0</v>
      </c>
      <c r="K240" s="176">
        <v>24.03</v>
      </c>
      <c r="L240" s="171"/>
      <c r="M240" s="169"/>
    </row>
    <row r="241" spans="1:13" s="125" customFormat="1" ht="15.6" x14ac:dyDescent="0.25">
      <c r="A241" s="169"/>
      <c r="B241" s="145">
        <v>30570</v>
      </c>
      <c r="C241" s="170"/>
      <c r="D241" s="169" t="s">
        <v>40</v>
      </c>
      <c r="E241" s="171" t="s">
        <v>41</v>
      </c>
      <c r="F241" s="171"/>
      <c r="G241" s="172">
        <v>4.0000000000000001E-3</v>
      </c>
      <c r="H241" s="173">
        <f t="shared" si="53"/>
        <v>1249.5491404214024</v>
      </c>
      <c r="I241" s="174">
        <f t="shared" si="54"/>
        <v>24.03</v>
      </c>
      <c r="J241" s="175">
        <v>0</v>
      </c>
      <c r="K241" s="176">
        <v>24.03</v>
      </c>
      <c r="L241" s="171"/>
      <c r="M241" s="169"/>
    </row>
    <row r="242" spans="1:13" s="125" customFormat="1" ht="15.6" x14ac:dyDescent="0.25">
      <c r="A242" s="169"/>
      <c r="B242" s="145">
        <v>30581</v>
      </c>
      <c r="C242" s="170"/>
      <c r="D242" s="169" t="s">
        <v>40</v>
      </c>
      <c r="E242" s="171" t="s">
        <v>41</v>
      </c>
      <c r="F242" s="171"/>
      <c r="G242" s="172">
        <v>4.0000000000000001E-3</v>
      </c>
      <c r="H242" s="173">
        <f t="shared" si="53"/>
        <v>1249.5491404214024</v>
      </c>
      <c r="I242" s="174">
        <f t="shared" si="54"/>
        <v>24.03</v>
      </c>
      <c r="J242" s="175">
        <v>0</v>
      </c>
      <c r="K242" s="176">
        <v>24.03</v>
      </c>
      <c r="L242" s="171"/>
      <c r="M242" s="169"/>
    </row>
    <row r="243" spans="1:13" s="125" customFormat="1" ht="15.6" x14ac:dyDescent="0.25">
      <c r="A243" s="169"/>
      <c r="B243" s="145">
        <v>31104</v>
      </c>
      <c r="C243" s="170"/>
      <c r="D243" s="169" t="s">
        <v>40</v>
      </c>
      <c r="E243" s="171" t="s">
        <v>41</v>
      </c>
      <c r="F243" s="171"/>
      <c r="G243" s="172">
        <v>4.0000000000000001E-3</v>
      </c>
      <c r="H243" s="173">
        <f t="shared" si="53"/>
        <v>1249.5491404214024</v>
      </c>
      <c r="I243" s="174">
        <f t="shared" si="54"/>
        <v>24.03</v>
      </c>
      <c r="J243" s="175">
        <v>0</v>
      </c>
      <c r="K243" s="176">
        <v>24.03</v>
      </c>
      <c r="L243" s="171"/>
      <c r="M243" s="169"/>
    </row>
    <row r="244" spans="1:13" s="125" customFormat="1" ht="15.6" x14ac:dyDescent="0.25">
      <c r="A244" s="169"/>
      <c r="B244" s="145">
        <v>31282</v>
      </c>
      <c r="C244" s="170"/>
      <c r="D244" s="169" t="s">
        <v>40</v>
      </c>
      <c r="E244" s="171" t="s">
        <v>41</v>
      </c>
      <c r="F244" s="171"/>
      <c r="G244" s="172">
        <v>4.0000000000000001E-3</v>
      </c>
      <c r="H244" s="173">
        <f t="shared" si="53"/>
        <v>1249.5491404214024</v>
      </c>
      <c r="I244" s="174">
        <f t="shared" si="54"/>
        <v>24.03</v>
      </c>
      <c r="J244" s="175">
        <v>0</v>
      </c>
      <c r="K244" s="176">
        <v>24.03</v>
      </c>
      <c r="L244" s="171"/>
      <c r="M244" s="169"/>
    </row>
    <row r="245" spans="1:13" s="125" customFormat="1" ht="15.6" x14ac:dyDescent="0.25">
      <c r="A245" s="169"/>
      <c r="B245" s="145">
        <v>33279</v>
      </c>
      <c r="C245" s="170"/>
      <c r="D245" s="169" t="s">
        <v>36</v>
      </c>
      <c r="E245" s="171" t="s">
        <v>41</v>
      </c>
      <c r="F245" s="171"/>
      <c r="G245" s="172">
        <v>3.0400000000000002E-3</v>
      </c>
      <c r="H245" s="173">
        <f t="shared" si="53"/>
        <v>949.65734672026599</v>
      </c>
      <c r="I245" s="174">
        <f t="shared" si="54"/>
        <v>18.260000000000002</v>
      </c>
      <c r="J245" s="175">
        <v>0</v>
      </c>
      <c r="K245" s="176">
        <v>18.260000000000002</v>
      </c>
      <c r="L245" s="171"/>
      <c r="M245" s="169"/>
    </row>
    <row r="246" spans="1:13" s="125" customFormat="1" ht="15.6" x14ac:dyDescent="0.25">
      <c r="A246" s="169"/>
      <c r="B246" s="145">
        <v>33696</v>
      </c>
      <c r="C246" s="170"/>
      <c r="D246" s="169" t="s">
        <v>40</v>
      </c>
      <c r="E246" s="171" t="s">
        <v>41</v>
      </c>
      <c r="F246" s="171"/>
      <c r="G246" s="172">
        <v>3.0400000000000002E-3</v>
      </c>
      <c r="H246" s="173">
        <f t="shared" si="53"/>
        <v>949.65734672026599</v>
      </c>
      <c r="I246" s="174">
        <f t="shared" si="54"/>
        <v>18.260000000000002</v>
      </c>
      <c r="J246" s="175">
        <v>0</v>
      </c>
      <c r="K246" s="176">
        <v>18.260000000000002</v>
      </c>
      <c r="L246" s="171"/>
      <c r="M246" s="169"/>
    </row>
    <row r="247" spans="1:13" s="125" customFormat="1" ht="15.6" x14ac:dyDescent="0.25">
      <c r="A247" s="169"/>
      <c r="B247" s="145">
        <v>33963</v>
      </c>
      <c r="C247" s="170"/>
      <c r="D247" s="169" t="s">
        <v>36</v>
      </c>
      <c r="E247" s="171" t="s">
        <v>41</v>
      </c>
      <c r="F247" s="171"/>
      <c r="G247" s="172">
        <v>3.0400000000000002E-3</v>
      </c>
      <c r="H247" s="173">
        <f t="shared" si="53"/>
        <v>949.65734672026599</v>
      </c>
      <c r="I247" s="174">
        <f t="shared" si="54"/>
        <v>18.260000000000002</v>
      </c>
      <c r="J247" s="175">
        <v>0</v>
      </c>
      <c r="K247" s="176">
        <v>18.260000000000002</v>
      </c>
      <c r="L247" s="171"/>
      <c r="M247" s="169"/>
    </row>
    <row r="248" spans="1:13" s="125" customFormat="1" ht="15.6" x14ac:dyDescent="0.25">
      <c r="A248" s="169"/>
      <c r="B248" s="145">
        <v>34148</v>
      </c>
      <c r="C248" s="170"/>
      <c r="D248" s="169" t="s">
        <v>40</v>
      </c>
      <c r="E248" s="171" t="s">
        <v>41</v>
      </c>
      <c r="F248" s="171"/>
      <c r="G248" s="172">
        <v>5.4799999999999996E-3</v>
      </c>
      <c r="H248" s="173">
        <f t="shared" si="53"/>
        <v>1711.8823223773215</v>
      </c>
      <c r="I248" s="174">
        <f t="shared" si="54"/>
        <v>32.92</v>
      </c>
      <c r="J248" s="175">
        <v>0</v>
      </c>
      <c r="K248" s="176">
        <v>32.92</v>
      </c>
      <c r="L248" s="171"/>
      <c r="M248" s="169"/>
    </row>
    <row r="249" spans="1:13" s="125" customFormat="1" ht="15.6" x14ac:dyDescent="0.25">
      <c r="A249" s="169"/>
      <c r="B249" s="145">
        <v>34301</v>
      </c>
      <c r="C249" s="170"/>
      <c r="D249" s="169" t="s">
        <v>40</v>
      </c>
      <c r="E249" s="171" t="s">
        <v>41</v>
      </c>
      <c r="F249" s="171"/>
      <c r="G249" s="172">
        <v>5.4799999999999996E-3</v>
      </c>
      <c r="H249" s="173">
        <f t="shared" si="53"/>
        <v>1711.8823223773215</v>
      </c>
      <c r="I249" s="174">
        <f t="shared" si="54"/>
        <v>32.92</v>
      </c>
      <c r="J249" s="175">
        <v>0</v>
      </c>
      <c r="K249" s="176">
        <v>32.92</v>
      </c>
      <c r="L249" s="171"/>
      <c r="M249" s="169"/>
    </row>
    <row r="250" spans="1:13" s="125" customFormat="1" ht="15.6" x14ac:dyDescent="0.25">
      <c r="A250" s="169"/>
      <c r="B250" s="145">
        <v>34611</v>
      </c>
      <c r="C250" s="170"/>
      <c r="D250" s="169" t="s">
        <v>40</v>
      </c>
      <c r="E250" s="171" t="s">
        <v>41</v>
      </c>
      <c r="F250" s="171"/>
      <c r="G250" s="172">
        <v>5.4799999999999996E-3</v>
      </c>
      <c r="H250" s="173">
        <f t="shared" si="53"/>
        <v>1711.8823223773215</v>
      </c>
      <c r="I250" s="174">
        <f t="shared" si="54"/>
        <v>32.92</v>
      </c>
      <c r="J250" s="175">
        <v>0</v>
      </c>
      <c r="K250" s="176">
        <v>32.92</v>
      </c>
      <c r="L250" s="171"/>
      <c r="M250" s="169"/>
    </row>
    <row r="251" spans="1:13" s="125" customFormat="1" ht="15.6" x14ac:dyDescent="0.25">
      <c r="A251" s="169"/>
      <c r="B251" s="145">
        <v>34894</v>
      </c>
      <c r="C251" s="170"/>
      <c r="D251" s="169" t="s">
        <v>40</v>
      </c>
      <c r="E251" s="171" t="s">
        <v>41</v>
      </c>
      <c r="F251" s="171"/>
      <c r="G251" s="172">
        <v>3.0400000000000002E-3</v>
      </c>
      <c r="H251" s="173">
        <f t="shared" si="53"/>
        <v>949.65734672026599</v>
      </c>
      <c r="I251" s="174">
        <f t="shared" si="54"/>
        <v>18.260000000000002</v>
      </c>
      <c r="J251" s="175">
        <v>0</v>
      </c>
      <c r="K251" s="176">
        <v>18.260000000000002</v>
      </c>
      <c r="L251" s="171"/>
      <c r="M251" s="169"/>
    </row>
    <row r="252" spans="1:13" s="125" customFormat="1" ht="15.6" x14ac:dyDescent="0.25">
      <c r="A252" s="169"/>
      <c r="B252" s="145">
        <v>35532</v>
      </c>
      <c r="C252" s="170"/>
      <c r="D252" s="169" t="s">
        <v>40</v>
      </c>
      <c r="E252" s="171" t="s">
        <v>41</v>
      </c>
      <c r="F252" s="171"/>
      <c r="G252" s="172">
        <v>4.0000000000000001E-3</v>
      </c>
      <c r="H252" s="173">
        <f t="shared" si="53"/>
        <v>1249.5491404214024</v>
      </c>
      <c r="I252" s="174">
        <f t="shared" si="54"/>
        <v>24.03</v>
      </c>
      <c r="J252" s="175">
        <v>0</v>
      </c>
      <c r="K252" s="176">
        <v>24.03</v>
      </c>
      <c r="L252" s="171"/>
      <c r="M252" s="169"/>
    </row>
    <row r="253" spans="1:13" s="125" customFormat="1" ht="15.6" x14ac:dyDescent="0.25">
      <c r="A253" s="169"/>
      <c r="B253" s="145">
        <v>36506</v>
      </c>
      <c r="C253" s="170"/>
      <c r="D253" s="169" t="s">
        <v>36</v>
      </c>
      <c r="E253" s="171" t="s">
        <v>41</v>
      </c>
      <c r="F253" s="171"/>
      <c r="G253" s="172">
        <v>3.0400000000000002E-3</v>
      </c>
      <c r="H253" s="173">
        <f t="shared" si="53"/>
        <v>949.65734672026599</v>
      </c>
      <c r="I253" s="174">
        <f t="shared" si="54"/>
        <v>18.260000000000002</v>
      </c>
      <c r="J253" s="175">
        <v>0</v>
      </c>
      <c r="K253" s="176">
        <v>18.260000000000002</v>
      </c>
      <c r="L253" s="171"/>
      <c r="M253" s="169"/>
    </row>
    <row r="254" spans="1:13" s="125" customFormat="1" ht="15.6" x14ac:dyDescent="0.25">
      <c r="A254" s="169"/>
      <c r="B254" s="145">
        <v>36659</v>
      </c>
      <c r="C254" s="170"/>
      <c r="D254" s="169" t="s">
        <v>40</v>
      </c>
      <c r="E254" s="171" t="s">
        <v>41</v>
      </c>
      <c r="F254" s="171"/>
      <c r="G254" s="172">
        <v>4.0000000000000001E-3</v>
      </c>
      <c r="H254" s="173">
        <f t="shared" si="53"/>
        <v>1249.5491404214024</v>
      </c>
      <c r="I254" s="174">
        <f t="shared" si="54"/>
        <v>24.03</v>
      </c>
      <c r="J254" s="175">
        <v>0</v>
      </c>
      <c r="K254" s="176">
        <v>24.03</v>
      </c>
      <c r="L254" s="171"/>
      <c r="M254" s="169"/>
    </row>
    <row r="255" spans="1:13" s="125" customFormat="1" ht="15.6" x14ac:dyDescent="0.25">
      <c r="A255" s="169"/>
      <c r="B255" s="145">
        <v>37240</v>
      </c>
      <c r="C255" s="170"/>
      <c r="D255" s="169" t="s">
        <v>40</v>
      </c>
      <c r="E255" s="171" t="s">
        <v>41</v>
      </c>
      <c r="F255" s="171"/>
      <c r="G255" s="172">
        <v>5.4799999999999996E-3</v>
      </c>
      <c r="H255" s="173">
        <f t="shared" si="53"/>
        <v>1711.8823223773215</v>
      </c>
      <c r="I255" s="174">
        <f t="shared" si="54"/>
        <v>32.92</v>
      </c>
      <c r="J255" s="175">
        <v>0</v>
      </c>
      <c r="K255" s="176">
        <v>32.92</v>
      </c>
      <c r="L255" s="171"/>
      <c r="M255" s="169"/>
    </row>
    <row r="256" spans="1:13" s="125" customFormat="1" ht="15.6" x14ac:dyDescent="0.25">
      <c r="A256" s="169"/>
      <c r="B256" s="145">
        <v>37762</v>
      </c>
      <c r="C256" s="170"/>
      <c r="D256" s="169" t="s">
        <v>36</v>
      </c>
      <c r="E256" s="171" t="s">
        <v>41</v>
      </c>
      <c r="F256" s="171"/>
      <c r="G256" s="172">
        <v>3.0400000000000002E-3</v>
      </c>
      <c r="H256" s="173">
        <f t="shared" si="53"/>
        <v>949.65734672026599</v>
      </c>
      <c r="I256" s="174">
        <f t="shared" si="54"/>
        <v>18.260000000000002</v>
      </c>
      <c r="J256" s="175">
        <v>0</v>
      </c>
      <c r="K256" s="176">
        <v>18.260000000000002</v>
      </c>
      <c r="L256" s="171"/>
      <c r="M256" s="169"/>
    </row>
    <row r="257" spans="1:13" s="125" customFormat="1" ht="15.6" x14ac:dyDescent="0.25">
      <c r="A257" s="169"/>
      <c r="B257" s="145">
        <v>37819</v>
      </c>
      <c r="C257" s="170"/>
      <c r="D257" s="169" t="s">
        <v>40</v>
      </c>
      <c r="E257" s="171" t="s">
        <v>41</v>
      </c>
      <c r="F257" s="171"/>
      <c r="G257" s="172">
        <v>4.0000000000000001E-3</v>
      </c>
      <c r="H257" s="173">
        <f t="shared" si="53"/>
        <v>1249.5491404214024</v>
      </c>
      <c r="I257" s="174">
        <f t="shared" si="54"/>
        <v>24.03</v>
      </c>
      <c r="J257" s="175">
        <v>0</v>
      </c>
      <c r="K257" s="176">
        <v>24.03</v>
      </c>
      <c r="L257" s="171"/>
      <c r="M257" s="169"/>
    </row>
    <row r="258" spans="1:13" s="125" customFormat="1" ht="15.6" x14ac:dyDescent="0.25">
      <c r="A258" s="169"/>
      <c r="B258" s="145">
        <v>38157</v>
      </c>
      <c r="C258" s="170"/>
      <c r="D258" s="169" t="s">
        <v>40</v>
      </c>
      <c r="E258" s="171" t="s">
        <v>41</v>
      </c>
      <c r="F258" s="171"/>
      <c r="G258" s="172">
        <v>3.0400000000000002E-3</v>
      </c>
      <c r="H258" s="173">
        <f t="shared" si="53"/>
        <v>949.65734672026599</v>
      </c>
      <c r="I258" s="174">
        <f t="shared" si="54"/>
        <v>18.260000000000002</v>
      </c>
      <c r="J258" s="175">
        <v>0</v>
      </c>
      <c r="K258" s="176">
        <v>18.260000000000002</v>
      </c>
      <c r="L258" s="171"/>
      <c r="M258" s="169"/>
    </row>
    <row r="259" spans="1:13" s="125" customFormat="1" ht="15.6" x14ac:dyDescent="0.25">
      <c r="A259" s="169"/>
      <c r="B259" s="145">
        <v>38232</v>
      </c>
      <c r="C259" s="170"/>
      <c r="D259" s="169" t="s">
        <v>40</v>
      </c>
      <c r="E259" s="171" t="s">
        <v>41</v>
      </c>
      <c r="F259" s="171"/>
      <c r="G259" s="172">
        <v>5.4799999999999996E-3</v>
      </c>
      <c r="H259" s="173">
        <f t="shared" si="53"/>
        <v>1711.8823223773215</v>
      </c>
      <c r="I259" s="174">
        <f t="shared" si="54"/>
        <v>32.92</v>
      </c>
      <c r="J259" s="175">
        <v>0</v>
      </c>
      <c r="K259" s="176">
        <v>32.92</v>
      </c>
      <c r="L259" s="171"/>
      <c r="M259" s="169"/>
    </row>
    <row r="260" spans="1:13" s="125" customFormat="1" ht="15.6" x14ac:dyDescent="0.25">
      <c r="A260" s="169"/>
      <c r="B260" s="145">
        <v>39211</v>
      </c>
      <c r="C260" s="170"/>
      <c r="D260" s="169" t="s">
        <v>36</v>
      </c>
      <c r="E260" s="171" t="s">
        <v>41</v>
      </c>
      <c r="F260" s="171"/>
      <c r="G260" s="172">
        <v>3.0400000000000002E-3</v>
      </c>
      <c r="H260" s="173">
        <f t="shared" si="53"/>
        <v>949.65734672026599</v>
      </c>
      <c r="I260" s="174">
        <f t="shared" si="54"/>
        <v>18.260000000000002</v>
      </c>
      <c r="J260" s="175">
        <v>0</v>
      </c>
      <c r="K260" s="176">
        <v>18.260000000000002</v>
      </c>
      <c r="L260" s="171"/>
      <c r="M260" s="169"/>
    </row>
    <row r="261" spans="1:13" s="125" customFormat="1" ht="15.6" x14ac:dyDescent="0.25">
      <c r="A261" s="169"/>
      <c r="B261" s="145">
        <v>39450</v>
      </c>
      <c r="C261" s="170"/>
      <c r="D261" s="169" t="s">
        <v>40</v>
      </c>
      <c r="E261" s="171" t="s">
        <v>41</v>
      </c>
      <c r="F261" s="171"/>
      <c r="G261" s="172">
        <v>3.0400000000000002E-3</v>
      </c>
      <c r="H261" s="173">
        <f t="shared" si="53"/>
        <v>949.65734672026599</v>
      </c>
      <c r="I261" s="174">
        <f t="shared" si="54"/>
        <v>18.260000000000002</v>
      </c>
      <c r="J261" s="175">
        <v>0</v>
      </c>
      <c r="K261" s="176">
        <v>18.260000000000002</v>
      </c>
      <c r="L261" s="171"/>
      <c r="M261" s="169"/>
    </row>
    <row r="262" spans="1:13" s="125" customFormat="1" ht="15.6" x14ac:dyDescent="0.25">
      <c r="A262" s="169"/>
      <c r="B262" s="145">
        <v>39800</v>
      </c>
      <c r="C262" s="170"/>
      <c r="D262" s="169" t="s">
        <v>36</v>
      </c>
      <c r="E262" s="171" t="s">
        <v>41</v>
      </c>
      <c r="F262" s="171"/>
      <c r="G262" s="172">
        <v>3.0400000000000002E-3</v>
      </c>
      <c r="H262" s="173">
        <f t="shared" si="53"/>
        <v>949.65734672026599</v>
      </c>
      <c r="I262" s="174">
        <f t="shared" si="54"/>
        <v>18.260000000000002</v>
      </c>
      <c r="J262" s="175">
        <v>0</v>
      </c>
      <c r="K262" s="176">
        <v>18.260000000000002</v>
      </c>
      <c r="L262" s="171"/>
      <c r="M262" s="169"/>
    </row>
    <row r="263" spans="1:13" s="125" customFormat="1" ht="15.6" x14ac:dyDescent="0.25">
      <c r="A263" s="169"/>
      <c r="B263" s="145">
        <v>40063</v>
      </c>
      <c r="C263" s="170"/>
      <c r="D263" s="169" t="s">
        <v>40</v>
      </c>
      <c r="E263" s="171" t="s">
        <v>41</v>
      </c>
      <c r="F263" s="171"/>
      <c r="G263" s="172">
        <v>5.4799999999999996E-3</v>
      </c>
      <c r="H263" s="173">
        <f t="shared" si="53"/>
        <v>1711.8823223773215</v>
      </c>
      <c r="I263" s="174">
        <f t="shared" si="54"/>
        <v>32.92</v>
      </c>
      <c r="J263" s="175">
        <v>0</v>
      </c>
      <c r="K263" s="176">
        <v>32.92</v>
      </c>
      <c r="L263" s="171"/>
      <c r="M263" s="169"/>
    </row>
    <row r="264" spans="1:13" s="125" customFormat="1" ht="15.6" x14ac:dyDescent="0.25">
      <c r="A264" s="169"/>
      <c r="B264" s="145">
        <v>40374</v>
      </c>
      <c r="C264" s="170"/>
      <c r="D264" s="169" t="s">
        <v>40</v>
      </c>
      <c r="E264" s="171" t="s">
        <v>41</v>
      </c>
      <c r="F264" s="171"/>
      <c r="G264" s="172">
        <v>3.0400000000000002E-3</v>
      </c>
      <c r="H264" s="173">
        <f t="shared" si="53"/>
        <v>949.65734672026599</v>
      </c>
      <c r="I264" s="174">
        <f t="shared" si="54"/>
        <v>18.260000000000002</v>
      </c>
      <c r="J264" s="175">
        <v>0</v>
      </c>
      <c r="K264" s="176">
        <v>18.260000000000002</v>
      </c>
      <c r="L264" s="171"/>
      <c r="M264" s="169"/>
    </row>
    <row r="265" spans="1:13" s="125" customFormat="1" ht="15.6" x14ac:dyDescent="0.25">
      <c r="A265" s="169"/>
      <c r="B265" s="145">
        <v>40576</v>
      </c>
      <c r="C265" s="170"/>
      <c r="D265" s="169" t="s">
        <v>40</v>
      </c>
      <c r="E265" s="171" t="s">
        <v>41</v>
      </c>
      <c r="F265" s="171"/>
      <c r="G265" s="172">
        <v>4.4299999999999999E-3</v>
      </c>
      <c r="H265" s="173">
        <f t="shared" si="53"/>
        <v>1383.8756730167033</v>
      </c>
      <c r="I265" s="174">
        <f t="shared" si="54"/>
        <v>26.61</v>
      </c>
      <c r="J265" s="175">
        <v>0</v>
      </c>
      <c r="K265" s="176">
        <v>26.61</v>
      </c>
      <c r="L265" s="171"/>
      <c r="M265" s="169"/>
    </row>
    <row r="266" spans="1:13" s="125" customFormat="1" ht="15.6" x14ac:dyDescent="0.25">
      <c r="A266" s="169"/>
      <c r="B266" s="145">
        <v>40961</v>
      </c>
      <c r="C266" s="170"/>
      <c r="D266" s="169" t="s">
        <v>36</v>
      </c>
      <c r="E266" s="171" t="s">
        <v>41</v>
      </c>
      <c r="F266" s="171"/>
      <c r="G266" s="172">
        <v>4.0000000000000001E-3</v>
      </c>
      <c r="H266" s="173">
        <f t="shared" si="53"/>
        <v>1249.5491404214024</v>
      </c>
      <c r="I266" s="174">
        <f t="shared" si="54"/>
        <v>24.03</v>
      </c>
      <c r="J266" s="175">
        <v>0</v>
      </c>
      <c r="K266" s="176">
        <v>24.03</v>
      </c>
      <c r="L266" s="171"/>
      <c r="M266" s="169"/>
    </row>
    <row r="267" spans="1:13" s="125" customFormat="1" ht="15.6" x14ac:dyDescent="0.25">
      <c r="A267" s="169"/>
      <c r="B267" s="145">
        <v>40972</v>
      </c>
      <c r="C267" s="170"/>
      <c r="D267" s="169" t="s">
        <v>36</v>
      </c>
      <c r="E267" s="171" t="s">
        <v>41</v>
      </c>
      <c r="F267" s="171"/>
      <c r="G267" s="172">
        <v>3.0400000000000002E-3</v>
      </c>
      <c r="H267" s="173">
        <f t="shared" si="53"/>
        <v>949.65734672026599</v>
      </c>
      <c r="I267" s="174">
        <f t="shared" si="54"/>
        <v>18.260000000000002</v>
      </c>
      <c r="J267" s="175">
        <v>0</v>
      </c>
      <c r="K267" s="176">
        <v>18.260000000000002</v>
      </c>
      <c r="L267" s="171"/>
      <c r="M267" s="169"/>
    </row>
    <row r="268" spans="1:13" s="125" customFormat="1" ht="15.6" x14ac:dyDescent="0.25">
      <c r="A268" s="169"/>
      <c r="B268" s="145">
        <v>41169</v>
      </c>
      <c r="C268" s="170"/>
      <c r="D268" s="169" t="s">
        <v>36</v>
      </c>
      <c r="E268" s="171" t="s">
        <v>41</v>
      </c>
      <c r="F268" s="171"/>
      <c r="G268" s="172">
        <v>4.0000000000000001E-3</v>
      </c>
      <c r="H268" s="173">
        <f t="shared" si="53"/>
        <v>1249.5491404214024</v>
      </c>
      <c r="I268" s="174">
        <f t="shared" si="54"/>
        <v>24.03</v>
      </c>
      <c r="J268" s="175">
        <v>0</v>
      </c>
      <c r="K268" s="176">
        <v>24.03</v>
      </c>
      <c r="L268" s="171"/>
      <c r="M268" s="169"/>
    </row>
    <row r="269" spans="1:13" s="125" customFormat="1" ht="15.6" x14ac:dyDescent="0.25">
      <c r="A269" s="169"/>
      <c r="B269" s="145">
        <v>42289</v>
      </c>
      <c r="C269" s="170"/>
      <c r="D269" s="169" t="s">
        <v>40</v>
      </c>
      <c r="E269" s="171" t="s">
        <v>41</v>
      </c>
      <c r="F269" s="171"/>
      <c r="G269" s="172">
        <v>4.0000000000000001E-3</v>
      </c>
      <c r="H269" s="173">
        <f t="shared" si="53"/>
        <v>1249.5491404214024</v>
      </c>
      <c r="I269" s="174">
        <f t="shared" si="54"/>
        <v>24.03</v>
      </c>
      <c r="J269" s="175">
        <v>0</v>
      </c>
      <c r="K269" s="176">
        <v>24.03</v>
      </c>
      <c r="L269" s="171"/>
      <c r="M269" s="169"/>
    </row>
    <row r="270" spans="1:13" s="125" customFormat="1" ht="15.6" x14ac:dyDescent="0.25">
      <c r="A270" s="169"/>
      <c r="B270" s="145">
        <v>42691</v>
      </c>
      <c r="C270" s="170"/>
      <c r="D270" s="169" t="s">
        <v>40</v>
      </c>
      <c r="E270" s="171" t="s">
        <v>41</v>
      </c>
      <c r="F270" s="171"/>
      <c r="G270" s="172">
        <v>4.0000000000000001E-3</v>
      </c>
      <c r="H270" s="173">
        <f t="shared" si="53"/>
        <v>1249.5491404214024</v>
      </c>
      <c r="I270" s="174">
        <f t="shared" si="54"/>
        <v>24.03</v>
      </c>
      <c r="J270" s="175">
        <v>0</v>
      </c>
      <c r="K270" s="176">
        <v>24.03</v>
      </c>
      <c r="L270" s="171"/>
      <c r="M270" s="169"/>
    </row>
    <row r="271" spans="1:13" s="125" customFormat="1" ht="15.6" x14ac:dyDescent="0.25">
      <c r="A271" s="169"/>
      <c r="B271" s="145">
        <v>42876</v>
      </c>
      <c r="C271" s="170"/>
      <c r="D271" s="169" t="s">
        <v>36</v>
      </c>
      <c r="E271" s="171" t="s">
        <v>41</v>
      </c>
      <c r="F271" s="171"/>
      <c r="G271" s="172">
        <v>3.0400000000000002E-3</v>
      </c>
      <c r="H271" s="173">
        <f t="shared" si="53"/>
        <v>949.65734672026599</v>
      </c>
      <c r="I271" s="174">
        <f t="shared" si="54"/>
        <v>18.260000000000002</v>
      </c>
      <c r="J271" s="175">
        <v>0</v>
      </c>
      <c r="K271" s="176">
        <v>18.260000000000002</v>
      </c>
      <c r="L271" s="171"/>
      <c r="M271" s="169"/>
    </row>
    <row r="272" spans="1:13" s="125" customFormat="1" ht="15.6" x14ac:dyDescent="0.25">
      <c r="A272" s="169"/>
      <c r="B272" s="145">
        <v>43162</v>
      </c>
      <c r="C272" s="170"/>
      <c r="D272" s="169" t="s">
        <v>36</v>
      </c>
      <c r="E272" s="171" t="s">
        <v>41</v>
      </c>
      <c r="F272" s="171"/>
      <c r="G272" s="172">
        <v>4.0000000000000001E-3</v>
      </c>
      <c r="H272" s="173">
        <f t="shared" si="53"/>
        <v>1249.5491404214024</v>
      </c>
      <c r="I272" s="174">
        <f t="shared" si="54"/>
        <v>24.03</v>
      </c>
      <c r="J272" s="175">
        <v>0</v>
      </c>
      <c r="K272" s="176">
        <v>24.03</v>
      </c>
      <c r="L272" s="171"/>
      <c r="M272" s="169"/>
    </row>
    <row r="273" spans="1:13" s="125" customFormat="1" ht="15.6" x14ac:dyDescent="0.25">
      <c r="A273" s="169"/>
      <c r="B273" s="145">
        <v>43376</v>
      </c>
      <c r="C273" s="170"/>
      <c r="D273" s="169" t="s">
        <v>40</v>
      </c>
      <c r="E273" s="171" t="s">
        <v>41</v>
      </c>
      <c r="F273" s="171"/>
      <c r="G273" s="172">
        <v>3.0400000000000002E-3</v>
      </c>
      <c r="H273" s="173">
        <f t="shared" si="53"/>
        <v>949.65734672026599</v>
      </c>
      <c r="I273" s="174">
        <f t="shared" si="54"/>
        <v>18.260000000000002</v>
      </c>
      <c r="J273" s="175">
        <v>0</v>
      </c>
      <c r="K273" s="176">
        <v>18.260000000000002</v>
      </c>
      <c r="L273" s="171"/>
      <c r="M273" s="169"/>
    </row>
    <row r="274" spans="1:13" s="125" customFormat="1" ht="15.6" x14ac:dyDescent="0.25">
      <c r="A274" s="169"/>
      <c r="B274" s="145">
        <v>43437</v>
      </c>
      <c r="C274" s="170"/>
      <c r="D274" s="169" t="s">
        <v>36</v>
      </c>
      <c r="E274" s="171" t="s">
        <v>41</v>
      </c>
      <c r="F274" s="171"/>
      <c r="G274" s="172">
        <v>4.0000000000000001E-3</v>
      </c>
      <c r="H274" s="173">
        <f t="shared" si="53"/>
        <v>1249.5491404214024</v>
      </c>
      <c r="I274" s="174">
        <f t="shared" si="54"/>
        <v>24.03</v>
      </c>
      <c r="J274" s="175">
        <v>0</v>
      </c>
      <c r="K274" s="176">
        <v>24.03</v>
      </c>
      <c r="L274" s="171"/>
      <c r="M274" s="169"/>
    </row>
    <row r="275" spans="1:13" s="125" customFormat="1" ht="15.6" x14ac:dyDescent="0.25">
      <c r="A275" s="169"/>
      <c r="B275" s="145">
        <v>43629</v>
      </c>
      <c r="C275" s="170"/>
      <c r="D275" s="169" t="s">
        <v>36</v>
      </c>
      <c r="E275" s="171" t="s">
        <v>41</v>
      </c>
      <c r="F275" s="171"/>
      <c r="G275" s="172">
        <v>4.0000000000000001E-3</v>
      </c>
      <c r="H275" s="173">
        <f t="shared" si="53"/>
        <v>1249.5491404214024</v>
      </c>
      <c r="I275" s="174">
        <f t="shared" si="54"/>
        <v>24.03</v>
      </c>
      <c r="J275" s="175">
        <v>0</v>
      </c>
      <c r="K275" s="176">
        <v>24.03</v>
      </c>
      <c r="L275" s="171"/>
      <c r="M275" s="169"/>
    </row>
    <row r="276" spans="1:13" s="125" customFormat="1" ht="15.6" x14ac:dyDescent="0.25">
      <c r="A276" s="169"/>
      <c r="B276" s="145">
        <v>43728</v>
      </c>
      <c r="C276" s="170"/>
      <c r="D276" s="169" t="s">
        <v>36</v>
      </c>
      <c r="E276" s="171" t="s">
        <v>41</v>
      </c>
      <c r="F276" s="171"/>
      <c r="G276" s="172">
        <v>3.0400000000000002E-3</v>
      </c>
      <c r="H276" s="173">
        <f t="shared" si="53"/>
        <v>949.65734672026599</v>
      </c>
      <c r="I276" s="174">
        <f t="shared" si="54"/>
        <v>18.260000000000002</v>
      </c>
      <c r="J276" s="175">
        <v>0</v>
      </c>
      <c r="K276" s="176">
        <v>18.260000000000002</v>
      </c>
      <c r="L276" s="171"/>
      <c r="M276" s="169"/>
    </row>
    <row r="277" spans="1:13" s="125" customFormat="1" ht="15.6" x14ac:dyDescent="0.25">
      <c r="A277" s="169"/>
      <c r="B277" s="145">
        <v>43977</v>
      </c>
      <c r="C277" s="170"/>
      <c r="D277" s="169" t="s">
        <v>40</v>
      </c>
      <c r="E277" s="171" t="s">
        <v>41</v>
      </c>
      <c r="F277" s="171"/>
      <c r="G277" s="172">
        <v>3.0400000000000002E-3</v>
      </c>
      <c r="H277" s="173">
        <f t="shared" si="53"/>
        <v>949.65734672026599</v>
      </c>
      <c r="I277" s="174">
        <f t="shared" si="54"/>
        <v>18.260000000000002</v>
      </c>
      <c r="J277" s="175">
        <v>0</v>
      </c>
      <c r="K277" s="176">
        <v>18.260000000000002</v>
      </c>
      <c r="L277" s="171"/>
      <c r="M277" s="169"/>
    </row>
    <row r="278" spans="1:13" s="125" customFormat="1" ht="15.6" x14ac:dyDescent="0.25">
      <c r="A278" s="169"/>
      <c r="B278" s="145">
        <v>44452</v>
      </c>
      <c r="C278" s="170"/>
      <c r="D278" s="169" t="s">
        <v>40</v>
      </c>
      <c r="E278" s="171" t="s">
        <v>41</v>
      </c>
      <c r="F278" s="171"/>
      <c r="G278" s="172">
        <v>4.0000000000000001E-3</v>
      </c>
      <c r="H278" s="173">
        <f t="shared" si="53"/>
        <v>1249.5491404214024</v>
      </c>
      <c r="I278" s="174">
        <f t="shared" si="54"/>
        <v>24.03</v>
      </c>
      <c r="J278" s="175">
        <v>0</v>
      </c>
      <c r="K278" s="176">
        <v>24.03</v>
      </c>
      <c r="L278" s="171"/>
      <c r="M278" s="169"/>
    </row>
    <row r="279" spans="1:13" s="125" customFormat="1" ht="15.6" x14ac:dyDescent="0.25">
      <c r="A279" s="169"/>
      <c r="B279" s="145">
        <v>44506</v>
      </c>
      <c r="C279" s="170"/>
      <c r="D279" s="169" t="s">
        <v>40</v>
      </c>
      <c r="E279" s="171" t="s">
        <v>41</v>
      </c>
      <c r="F279" s="171"/>
      <c r="G279" s="172">
        <v>4.0000000000000001E-3</v>
      </c>
      <c r="H279" s="173">
        <f t="shared" si="53"/>
        <v>1249.5491404214024</v>
      </c>
      <c r="I279" s="174">
        <f t="shared" si="54"/>
        <v>24.03</v>
      </c>
      <c r="J279" s="175">
        <v>0</v>
      </c>
      <c r="K279" s="176">
        <v>24.03</v>
      </c>
      <c r="L279" s="171"/>
      <c r="M279" s="169"/>
    </row>
    <row r="280" spans="1:13" s="125" customFormat="1" ht="15.6" x14ac:dyDescent="0.25">
      <c r="A280" s="169"/>
      <c r="B280" s="145">
        <v>44592</v>
      </c>
      <c r="C280" s="170"/>
      <c r="D280" s="169" t="s">
        <v>40</v>
      </c>
      <c r="E280" s="171" t="s">
        <v>41</v>
      </c>
      <c r="F280" s="171"/>
      <c r="G280" s="172">
        <v>4.0000000000000001E-3</v>
      </c>
      <c r="H280" s="173">
        <f t="shared" si="53"/>
        <v>1249.5491404214024</v>
      </c>
      <c r="I280" s="174">
        <f t="shared" si="54"/>
        <v>24.03</v>
      </c>
      <c r="J280" s="175">
        <v>0</v>
      </c>
      <c r="K280" s="176">
        <v>24.03</v>
      </c>
      <c r="L280" s="171"/>
      <c r="M280" s="169"/>
    </row>
    <row r="281" spans="1:13" s="125" customFormat="1" ht="15.6" x14ac:dyDescent="0.25">
      <c r="A281" s="169"/>
      <c r="B281" s="145">
        <v>44780</v>
      </c>
      <c r="C281" s="170"/>
      <c r="D281" s="169" t="s">
        <v>36</v>
      </c>
      <c r="E281" s="171" t="s">
        <v>41</v>
      </c>
      <c r="F281" s="171"/>
      <c r="G281" s="172">
        <v>3.0400000000000002E-3</v>
      </c>
      <c r="H281" s="173">
        <f t="shared" si="53"/>
        <v>949.65734672026599</v>
      </c>
      <c r="I281" s="174">
        <f t="shared" si="54"/>
        <v>18.260000000000002</v>
      </c>
      <c r="J281" s="175">
        <v>0</v>
      </c>
      <c r="K281" s="176">
        <v>18.260000000000002</v>
      </c>
      <c r="L281" s="171"/>
      <c r="M281" s="169"/>
    </row>
    <row r="282" spans="1:13" s="125" customFormat="1" ht="15.6" x14ac:dyDescent="0.25">
      <c r="A282" s="169"/>
      <c r="B282" s="145">
        <v>45402</v>
      </c>
      <c r="C282" s="170"/>
      <c r="D282" s="169" t="s">
        <v>40</v>
      </c>
      <c r="E282" s="171" t="s">
        <v>41</v>
      </c>
      <c r="F282" s="171"/>
      <c r="G282" s="172">
        <v>4.0000000000000001E-3</v>
      </c>
      <c r="H282" s="173">
        <f t="shared" si="53"/>
        <v>1249.5491404214024</v>
      </c>
      <c r="I282" s="174">
        <f t="shared" si="54"/>
        <v>24.03</v>
      </c>
      <c r="J282" s="175">
        <v>0</v>
      </c>
      <c r="K282" s="176">
        <v>24.03</v>
      </c>
      <c r="L282" s="171"/>
      <c r="M282" s="169"/>
    </row>
    <row r="283" spans="1:13" s="125" customFormat="1" ht="15.6" x14ac:dyDescent="0.25">
      <c r="A283" s="169"/>
      <c r="B283" s="145">
        <v>45457</v>
      </c>
      <c r="C283" s="170"/>
      <c r="D283" s="169" t="s">
        <v>40</v>
      </c>
      <c r="E283" s="171" t="s">
        <v>41</v>
      </c>
      <c r="F283" s="171"/>
      <c r="G283" s="172">
        <v>4.0000000000000001E-3</v>
      </c>
      <c r="H283" s="173">
        <f t="shared" si="53"/>
        <v>1249.5491404214024</v>
      </c>
      <c r="I283" s="174">
        <f t="shared" si="54"/>
        <v>24.03</v>
      </c>
      <c r="J283" s="175">
        <v>0</v>
      </c>
      <c r="K283" s="176">
        <v>24.03</v>
      </c>
      <c r="L283" s="171"/>
      <c r="M283" s="169"/>
    </row>
    <row r="284" spans="1:13" s="125" customFormat="1" ht="15.6" x14ac:dyDescent="0.25">
      <c r="A284" s="169"/>
      <c r="B284" s="145">
        <v>45464</v>
      </c>
      <c r="C284" s="170"/>
      <c r="D284" s="169" t="s">
        <v>40</v>
      </c>
      <c r="E284" s="171" t="s">
        <v>41</v>
      </c>
      <c r="F284" s="171"/>
      <c r="G284" s="172">
        <v>5.4799999999999996E-3</v>
      </c>
      <c r="H284" s="173">
        <f t="shared" si="53"/>
        <v>1711.8823223773215</v>
      </c>
      <c r="I284" s="174">
        <f t="shared" si="54"/>
        <v>32.92</v>
      </c>
      <c r="J284" s="175">
        <v>0</v>
      </c>
      <c r="K284" s="176">
        <v>32.92</v>
      </c>
      <c r="L284" s="171"/>
      <c r="M284" s="169"/>
    </row>
    <row r="285" spans="1:13" s="125" customFormat="1" ht="15.6" x14ac:dyDescent="0.25">
      <c r="A285" s="169"/>
      <c r="B285" s="145">
        <v>45837</v>
      </c>
      <c r="C285" s="170"/>
      <c r="D285" s="169" t="s">
        <v>40</v>
      </c>
      <c r="E285" s="171" t="s">
        <v>41</v>
      </c>
      <c r="F285" s="171"/>
      <c r="G285" s="172">
        <v>4.0000000000000001E-3</v>
      </c>
      <c r="H285" s="173">
        <f t="shared" si="53"/>
        <v>1249.5491404214024</v>
      </c>
      <c r="I285" s="174">
        <f t="shared" si="54"/>
        <v>24.03</v>
      </c>
      <c r="J285" s="175">
        <v>0</v>
      </c>
      <c r="K285" s="176">
        <v>24.03</v>
      </c>
      <c r="L285" s="171"/>
      <c r="M285" s="169"/>
    </row>
    <row r="286" spans="1:13" s="125" customFormat="1" ht="15.6" x14ac:dyDescent="0.25">
      <c r="A286" s="169"/>
      <c r="B286" s="145">
        <v>45949</v>
      </c>
      <c r="C286" s="170"/>
      <c r="D286" s="169" t="s">
        <v>40</v>
      </c>
      <c r="E286" s="171" t="s">
        <v>41</v>
      </c>
      <c r="F286" s="171"/>
      <c r="G286" s="172">
        <v>4.0000000000000001E-3</v>
      </c>
      <c r="H286" s="173">
        <f t="shared" si="53"/>
        <v>1249.5491404214024</v>
      </c>
      <c r="I286" s="174">
        <f t="shared" si="54"/>
        <v>24.03</v>
      </c>
      <c r="J286" s="175">
        <v>0</v>
      </c>
      <c r="K286" s="176">
        <v>24.03</v>
      </c>
      <c r="L286" s="171"/>
      <c r="M286" s="169"/>
    </row>
    <row r="287" spans="1:13" s="125" customFormat="1" ht="15.6" x14ac:dyDescent="0.25">
      <c r="A287" s="169"/>
      <c r="B287" s="145">
        <v>46775</v>
      </c>
      <c r="C287" s="170"/>
      <c r="D287" s="169" t="s">
        <v>40</v>
      </c>
      <c r="E287" s="171" t="s">
        <v>41</v>
      </c>
      <c r="F287" s="171"/>
      <c r="G287" s="172">
        <v>4.0000000000000001E-3</v>
      </c>
      <c r="H287" s="173">
        <f t="shared" si="53"/>
        <v>1249.5491404214024</v>
      </c>
      <c r="I287" s="174">
        <f t="shared" si="54"/>
        <v>24.03</v>
      </c>
      <c r="J287" s="175">
        <v>0</v>
      </c>
      <c r="K287" s="176">
        <v>24.03</v>
      </c>
      <c r="L287" s="171"/>
      <c r="M287" s="169"/>
    </row>
    <row r="288" spans="1:13" s="125" customFormat="1" ht="15.6" x14ac:dyDescent="0.25">
      <c r="A288" s="169"/>
      <c r="B288" s="145">
        <v>47160</v>
      </c>
      <c r="C288" s="170"/>
      <c r="D288" s="169" t="s">
        <v>40</v>
      </c>
      <c r="E288" s="171" t="s">
        <v>41</v>
      </c>
      <c r="F288" s="171"/>
      <c r="G288" s="172">
        <v>4.0000000000000001E-3</v>
      </c>
      <c r="H288" s="173">
        <f t="shared" si="53"/>
        <v>1249.5491404214024</v>
      </c>
      <c r="I288" s="174">
        <f t="shared" si="54"/>
        <v>24.03</v>
      </c>
      <c r="J288" s="175">
        <v>0</v>
      </c>
      <c r="K288" s="176">
        <v>24.03</v>
      </c>
      <c r="L288" s="171"/>
      <c r="M288" s="169"/>
    </row>
    <row r="289" spans="1:13" s="125" customFormat="1" ht="15.6" x14ac:dyDescent="0.25">
      <c r="A289" s="169"/>
      <c r="B289" s="145">
        <v>48345</v>
      </c>
      <c r="C289" s="170"/>
      <c r="D289" s="169" t="s">
        <v>40</v>
      </c>
      <c r="E289" s="171" t="s">
        <v>41</v>
      </c>
      <c r="F289" s="171"/>
      <c r="G289" s="172">
        <v>5.4799999999999996E-3</v>
      </c>
      <c r="H289" s="173">
        <f t="shared" si="53"/>
        <v>1711.8823223773215</v>
      </c>
      <c r="I289" s="174">
        <f t="shared" si="54"/>
        <v>32.92</v>
      </c>
      <c r="J289" s="175">
        <v>0</v>
      </c>
      <c r="K289" s="176">
        <v>32.92</v>
      </c>
      <c r="L289" s="171"/>
      <c r="M289" s="169"/>
    </row>
    <row r="290" spans="1:13" s="125" customFormat="1" ht="15.6" x14ac:dyDescent="0.25">
      <c r="A290" s="169"/>
      <c r="B290" s="145">
        <v>48449</v>
      </c>
      <c r="C290" s="170"/>
      <c r="D290" s="169" t="s">
        <v>40</v>
      </c>
      <c r="E290" s="171" t="s">
        <v>41</v>
      </c>
      <c r="F290" s="171"/>
      <c r="G290" s="172">
        <v>4.4299999999999999E-3</v>
      </c>
      <c r="H290" s="173">
        <f t="shared" si="53"/>
        <v>1383.8756730167033</v>
      </c>
      <c r="I290" s="174">
        <f t="shared" si="54"/>
        <v>26.61</v>
      </c>
      <c r="J290" s="175">
        <v>0</v>
      </c>
      <c r="K290" s="176">
        <v>26.61</v>
      </c>
      <c r="L290" s="171"/>
      <c r="M290" s="169"/>
    </row>
    <row r="291" spans="1:13" s="125" customFormat="1" ht="15.6" x14ac:dyDescent="0.25">
      <c r="A291" s="169"/>
      <c r="B291" s="145">
        <v>48529</v>
      </c>
      <c r="C291" s="170"/>
      <c r="D291" s="169" t="s">
        <v>40</v>
      </c>
      <c r="E291" s="171" t="s">
        <v>41</v>
      </c>
      <c r="F291" s="171"/>
      <c r="G291" s="172">
        <v>5.4799999999999996E-3</v>
      </c>
      <c r="H291" s="173">
        <f t="shared" si="53"/>
        <v>1711.8823223773215</v>
      </c>
      <c r="I291" s="174">
        <f t="shared" si="54"/>
        <v>32.92</v>
      </c>
      <c r="J291" s="175">
        <v>0</v>
      </c>
      <c r="K291" s="176">
        <v>32.92</v>
      </c>
      <c r="L291" s="171"/>
      <c r="M291" s="169"/>
    </row>
    <row r="292" spans="1:13" s="125" customFormat="1" ht="15.6" x14ac:dyDescent="0.25">
      <c r="A292" s="169"/>
      <c r="B292" s="145">
        <v>48601</v>
      </c>
      <c r="C292" s="170"/>
      <c r="D292" s="169" t="s">
        <v>36</v>
      </c>
      <c r="E292" s="171" t="s">
        <v>41</v>
      </c>
      <c r="F292" s="171"/>
      <c r="G292" s="172">
        <v>3.0400000000000002E-3</v>
      </c>
      <c r="H292" s="173">
        <f t="shared" si="53"/>
        <v>949.65734672026599</v>
      </c>
      <c r="I292" s="174">
        <f t="shared" si="54"/>
        <v>18.260000000000002</v>
      </c>
      <c r="J292" s="175">
        <v>0</v>
      </c>
      <c r="K292" s="176">
        <v>18.260000000000002</v>
      </c>
      <c r="L292" s="171"/>
      <c r="M292" s="169"/>
    </row>
    <row r="293" spans="1:13" s="125" customFormat="1" ht="15.6" x14ac:dyDescent="0.25">
      <c r="A293" s="169"/>
      <c r="B293" s="145">
        <v>49012</v>
      </c>
      <c r="C293" s="170"/>
      <c r="D293" s="169" t="s">
        <v>40</v>
      </c>
      <c r="E293" s="171" t="s">
        <v>41</v>
      </c>
      <c r="F293" s="171"/>
      <c r="G293" s="172">
        <v>5.4799999999999996E-3</v>
      </c>
      <c r="H293" s="173">
        <f t="shared" si="53"/>
        <v>1711.8823223773215</v>
      </c>
      <c r="I293" s="174">
        <f t="shared" si="54"/>
        <v>32.92</v>
      </c>
      <c r="J293" s="175">
        <v>0</v>
      </c>
      <c r="K293" s="176">
        <v>32.92</v>
      </c>
      <c r="L293" s="171"/>
      <c r="M293" s="169"/>
    </row>
    <row r="294" spans="1:13" s="125" customFormat="1" ht="15.6" x14ac:dyDescent="0.25">
      <c r="A294" s="169"/>
      <c r="B294" s="145">
        <v>49074</v>
      </c>
      <c r="C294" s="170"/>
      <c r="D294" s="169" t="s">
        <v>40</v>
      </c>
      <c r="E294" s="171" t="s">
        <v>41</v>
      </c>
      <c r="F294" s="171"/>
      <c r="G294" s="172">
        <v>3.0400000000000002E-3</v>
      </c>
      <c r="H294" s="173">
        <f t="shared" ref="H294:H357" si="55">G294/$G$427*$H$427</f>
        <v>949.65734672026599</v>
      </c>
      <c r="I294" s="174">
        <f t="shared" ref="I294:I357" si="56">ROUND(H294/52,2)</f>
        <v>18.260000000000002</v>
      </c>
      <c r="J294" s="175">
        <v>0</v>
      </c>
      <c r="K294" s="176">
        <v>18.260000000000002</v>
      </c>
      <c r="L294" s="171"/>
      <c r="M294" s="169"/>
    </row>
    <row r="295" spans="1:13" s="125" customFormat="1" ht="15.6" x14ac:dyDescent="0.25">
      <c r="A295" s="169"/>
      <c r="B295" s="145">
        <v>49144</v>
      </c>
      <c r="C295" s="170"/>
      <c r="D295" s="169" t="s">
        <v>36</v>
      </c>
      <c r="E295" s="171" t="s">
        <v>41</v>
      </c>
      <c r="F295" s="171"/>
      <c r="G295" s="172">
        <v>3.0400000000000002E-3</v>
      </c>
      <c r="H295" s="173">
        <f t="shared" si="55"/>
        <v>949.65734672026599</v>
      </c>
      <c r="I295" s="174">
        <f t="shared" si="56"/>
        <v>18.260000000000002</v>
      </c>
      <c r="J295" s="175">
        <v>0</v>
      </c>
      <c r="K295" s="176">
        <v>18.260000000000002</v>
      </c>
      <c r="L295" s="171"/>
      <c r="M295" s="169"/>
    </row>
    <row r="296" spans="1:13" s="125" customFormat="1" ht="15.6" x14ac:dyDescent="0.25">
      <c r="A296" s="169"/>
      <c r="B296" s="145">
        <v>49292</v>
      </c>
      <c r="C296" s="170"/>
      <c r="D296" s="169" t="s">
        <v>36</v>
      </c>
      <c r="E296" s="171" t="s">
        <v>41</v>
      </c>
      <c r="F296" s="171"/>
      <c r="G296" s="172">
        <v>3.0400000000000002E-3</v>
      </c>
      <c r="H296" s="173">
        <f t="shared" si="55"/>
        <v>949.65734672026599</v>
      </c>
      <c r="I296" s="174">
        <f t="shared" si="56"/>
        <v>18.260000000000002</v>
      </c>
      <c r="J296" s="175">
        <v>0</v>
      </c>
      <c r="K296" s="176">
        <v>18.260000000000002</v>
      </c>
      <c r="L296" s="171"/>
      <c r="M296" s="169"/>
    </row>
    <row r="297" spans="1:13" s="125" customFormat="1" ht="15.6" x14ac:dyDescent="0.25">
      <c r="A297" s="169"/>
      <c r="B297" s="145">
        <v>49705</v>
      </c>
      <c r="C297" s="170"/>
      <c r="D297" s="169" t="s">
        <v>40</v>
      </c>
      <c r="E297" s="171" t="s">
        <v>41</v>
      </c>
      <c r="F297" s="171"/>
      <c r="G297" s="172">
        <v>3.0400000000000002E-3</v>
      </c>
      <c r="H297" s="173">
        <f t="shared" si="55"/>
        <v>949.65734672026599</v>
      </c>
      <c r="I297" s="174">
        <f t="shared" si="56"/>
        <v>18.260000000000002</v>
      </c>
      <c r="J297" s="175">
        <v>0</v>
      </c>
      <c r="K297" s="176">
        <v>18.260000000000002</v>
      </c>
      <c r="L297" s="171"/>
      <c r="M297" s="169"/>
    </row>
    <row r="298" spans="1:13" s="125" customFormat="1" ht="15.6" x14ac:dyDescent="0.25">
      <c r="A298" s="169"/>
      <c r="B298" s="145">
        <v>49958</v>
      </c>
      <c r="C298" s="170"/>
      <c r="D298" s="169" t="s">
        <v>36</v>
      </c>
      <c r="E298" s="171" t="s">
        <v>41</v>
      </c>
      <c r="F298" s="171"/>
      <c r="G298" s="172">
        <v>3.0400000000000002E-3</v>
      </c>
      <c r="H298" s="173">
        <f t="shared" si="55"/>
        <v>949.65734672026599</v>
      </c>
      <c r="I298" s="174">
        <f t="shared" si="56"/>
        <v>18.260000000000002</v>
      </c>
      <c r="J298" s="175">
        <v>0</v>
      </c>
      <c r="K298" s="176">
        <v>18.260000000000002</v>
      </c>
      <c r="L298" s="171"/>
      <c r="M298" s="169"/>
    </row>
    <row r="299" spans="1:13" s="125" customFormat="1" ht="15.6" x14ac:dyDescent="0.25">
      <c r="A299" s="169"/>
      <c r="B299" s="145">
        <v>50026</v>
      </c>
      <c r="C299" s="170"/>
      <c r="D299" s="169" t="s">
        <v>40</v>
      </c>
      <c r="E299" s="171" t="s">
        <v>41</v>
      </c>
      <c r="F299" s="171"/>
      <c r="G299" s="172">
        <v>3.0400000000000002E-3</v>
      </c>
      <c r="H299" s="173">
        <f t="shared" si="55"/>
        <v>949.65734672026599</v>
      </c>
      <c r="I299" s="174">
        <f t="shared" si="56"/>
        <v>18.260000000000002</v>
      </c>
      <c r="J299" s="175">
        <v>0</v>
      </c>
      <c r="K299" s="176">
        <v>18.260000000000002</v>
      </c>
      <c r="L299" s="171"/>
      <c r="M299" s="169"/>
    </row>
    <row r="300" spans="1:13" s="125" customFormat="1" ht="15.6" x14ac:dyDescent="0.25">
      <c r="A300" s="169"/>
      <c r="B300" s="145">
        <v>50792</v>
      </c>
      <c r="C300" s="170"/>
      <c r="D300" s="169" t="s">
        <v>40</v>
      </c>
      <c r="E300" s="171" t="s">
        <v>41</v>
      </c>
      <c r="F300" s="171"/>
      <c r="G300" s="172">
        <v>3.0400000000000002E-3</v>
      </c>
      <c r="H300" s="173">
        <f t="shared" si="55"/>
        <v>949.65734672026599</v>
      </c>
      <c r="I300" s="174">
        <f t="shared" si="56"/>
        <v>18.260000000000002</v>
      </c>
      <c r="J300" s="175">
        <v>0</v>
      </c>
      <c r="K300" s="176">
        <v>18.260000000000002</v>
      </c>
      <c r="L300" s="171"/>
      <c r="M300" s="169"/>
    </row>
    <row r="301" spans="1:13" s="125" customFormat="1" ht="15.6" x14ac:dyDescent="0.25">
      <c r="A301" s="169"/>
      <c r="B301" s="145">
        <v>51171</v>
      </c>
      <c r="C301" s="170"/>
      <c r="D301" s="169" t="s">
        <v>40</v>
      </c>
      <c r="E301" s="171" t="s">
        <v>41</v>
      </c>
      <c r="F301" s="171"/>
      <c r="G301" s="172">
        <v>3.0400000000000002E-3</v>
      </c>
      <c r="H301" s="173">
        <f t="shared" si="55"/>
        <v>949.65734672026599</v>
      </c>
      <c r="I301" s="174">
        <f t="shared" si="56"/>
        <v>18.260000000000002</v>
      </c>
      <c r="J301" s="175">
        <v>0</v>
      </c>
      <c r="K301" s="176">
        <v>18.260000000000002</v>
      </c>
      <c r="L301" s="171"/>
      <c r="M301" s="169"/>
    </row>
    <row r="302" spans="1:13" s="125" customFormat="1" ht="15.6" x14ac:dyDescent="0.25">
      <c r="A302" s="169"/>
      <c r="B302" s="145">
        <v>51237</v>
      </c>
      <c r="C302" s="170"/>
      <c r="D302" s="169" t="s">
        <v>40</v>
      </c>
      <c r="E302" s="171" t="s">
        <v>41</v>
      </c>
      <c r="F302" s="171"/>
      <c r="G302" s="172">
        <v>3.0400000000000002E-3</v>
      </c>
      <c r="H302" s="173">
        <f t="shared" si="55"/>
        <v>949.65734672026599</v>
      </c>
      <c r="I302" s="174">
        <f t="shared" si="56"/>
        <v>18.260000000000002</v>
      </c>
      <c r="J302" s="175">
        <v>0</v>
      </c>
      <c r="K302" s="176">
        <v>18.260000000000002</v>
      </c>
      <c r="L302" s="171"/>
      <c r="M302" s="169"/>
    </row>
    <row r="303" spans="1:13" s="125" customFormat="1" ht="15.6" x14ac:dyDescent="0.25">
      <c r="A303" s="169"/>
      <c r="B303" s="145">
        <v>52251</v>
      </c>
      <c r="C303" s="170"/>
      <c r="D303" s="169" t="s">
        <v>36</v>
      </c>
      <c r="E303" s="171" t="s">
        <v>41</v>
      </c>
      <c r="F303" s="171"/>
      <c r="G303" s="172">
        <v>4.0000000000000001E-3</v>
      </c>
      <c r="H303" s="173">
        <f t="shared" si="55"/>
        <v>1249.5491404214024</v>
      </c>
      <c r="I303" s="174">
        <f t="shared" si="56"/>
        <v>24.03</v>
      </c>
      <c r="J303" s="175">
        <v>0</v>
      </c>
      <c r="K303" s="176">
        <v>24.03</v>
      </c>
      <c r="L303" s="171"/>
      <c r="M303" s="169"/>
    </row>
    <row r="304" spans="1:13" s="125" customFormat="1" ht="15.6" x14ac:dyDescent="0.25">
      <c r="A304" s="169"/>
      <c r="B304" s="145">
        <v>53273</v>
      </c>
      <c r="C304" s="170"/>
      <c r="D304" s="169" t="s">
        <v>40</v>
      </c>
      <c r="E304" s="171" t="s">
        <v>41</v>
      </c>
      <c r="F304" s="171"/>
      <c r="G304" s="172">
        <v>3.0400000000000002E-3</v>
      </c>
      <c r="H304" s="173">
        <f t="shared" si="55"/>
        <v>949.65734672026599</v>
      </c>
      <c r="I304" s="174">
        <f t="shared" si="56"/>
        <v>18.260000000000002</v>
      </c>
      <c r="J304" s="175">
        <v>0</v>
      </c>
      <c r="K304" s="176">
        <v>18.260000000000002</v>
      </c>
      <c r="L304" s="171"/>
      <c r="M304" s="169"/>
    </row>
    <row r="305" spans="1:13" s="125" customFormat="1" ht="15.6" x14ac:dyDescent="0.25">
      <c r="A305" s="169"/>
      <c r="B305" s="145">
        <v>53510</v>
      </c>
      <c r="C305" s="170"/>
      <c r="D305" s="169" t="s">
        <v>40</v>
      </c>
      <c r="E305" s="171" t="s">
        <v>41</v>
      </c>
      <c r="F305" s="171"/>
      <c r="G305" s="172">
        <v>4.0000000000000001E-3</v>
      </c>
      <c r="H305" s="173">
        <f t="shared" si="55"/>
        <v>1249.5491404214024</v>
      </c>
      <c r="I305" s="174">
        <f t="shared" si="56"/>
        <v>24.03</v>
      </c>
      <c r="J305" s="175">
        <v>0</v>
      </c>
      <c r="K305" s="176">
        <v>24.03</v>
      </c>
      <c r="L305" s="171"/>
      <c r="M305" s="169"/>
    </row>
    <row r="306" spans="1:13" s="125" customFormat="1" ht="15.6" x14ac:dyDescent="0.25">
      <c r="A306" s="169"/>
      <c r="B306" s="145">
        <v>54428</v>
      </c>
      <c r="C306" s="170"/>
      <c r="D306" s="169" t="s">
        <v>36</v>
      </c>
      <c r="E306" s="171" t="s">
        <v>41</v>
      </c>
      <c r="F306" s="171"/>
      <c r="G306" s="172">
        <v>4.0000000000000001E-3</v>
      </c>
      <c r="H306" s="173">
        <f t="shared" si="55"/>
        <v>1249.5491404214024</v>
      </c>
      <c r="I306" s="174">
        <f t="shared" si="56"/>
        <v>24.03</v>
      </c>
      <c r="J306" s="175">
        <v>0</v>
      </c>
      <c r="K306" s="176">
        <v>24.03</v>
      </c>
      <c r="L306" s="171"/>
      <c r="M306" s="169"/>
    </row>
    <row r="307" spans="1:13" s="125" customFormat="1" ht="15.6" x14ac:dyDescent="0.25">
      <c r="A307" s="169"/>
      <c r="B307" s="145">
        <v>54569</v>
      </c>
      <c r="C307" s="170"/>
      <c r="D307" s="169" t="s">
        <v>40</v>
      </c>
      <c r="E307" s="171" t="s">
        <v>41</v>
      </c>
      <c r="F307" s="171"/>
      <c r="G307" s="172">
        <v>4.0000000000000001E-3</v>
      </c>
      <c r="H307" s="173">
        <f t="shared" si="55"/>
        <v>1249.5491404214024</v>
      </c>
      <c r="I307" s="174">
        <f t="shared" si="56"/>
        <v>24.03</v>
      </c>
      <c r="J307" s="175">
        <v>0</v>
      </c>
      <c r="K307" s="176">
        <v>24.03</v>
      </c>
      <c r="L307" s="171"/>
      <c r="M307" s="169"/>
    </row>
    <row r="308" spans="1:13" s="125" customFormat="1" ht="15.6" x14ac:dyDescent="0.25">
      <c r="A308" s="169"/>
      <c r="B308" s="145">
        <v>55040</v>
      </c>
      <c r="C308" s="170"/>
      <c r="D308" s="169" t="s">
        <v>40</v>
      </c>
      <c r="E308" s="171" t="s">
        <v>41</v>
      </c>
      <c r="F308" s="171"/>
      <c r="G308" s="172">
        <v>5.4799999999999996E-3</v>
      </c>
      <c r="H308" s="173">
        <f t="shared" si="55"/>
        <v>1711.8823223773215</v>
      </c>
      <c r="I308" s="174">
        <f t="shared" si="56"/>
        <v>32.92</v>
      </c>
      <c r="J308" s="175">
        <v>0</v>
      </c>
      <c r="K308" s="176">
        <v>32.92</v>
      </c>
      <c r="L308" s="171"/>
      <c r="M308" s="169"/>
    </row>
    <row r="309" spans="1:13" s="125" customFormat="1" ht="15.6" x14ac:dyDescent="0.25">
      <c r="A309" s="169"/>
      <c r="B309" s="145">
        <v>56083</v>
      </c>
      <c r="C309" s="170"/>
      <c r="D309" s="169" t="s">
        <v>40</v>
      </c>
      <c r="E309" s="171" t="s">
        <v>41</v>
      </c>
      <c r="F309" s="171"/>
      <c r="G309" s="172">
        <v>5.4799999999999996E-3</v>
      </c>
      <c r="H309" s="173">
        <f t="shared" si="55"/>
        <v>1711.8823223773215</v>
      </c>
      <c r="I309" s="174">
        <f t="shared" si="56"/>
        <v>32.92</v>
      </c>
      <c r="J309" s="175">
        <v>0</v>
      </c>
      <c r="K309" s="176">
        <v>32.92</v>
      </c>
      <c r="L309" s="171"/>
      <c r="M309" s="169"/>
    </row>
    <row r="310" spans="1:13" s="125" customFormat="1" ht="15.6" x14ac:dyDescent="0.25">
      <c r="A310" s="169"/>
      <c r="B310" s="145">
        <v>56218</v>
      </c>
      <c r="C310" s="170"/>
      <c r="D310" s="169" t="s">
        <v>36</v>
      </c>
      <c r="E310" s="171" t="s">
        <v>41</v>
      </c>
      <c r="F310" s="171"/>
      <c r="G310" s="172">
        <v>3.0400000000000002E-3</v>
      </c>
      <c r="H310" s="173">
        <f t="shared" si="55"/>
        <v>949.65734672026599</v>
      </c>
      <c r="I310" s="174">
        <f t="shared" si="56"/>
        <v>18.260000000000002</v>
      </c>
      <c r="J310" s="175">
        <v>0</v>
      </c>
      <c r="K310" s="176">
        <v>18.260000000000002</v>
      </c>
      <c r="L310" s="171"/>
      <c r="M310" s="169"/>
    </row>
    <row r="311" spans="1:13" s="125" customFormat="1" ht="15.6" x14ac:dyDescent="0.25">
      <c r="A311" s="169"/>
      <c r="B311" s="145">
        <v>57088</v>
      </c>
      <c r="C311" s="170"/>
      <c r="D311" s="169" t="s">
        <v>40</v>
      </c>
      <c r="E311" s="171" t="s">
        <v>41</v>
      </c>
      <c r="F311" s="171"/>
      <c r="G311" s="172">
        <v>3.0400000000000002E-3</v>
      </c>
      <c r="H311" s="173">
        <f t="shared" si="55"/>
        <v>949.65734672026599</v>
      </c>
      <c r="I311" s="174">
        <f t="shared" si="56"/>
        <v>18.260000000000002</v>
      </c>
      <c r="J311" s="175">
        <v>0</v>
      </c>
      <c r="K311" s="176">
        <v>18.260000000000002</v>
      </c>
      <c r="L311" s="171"/>
      <c r="M311" s="169"/>
    </row>
    <row r="312" spans="1:13" s="125" customFormat="1" ht="15.6" x14ac:dyDescent="0.25">
      <c r="A312" s="169"/>
      <c r="B312" s="145">
        <v>57107</v>
      </c>
      <c r="C312" s="170"/>
      <c r="D312" s="169" t="s">
        <v>40</v>
      </c>
      <c r="E312" s="171" t="s">
        <v>41</v>
      </c>
      <c r="F312" s="171"/>
      <c r="G312" s="172">
        <v>4.0000000000000001E-3</v>
      </c>
      <c r="H312" s="173">
        <f t="shared" si="55"/>
        <v>1249.5491404214024</v>
      </c>
      <c r="I312" s="174">
        <f t="shared" si="56"/>
        <v>24.03</v>
      </c>
      <c r="J312" s="175">
        <v>0</v>
      </c>
      <c r="K312" s="176">
        <v>24.03</v>
      </c>
      <c r="L312" s="171"/>
      <c r="M312" s="169"/>
    </row>
    <row r="313" spans="1:13" s="125" customFormat="1" ht="15.6" x14ac:dyDescent="0.25">
      <c r="A313" s="169"/>
      <c r="B313" s="145">
        <v>57284</v>
      </c>
      <c r="C313" s="170"/>
      <c r="D313" s="169" t="s">
        <v>40</v>
      </c>
      <c r="E313" s="171" t="s">
        <v>41</v>
      </c>
      <c r="F313" s="171"/>
      <c r="G313" s="172">
        <v>5.4799999999999996E-3</v>
      </c>
      <c r="H313" s="173">
        <f t="shared" si="55"/>
        <v>1711.8823223773215</v>
      </c>
      <c r="I313" s="174">
        <f t="shared" si="56"/>
        <v>32.92</v>
      </c>
      <c r="J313" s="175">
        <v>0</v>
      </c>
      <c r="K313" s="176">
        <v>32.92</v>
      </c>
      <c r="L313" s="171"/>
      <c r="M313" s="169"/>
    </row>
    <row r="314" spans="1:13" s="125" customFormat="1" ht="15.6" x14ac:dyDescent="0.25">
      <c r="A314" s="169"/>
      <c r="B314" s="145">
        <v>57908</v>
      </c>
      <c r="C314" s="170"/>
      <c r="D314" s="169" t="s">
        <v>40</v>
      </c>
      <c r="E314" s="171" t="s">
        <v>41</v>
      </c>
      <c r="F314" s="171"/>
      <c r="G314" s="172">
        <v>4.0000000000000001E-3</v>
      </c>
      <c r="H314" s="173">
        <f t="shared" si="55"/>
        <v>1249.5491404214024</v>
      </c>
      <c r="I314" s="174">
        <f t="shared" si="56"/>
        <v>24.03</v>
      </c>
      <c r="J314" s="175">
        <v>0</v>
      </c>
      <c r="K314" s="176">
        <v>24.03</v>
      </c>
      <c r="L314" s="171"/>
      <c r="M314" s="169"/>
    </row>
    <row r="315" spans="1:13" s="125" customFormat="1" ht="15.6" x14ac:dyDescent="0.25">
      <c r="A315" s="169"/>
      <c r="B315" s="145">
        <v>58263</v>
      </c>
      <c r="C315" s="170"/>
      <c r="D315" s="169" t="s">
        <v>40</v>
      </c>
      <c r="E315" s="171" t="s">
        <v>41</v>
      </c>
      <c r="F315" s="171"/>
      <c r="G315" s="172">
        <v>4.0000000000000001E-3</v>
      </c>
      <c r="H315" s="173">
        <f t="shared" si="55"/>
        <v>1249.5491404214024</v>
      </c>
      <c r="I315" s="174">
        <f t="shared" si="56"/>
        <v>24.03</v>
      </c>
      <c r="J315" s="175">
        <v>0</v>
      </c>
      <c r="K315" s="176">
        <v>24.03</v>
      </c>
      <c r="L315" s="171"/>
      <c r="M315" s="169"/>
    </row>
    <row r="316" spans="1:13" s="125" customFormat="1" ht="15.6" x14ac:dyDescent="0.25">
      <c r="A316" s="169"/>
      <c r="B316" s="145">
        <v>58548</v>
      </c>
      <c r="C316" s="170"/>
      <c r="D316" s="169" t="s">
        <v>40</v>
      </c>
      <c r="E316" s="171" t="s">
        <v>41</v>
      </c>
      <c r="F316" s="171"/>
      <c r="G316" s="172">
        <v>4.0000000000000001E-3</v>
      </c>
      <c r="H316" s="173">
        <f t="shared" si="55"/>
        <v>1249.5491404214024</v>
      </c>
      <c r="I316" s="174">
        <f t="shared" si="56"/>
        <v>24.03</v>
      </c>
      <c r="J316" s="175">
        <v>0</v>
      </c>
      <c r="K316" s="176">
        <v>24.03</v>
      </c>
      <c r="L316" s="171"/>
      <c r="M316" s="169"/>
    </row>
    <row r="317" spans="1:13" s="125" customFormat="1" ht="15.6" x14ac:dyDescent="0.25">
      <c r="A317" s="169"/>
      <c r="B317" s="145">
        <v>59327</v>
      </c>
      <c r="C317" s="170"/>
      <c r="D317" s="169" t="s">
        <v>40</v>
      </c>
      <c r="E317" s="171" t="s">
        <v>41</v>
      </c>
      <c r="F317" s="171"/>
      <c r="G317" s="172">
        <v>4.0000000000000001E-3</v>
      </c>
      <c r="H317" s="173">
        <f t="shared" si="55"/>
        <v>1249.5491404214024</v>
      </c>
      <c r="I317" s="174">
        <f t="shared" si="56"/>
        <v>24.03</v>
      </c>
      <c r="J317" s="175">
        <v>0</v>
      </c>
      <c r="K317" s="176">
        <v>24.03</v>
      </c>
      <c r="L317" s="171"/>
      <c r="M317" s="169"/>
    </row>
    <row r="318" spans="1:13" s="125" customFormat="1" ht="15.6" x14ac:dyDescent="0.25">
      <c r="A318" s="169"/>
      <c r="B318" s="145">
        <v>59533</v>
      </c>
      <c r="C318" s="170"/>
      <c r="D318" s="169" t="s">
        <v>40</v>
      </c>
      <c r="E318" s="171" t="s">
        <v>41</v>
      </c>
      <c r="F318" s="171"/>
      <c r="G318" s="172">
        <v>4.0000000000000001E-3</v>
      </c>
      <c r="H318" s="173">
        <f t="shared" si="55"/>
        <v>1249.5491404214024</v>
      </c>
      <c r="I318" s="174">
        <f t="shared" si="56"/>
        <v>24.03</v>
      </c>
      <c r="J318" s="175">
        <v>0</v>
      </c>
      <c r="K318" s="176">
        <v>24.03</v>
      </c>
      <c r="L318" s="171"/>
      <c r="M318" s="169"/>
    </row>
    <row r="319" spans="1:13" s="125" customFormat="1" ht="15.6" x14ac:dyDescent="0.25">
      <c r="A319" s="169"/>
      <c r="B319" s="145">
        <v>60338</v>
      </c>
      <c r="C319" s="170"/>
      <c r="D319" s="169" t="s">
        <v>36</v>
      </c>
      <c r="E319" s="171" t="s">
        <v>41</v>
      </c>
      <c r="F319" s="171"/>
      <c r="G319" s="172">
        <v>4.0000000000000001E-3</v>
      </c>
      <c r="H319" s="173">
        <f t="shared" si="55"/>
        <v>1249.5491404214024</v>
      </c>
      <c r="I319" s="174">
        <f t="shared" si="56"/>
        <v>24.03</v>
      </c>
      <c r="J319" s="175">
        <v>0</v>
      </c>
      <c r="K319" s="176">
        <v>24.03</v>
      </c>
      <c r="L319" s="171"/>
      <c r="M319" s="169"/>
    </row>
    <row r="320" spans="1:13" s="125" customFormat="1" ht="15.6" x14ac:dyDescent="0.25">
      <c r="A320" s="169"/>
      <c r="B320" s="145">
        <v>61293</v>
      </c>
      <c r="C320" s="170"/>
      <c r="D320" s="169" t="s">
        <v>40</v>
      </c>
      <c r="E320" s="171" t="s">
        <v>41</v>
      </c>
      <c r="F320" s="171"/>
      <c r="G320" s="172">
        <v>3.0400000000000002E-3</v>
      </c>
      <c r="H320" s="173">
        <f t="shared" si="55"/>
        <v>949.65734672026599</v>
      </c>
      <c r="I320" s="174">
        <f t="shared" si="56"/>
        <v>18.260000000000002</v>
      </c>
      <c r="J320" s="175">
        <v>0</v>
      </c>
      <c r="K320" s="176">
        <v>18.260000000000002</v>
      </c>
      <c r="L320" s="171"/>
      <c r="M320" s="169"/>
    </row>
    <row r="321" spans="1:13" s="125" customFormat="1" ht="15.6" x14ac:dyDescent="0.25">
      <c r="A321" s="169"/>
      <c r="B321" s="145">
        <v>61896</v>
      </c>
      <c r="C321" s="170"/>
      <c r="D321" s="169" t="s">
        <v>40</v>
      </c>
      <c r="E321" s="171" t="s">
        <v>41</v>
      </c>
      <c r="F321" s="171"/>
      <c r="G321" s="172">
        <v>4.0000000000000001E-3</v>
      </c>
      <c r="H321" s="173">
        <f t="shared" si="55"/>
        <v>1249.5491404214024</v>
      </c>
      <c r="I321" s="174">
        <f t="shared" si="56"/>
        <v>24.03</v>
      </c>
      <c r="J321" s="175">
        <v>0</v>
      </c>
      <c r="K321" s="176">
        <v>24.03</v>
      </c>
      <c r="L321" s="171"/>
      <c r="M321" s="169"/>
    </row>
    <row r="322" spans="1:13" s="125" customFormat="1" ht="15.6" x14ac:dyDescent="0.25">
      <c r="A322" s="169"/>
      <c r="B322" s="145">
        <v>61954</v>
      </c>
      <c r="C322" s="170"/>
      <c r="D322" s="169" t="s">
        <v>36</v>
      </c>
      <c r="E322" s="171" t="s">
        <v>41</v>
      </c>
      <c r="F322" s="171"/>
      <c r="G322" s="172">
        <v>3.0400000000000002E-3</v>
      </c>
      <c r="H322" s="173">
        <f t="shared" si="55"/>
        <v>949.65734672026599</v>
      </c>
      <c r="I322" s="174">
        <f t="shared" si="56"/>
        <v>18.260000000000002</v>
      </c>
      <c r="J322" s="175">
        <v>0</v>
      </c>
      <c r="K322" s="176">
        <v>18.260000000000002</v>
      </c>
      <c r="L322" s="171"/>
      <c r="M322" s="169"/>
    </row>
    <row r="323" spans="1:13" s="125" customFormat="1" ht="15.6" x14ac:dyDescent="0.25">
      <c r="A323" s="169"/>
      <c r="B323" s="145">
        <v>61990</v>
      </c>
      <c r="C323" s="170"/>
      <c r="D323" s="169" t="s">
        <v>36</v>
      </c>
      <c r="E323" s="171" t="s">
        <v>41</v>
      </c>
      <c r="F323" s="171"/>
      <c r="G323" s="172">
        <v>4.0000000000000001E-3</v>
      </c>
      <c r="H323" s="173">
        <f t="shared" si="55"/>
        <v>1249.5491404214024</v>
      </c>
      <c r="I323" s="174">
        <f t="shared" si="56"/>
        <v>24.03</v>
      </c>
      <c r="J323" s="175">
        <v>0</v>
      </c>
      <c r="K323" s="176">
        <v>24.03</v>
      </c>
      <c r="L323" s="171"/>
      <c r="M323" s="169"/>
    </row>
    <row r="324" spans="1:13" s="125" customFormat="1" ht="15.6" x14ac:dyDescent="0.25">
      <c r="A324" s="169"/>
      <c r="B324" s="145">
        <v>62408</v>
      </c>
      <c r="C324" s="170"/>
      <c r="D324" s="169" t="s">
        <v>36</v>
      </c>
      <c r="E324" s="171" t="s">
        <v>41</v>
      </c>
      <c r="F324" s="171"/>
      <c r="G324" s="172">
        <v>5.4799999999999996E-3</v>
      </c>
      <c r="H324" s="173">
        <f t="shared" si="55"/>
        <v>1711.8823223773215</v>
      </c>
      <c r="I324" s="174">
        <f t="shared" si="56"/>
        <v>32.92</v>
      </c>
      <c r="J324" s="175">
        <v>0</v>
      </c>
      <c r="K324" s="176">
        <v>32.92</v>
      </c>
      <c r="L324" s="171"/>
      <c r="M324" s="169"/>
    </row>
    <row r="325" spans="1:13" s="125" customFormat="1" ht="15.6" x14ac:dyDescent="0.25">
      <c r="A325" s="169"/>
      <c r="B325" s="145">
        <v>62895</v>
      </c>
      <c r="C325" s="170"/>
      <c r="D325" s="169" t="s">
        <v>36</v>
      </c>
      <c r="E325" s="171" t="s">
        <v>41</v>
      </c>
      <c r="F325" s="171"/>
      <c r="G325" s="172">
        <v>3.0400000000000002E-3</v>
      </c>
      <c r="H325" s="173">
        <f t="shared" si="55"/>
        <v>949.65734672026599</v>
      </c>
      <c r="I325" s="174">
        <f t="shared" si="56"/>
        <v>18.260000000000002</v>
      </c>
      <c r="J325" s="175">
        <v>0</v>
      </c>
      <c r="K325" s="176">
        <v>18.260000000000002</v>
      </c>
      <c r="L325" s="171"/>
      <c r="M325" s="169"/>
    </row>
    <row r="326" spans="1:13" s="125" customFormat="1" ht="15.6" x14ac:dyDescent="0.25">
      <c r="A326" s="169"/>
      <c r="B326" s="145">
        <v>62918</v>
      </c>
      <c r="C326" s="170"/>
      <c r="D326" s="169" t="s">
        <v>40</v>
      </c>
      <c r="E326" s="171" t="s">
        <v>41</v>
      </c>
      <c r="F326" s="171"/>
      <c r="G326" s="172">
        <v>4.0000000000000001E-3</v>
      </c>
      <c r="H326" s="173">
        <f t="shared" si="55"/>
        <v>1249.5491404214024</v>
      </c>
      <c r="I326" s="174">
        <f t="shared" si="56"/>
        <v>24.03</v>
      </c>
      <c r="J326" s="175">
        <v>0</v>
      </c>
      <c r="K326" s="176">
        <v>24.03</v>
      </c>
      <c r="L326" s="171"/>
      <c r="M326" s="169"/>
    </row>
    <row r="327" spans="1:13" s="125" customFormat="1" ht="15.6" x14ac:dyDescent="0.25">
      <c r="A327" s="169"/>
      <c r="B327" s="145">
        <v>63322</v>
      </c>
      <c r="C327" s="170"/>
      <c r="D327" s="169" t="s">
        <v>36</v>
      </c>
      <c r="E327" s="171" t="s">
        <v>41</v>
      </c>
      <c r="F327" s="171"/>
      <c r="G327" s="172">
        <v>5.4799999999999996E-3</v>
      </c>
      <c r="H327" s="173">
        <f t="shared" si="55"/>
        <v>1711.8823223773215</v>
      </c>
      <c r="I327" s="174">
        <f t="shared" si="56"/>
        <v>32.92</v>
      </c>
      <c r="J327" s="175">
        <v>0</v>
      </c>
      <c r="K327" s="176">
        <v>32.92</v>
      </c>
      <c r="L327" s="171"/>
      <c r="M327" s="169"/>
    </row>
    <row r="328" spans="1:13" s="125" customFormat="1" ht="15.6" x14ac:dyDescent="0.25">
      <c r="A328" s="169"/>
      <c r="B328" s="145">
        <v>63796</v>
      </c>
      <c r="C328" s="170"/>
      <c r="D328" s="169" t="s">
        <v>36</v>
      </c>
      <c r="E328" s="171" t="s">
        <v>41</v>
      </c>
      <c r="F328" s="171"/>
      <c r="G328" s="172">
        <v>5.4799999999999996E-3</v>
      </c>
      <c r="H328" s="173">
        <f t="shared" si="55"/>
        <v>1711.8823223773215</v>
      </c>
      <c r="I328" s="174">
        <f t="shared" si="56"/>
        <v>32.92</v>
      </c>
      <c r="J328" s="175">
        <v>0</v>
      </c>
      <c r="K328" s="176">
        <v>32.92</v>
      </c>
      <c r="L328" s="171"/>
      <c r="M328" s="169"/>
    </row>
    <row r="329" spans="1:13" s="125" customFormat="1" ht="15.6" x14ac:dyDescent="0.25">
      <c r="A329" s="169"/>
      <c r="B329" s="145">
        <v>63824</v>
      </c>
      <c r="C329" s="170"/>
      <c r="D329" s="169" t="s">
        <v>40</v>
      </c>
      <c r="E329" s="171" t="s">
        <v>41</v>
      </c>
      <c r="F329" s="171"/>
      <c r="G329" s="172">
        <v>3.0400000000000002E-3</v>
      </c>
      <c r="H329" s="173">
        <f t="shared" si="55"/>
        <v>949.65734672026599</v>
      </c>
      <c r="I329" s="174">
        <f t="shared" si="56"/>
        <v>18.260000000000002</v>
      </c>
      <c r="J329" s="175">
        <v>0</v>
      </c>
      <c r="K329" s="176">
        <v>18.260000000000002</v>
      </c>
      <c r="L329" s="171"/>
      <c r="M329" s="169"/>
    </row>
    <row r="330" spans="1:13" s="125" customFormat="1" ht="15.6" x14ac:dyDescent="0.25">
      <c r="A330" s="169"/>
      <c r="B330" s="145">
        <v>64070</v>
      </c>
      <c r="C330" s="170"/>
      <c r="D330" s="169" t="s">
        <v>36</v>
      </c>
      <c r="E330" s="171" t="s">
        <v>41</v>
      </c>
      <c r="F330" s="171"/>
      <c r="G330" s="172">
        <v>5.4799999999999996E-3</v>
      </c>
      <c r="H330" s="173">
        <f t="shared" si="55"/>
        <v>1711.8823223773215</v>
      </c>
      <c r="I330" s="174">
        <f t="shared" si="56"/>
        <v>32.92</v>
      </c>
      <c r="J330" s="175">
        <v>0</v>
      </c>
      <c r="K330" s="176">
        <v>32.92</v>
      </c>
      <c r="L330" s="171"/>
      <c r="M330" s="169"/>
    </row>
    <row r="331" spans="1:13" s="125" customFormat="1" ht="15.6" x14ac:dyDescent="0.25">
      <c r="A331" s="169"/>
      <c r="B331" s="145">
        <v>64212</v>
      </c>
      <c r="C331" s="170"/>
      <c r="D331" s="169" t="s">
        <v>40</v>
      </c>
      <c r="E331" s="171" t="s">
        <v>41</v>
      </c>
      <c r="F331" s="171"/>
      <c r="G331" s="172">
        <v>3.0400000000000002E-3</v>
      </c>
      <c r="H331" s="173">
        <f t="shared" si="55"/>
        <v>949.65734672026599</v>
      </c>
      <c r="I331" s="174">
        <f t="shared" si="56"/>
        <v>18.260000000000002</v>
      </c>
      <c r="J331" s="175">
        <v>0</v>
      </c>
      <c r="K331" s="176">
        <v>18.260000000000002</v>
      </c>
      <c r="L331" s="171"/>
      <c r="M331" s="169"/>
    </row>
    <row r="332" spans="1:13" s="125" customFormat="1" ht="15.6" x14ac:dyDescent="0.25">
      <c r="A332" s="169"/>
      <c r="B332" s="145">
        <v>64483</v>
      </c>
      <c r="C332" s="170"/>
      <c r="D332" s="169" t="s">
        <v>40</v>
      </c>
      <c r="E332" s="171" t="s">
        <v>41</v>
      </c>
      <c r="F332" s="171"/>
      <c r="G332" s="172">
        <v>4.0000000000000001E-3</v>
      </c>
      <c r="H332" s="173">
        <f t="shared" si="55"/>
        <v>1249.5491404214024</v>
      </c>
      <c r="I332" s="174">
        <f t="shared" si="56"/>
        <v>24.03</v>
      </c>
      <c r="J332" s="175">
        <v>0</v>
      </c>
      <c r="K332" s="176">
        <v>24.03</v>
      </c>
      <c r="L332" s="171"/>
      <c r="M332" s="169"/>
    </row>
    <row r="333" spans="1:13" s="125" customFormat="1" ht="15.6" x14ac:dyDescent="0.25">
      <c r="A333" s="169"/>
      <c r="B333" s="145">
        <v>64531</v>
      </c>
      <c r="C333" s="170"/>
      <c r="D333" s="169" t="s">
        <v>40</v>
      </c>
      <c r="E333" s="171" t="s">
        <v>41</v>
      </c>
      <c r="F333" s="171"/>
      <c r="G333" s="172">
        <v>4.0000000000000001E-3</v>
      </c>
      <c r="H333" s="173">
        <f t="shared" si="55"/>
        <v>1249.5491404214024</v>
      </c>
      <c r="I333" s="174">
        <f t="shared" si="56"/>
        <v>24.03</v>
      </c>
      <c r="J333" s="175">
        <v>0</v>
      </c>
      <c r="K333" s="176">
        <v>24.03</v>
      </c>
      <c r="L333" s="171"/>
      <c r="M333" s="169"/>
    </row>
    <row r="334" spans="1:13" s="125" customFormat="1" ht="15.6" x14ac:dyDescent="0.25">
      <c r="A334" s="169"/>
      <c r="B334" s="145">
        <v>64559</v>
      </c>
      <c r="C334" s="170"/>
      <c r="D334" s="169" t="s">
        <v>40</v>
      </c>
      <c r="E334" s="171" t="s">
        <v>41</v>
      </c>
      <c r="F334" s="171"/>
      <c r="G334" s="172">
        <v>5.4799999999999996E-3</v>
      </c>
      <c r="H334" s="173">
        <f t="shared" si="55"/>
        <v>1711.8823223773215</v>
      </c>
      <c r="I334" s="174">
        <f t="shared" si="56"/>
        <v>32.92</v>
      </c>
      <c r="J334" s="175">
        <v>0</v>
      </c>
      <c r="K334" s="176">
        <v>32.92</v>
      </c>
      <c r="L334" s="171"/>
      <c r="M334" s="169"/>
    </row>
    <row r="335" spans="1:13" s="125" customFormat="1" ht="15.6" x14ac:dyDescent="0.25">
      <c r="A335" s="169"/>
      <c r="B335" s="145">
        <v>65026</v>
      </c>
      <c r="C335" s="170"/>
      <c r="D335" s="169" t="s">
        <v>36</v>
      </c>
      <c r="E335" s="171" t="s">
        <v>41</v>
      </c>
      <c r="F335" s="171"/>
      <c r="G335" s="172">
        <v>3.0400000000000002E-3</v>
      </c>
      <c r="H335" s="173">
        <f t="shared" si="55"/>
        <v>949.65734672026599</v>
      </c>
      <c r="I335" s="174">
        <f t="shared" si="56"/>
        <v>18.260000000000002</v>
      </c>
      <c r="J335" s="175">
        <v>0</v>
      </c>
      <c r="K335" s="176">
        <v>18.260000000000002</v>
      </c>
      <c r="L335" s="171"/>
      <c r="M335" s="169"/>
    </row>
    <row r="336" spans="1:13" s="125" customFormat="1" ht="15.6" x14ac:dyDescent="0.25">
      <c r="A336" s="169"/>
      <c r="B336" s="145">
        <v>65270</v>
      </c>
      <c r="C336" s="170"/>
      <c r="D336" s="169" t="s">
        <v>36</v>
      </c>
      <c r="E336" s="171" t="s">
        <v>41</v>
      </c>
      <c r="F336" s="171"/>
      <c r="G336" s="172">
        <v>4.0000000000000001E-3</v>
      </c>
      <c r="H336" s="173">
        <f t="shared" si="55"/>
        <v>1249.5491404214024</v>
      </c>
      <c r="I336" s="174">
        <f t="shared" si="56"/>
        <v>24.03</v>
      </c>
      <c r="J336" s="175">
        <v>0</v>
      </c>
      <c r="K336" s="176">
        <v>24.03</v>
      </c>
      <c r="L336" s="171"/>
      <c r="M336" s="169"/>
    </row>
    <row r="337" spans="1:13" s="125" customFormat="1" ht="15.6" x14ac:dyDescent="0.25">
      <c r="A337" s="169"/>
      <c r="B337" s="145">
        <v>65802</v>
      </c>
      <c r="C337" s="170"/>
      <c r="D337" s="169" t="s">
        <v>36</v>
      </c>
      <c r="E337" s="171" t="s">
        <v>41</v>
      </c>
      <c r="F337" s="171"/>
      <c r="G337" s="172">
        <v>4.0000000000000001E-3</v>
      </c>
      <c r="H337" s="173">
        <f t="shared" si="55"/>
        <v>1249.5491404214024</v>
      </c>
      <c r="I337" s="174">
        <f t="shared" si="56"/>
        <v>24.03</v>
      </c>
      <c r="J337" s="175">
        <v>0</v>
      </c>
      <c r="K337" s="176">
        <v>24.03</v>
      </c>
      <c r="L337" s="171"/>
      <c r="M337" s="169"/>
    </row>
    <row r="338" spans="1:13" s="125" customFormat="1" ht="15.6" x14ac:dyDescent="0.25">
      <c r="A338" s="169"/>
      <c r="B338" s="145">
        <v>66088</v>
      </c>
      <c r="C338" s="170"/>
      <c r="D338" s="169" t="s">
        <v>36</v>
      </c>
      <c r="E338" s="171" t="s">
        <v>41</v>
      </c>
      <c r="F338" s="171"/>
      <c r="G338" s="172">
        <v>3.0400000000000002E-3</v>
      </c>
      <c r="H338" s="173">
        <f t="shared" si="55"/>
        <v>949.65734672026599</v>
      </c>
      <c r="I338" s="174">
        <f t="shared" si="56"/>
        <v>18.260000000000002</v>
      </c>
      <c r="J338" s="175">
        <v>0</v>
      </c>
      <c r="K338" s="176">
        <v>18.260000000000002</v>
      </c>
      <c r="L338" s="171"/>
      <c r="M338" s="169"/>
    </row>
    <row r="339" spans="1:13" s="125" customFormat="1" ht="15.6" x14ac:dyDescent="0.25">
      <c r="A339" s="169"/>
      <c r="B339" s="145">
        <v>66387</v>
      </c>
      <c r="C339" s="170"/>
      <c r="D339" s="169" t="s">
        <v>36</v>
      </c>
      <c r="E339" s="171" t="s">
        <v>41</v>
      </c>
      <c r="F339" s="171"/>
      <c r="G339" s="172">
        <v>3.0400000000000002E-3</v>
      </c>
      <c r="H339" s="173">
        <f t="shared" si="55"/>
        <v>949.65734672026599</v>
      </c>
      <c r="I339" s="174">
        <f t="shared" si="56"/>
        <v>18.260000000000002</v>
      </c>
      <c r="J339" s="175">
        <v>0</v>
      </c>
      <c r="K339" s="176">
        <v>18.260000000000002</v>
      </c>
      <c r="L339" s="171"/>
      <c r="M339" s="169"/>
    </row>
    <row r="340" spans="1:13" s="125" customFormat="1" ht="15.6" x14ac:dyDescent="0.25">
      <c r="A340" s="169"/>
      <c r="B340" s="145">
        <v>66397</v>
      </c>
      <c r="C340" s="170"/>
      <c r="D340" s="169" t="s">
        <v>40</v>
      </c>
      <c r="E340" s="171" t="s">
        <v>41</v>
      </c>
      <c r="F340" s="171"/>
      <c r="G340" s="172">
        <v>4.0000000000000001E-3</v>
      </c>
      <c r="H340" s="173">
        <f t="shared" si="55"/>
        <v>1249.5491404214024</v>
      </c>
      <c r="I340" s="174">
        <f t="shared" si="56"/>
        <v>24.03</v>
      </c>
      <c r="J340" s="175">
        <v>0</v>
      </c>
      <c r="K340" s="176">
        <v>24.03</v>
      </c>
      <c r="L340" s="171"/>
      <c r="M340" s="169"/>
    </row>
    <row r="341" spans="1:13" s="125" customFormat="1" ht="15.6" x14ac:dyDescent="0.25">
      <c r="A341" s="169"/>
      <c r="B341" s="145">
        <v>66410</v>
      </c>
      <c r="C341" s="170"/>
      <c r="D341" s="169" t="s">
        <v>40</v>
      </c>
      <c r="E341" s="171" t="s">
        <v>41</v>
      </c>
      <c r="F341" s="171"/>
      <c r="G341" s="172">
        <v>4.0000000000000001E-3</v>
      </c>
      <c r="H341" s="173">
        <f t="shared" si="55"/>
        <v>1249.5491404214024</v>
      </c>
      <c r="I341" s="174">
        <f t="shared" si="56"/>
        <v>24.03</v>
      </c>
      <c r="J341" s="175">
        <v>0</v>
      </c>
      <c r="K341" s="176">
        <v>24.03</v>
      </c>
      <c r="L341" s="171"/>
      <c r="M341" s="169"/>
    </row>
    <row r="342" spans="1:13" s="125" customFormat="1" ht="15.6" x14ac:dyDescent="0.25">
      <c r="A342" s="169"/>
      <c r="B342" s="145">
        <v>66473</v>
      </c>
      <c r="C342" s="170"/>
      <c r="D342" s="169" t="s">
        <v>40</v>
      </c>
      <c r="E342" s="171" t="s">
        <v>41</v>
      </c>
      <c r="F342" s="171"/>
      <c r="G342" s="172">
        <v>3.0400000000000002E-3</v>
      </c>
      <c r="H342" s="173">
        <f t="shared" si="55"/>
        <v>949.65734672026599</v>
      </c>
      <c r="I342" s="174">
        <f t="shared" si="56"/>
        <v>18.260000000000002</v>
      </c>
      <c r="J342" s="175">
        <v>0</v>
      </c>
      <c r="K342" s="176">
        <v>18.260000000000002</v>
      </c>
      <c r="L342" s="171"/>
      <c r="M342" s="169"/>
    </row>
    <row r="343" spans="1:13" s="125" customFormat="1" ht="15.6" x14ac:dyDescent="0.25">
      <c r="A343" s="169"/>
      <c r="B343" s="145">
        <v>66868</v>
      </c>
      <c r="C343" s="170"/>
      <c r="D343" s="169" t="s">
        <v>40</v>
      </c>
      <c r="E343" s="171" t="s">
        <v>41</v>
      </c>
      <c r="F343" s="171"/>
      <c r="G343" s="172">
        <v>5.4799999999999996E-3</v>
      </c>
      <c r="H343" s="173">
        <f t="shared" si="55"/>
        <v>1711.8823223773215</v>
      </c>
      <c r="I343" s="174">
        <f t="shared" si="56"/>
        <v>32.92</v>
      </c>
      <c r="J343" s="175">
        <v>0</v>
      </c>
      <c r="K343" s="176">
        <v>32.92</v>
      </c>
      <c r="L343" s="171"/>
      <c r="M343" s="169"/>
    </row>
    <row r="344" spans="1:13" s="125" customFormat="1" ht="15.6" x14ac:dyDescent="0.25">
      <c r="A344" s="169"/>
      <c r="B344" s="145">
        <v>67088</v>
      </c>
      <c r="C344" s="170"/>
      <c r="D344" s="169" t="s">
        <v>40</v>
      </c>
      <c r="E344" s="171" t="s">
        <v>41</v>
      </c>
      <c r="F344" s="171"/>
      <c r="G344" s="172">
        <v>3.0400000000000002E-3</v>
      </c>
      <c r="H344" s="173">
        <f t="shared" si="55"/>
        <v>949.65734672026599</v>
      </c>
      <c r="I344" s="174">
        <f t="shared" si="56"/>
        <v>18.260000000000002</v>
      </c>
      <c r="J344" s="175">
        <v>0</v>
      </c>
      <c r="K344" s="176">
        <v>18.260000000000002</v>
      </c>
      <c r="L344" s="171"/>
      <c r="M344" s="169"/>
    </row>
    <row r="345" spans="1:13" s="125" customFormat="1" ht="15.6" x14ac:dyDescent="0.25">
      <c r="A345" s="169"/>
      <c r="B345" s="145">
        <v>67826</v>
      </c>
      <c r="C345" s="170"/>
      <c r="D345" s="169" t="s">
        <v>36</v>
      </c>
      <c r="E345" s="171" t="s">
        <v>41</v>
      </c>
      <c r="F345" s="171"/>
      <c r="G345" s="172">
        <v>3.0400000000000002E-3</v>
      </c>
      <c r="H345" s="173">
        <f t="shared" si="55"/>
        <v>949.65734672026599</v>
      </c>
      <c r="I345" s="174">
        <f t="shared" si="56"/>
        <v>18.260000000000002</v>
      </c>
      <c r="J345" s="175">
        <v>0</v>
      </c>
      <c r="K345" s="176">
        <v>18.260000000000002</v>
      </c>
      <c r="L345" s="171"/>
      <c r="M345" s="169"/>
    </row>
    <row r="346" spans="1:13" s="125" customFormat="1" ht="15.6" x14ac:dyDescent="0.25">
      <c r="A346" s="169"/>
      <c r="B346" s="145">
        <v>68273</v>
      </c>
      <c r="C346" s="170"/>
      <c r="D346" s="169" t="s">
        <v>36</v>
      </c>
      <c r="E346" s="171" t="s">
        <v>41</v>
      </c>
      <c r="F346" s="171"/>
      <c r="G346" s="172">
        <v>4.0000000000000001E-3</v>
      </c>
      <c r="H346" s="173">
        <f t="shared" si="55"/>
        <v>1249.5491404214024</v>
      </c>
      <c r="I346" s="174">
        <f t="shared" si="56"/>
        <v>24.03</v>
      </c>
      <c r="J346" s="175">
        <v>0</v>
      </c>
      <c r="K346" s="176">
        <v>24.03</v>
      </c>
      <c r="L346" s="171"/>
      <c r="M346" s="169"/>
    </row>
    <row r="347" spans="1:13" s="125" customFormat="1" ht="15.6" x14ac:dyDescent="0.25">
      <c r="A347" s="169"/>
      <c r="B347" s="145">
        <v>68610</v>
      </c>
      <c r="C347" s="170"/>
      <c r="D347" s="169" t="s">
        <v>40</v>
      </c>
      <c r="E347" s="171" t="s">
        <v>41</v>
      </c>
      <c r="F347" s="171"/>
      <c r="G347" s="172">
        <v>4.0000000000000001E-3</v>
      </c>
      <c r="H347" s="173">
        <f t="shared" si="55"/>
        <v>1249.5491404214024</v>
      </c>
      <c r="I347" s="174">
        <f t="shared" si="56"/>
        <v>24.03</v>
      </c>
      <c r="J347" s="175">
        <v>0</v>
      </c>
      <c r="K347" s="176">
        <v>24.03</v>
      </c>
      <c r="L347" s="171"/>
      <c r="M347" s="169"/>
    </row>
    <row r="348" spans="1:13" s="125" customFormat="1" ht="15.6" x14ac:dyDescent="0.25">
      <c r="A348" s="169"/>
      <c r="B348" s="145">
        <v>68843</v>
      </c>
      <c r="C348" s="170"/>
      <c r="D348" s="169" t="s">
        <v>40</v>
      </c>
      <c r="E348" s="171" t="s">
        <v>41</v>
      </c>
      <c r="F348" s="171"/>
      <c r="G348" s="172">
        <v>3.0400000000000002E-3</v>
      </c>
      <c r="H348" s="173">
        <f t="shared" si="55"/>
        <v>949.65734672026599</v>
      </c>
      <c r="I348" s="174">
        <f t="shared" si="56"/>
        <v>18.260000000000002</v>
      </c>
      <c r="J348" s="175">
        <v>0</v>
      </c>
      <c r="K348" s="176">
        <v>18.260000000000002</v>
      </c>
      <c r="L348" s="171"/>
      <c r="M348" s="169"/>
    </row>
    <row r="349" spans="1:13" s="125" customFormat="1" ht="15.6" x14ac:dyDescent="0.25">
      <c r="A349" s="169"/>
      <c r="B349" s="145">
        <v>69243</v>
      </c>
      <c r="C349" s="170"/>
      <c r="D349" s="169" t="s">
        <v>36</v>
      </c>
      <c r="E349" s="171" t="s">
        <v>41</v>
      </c>
      <c r="F349" s="171"/>
      <c r="G349" s="172">
        <v>4.0000000000000001E-3</v>
      </c>
      <c r="H349" s="173">
        <f t="shared" si="55"/>
        <v>1249.5491404214024</v>
      </c>
      <c r="I349" s="174">
        <f t="shared" si="56"/>
        <v>24.03</v>
      </c>
      <c r="J349" s="175">
        <v>0</v>
      </c>
      <c r="K349" s="176">
        <v>24.03</v>
      </c>
      <c r="L349" s="171"/>
      <c r="M349" s="169"/>
    </row>
    <row r="350" spans="1:13" s="125" customFormat="1" ht="15.6" x14ac:dyDescent="0.25">
      <c r="A350" s="169"/>
      <c r="B350" s="145">
        <v>69510</v>
      </c>
      <c r="C350" s="170"/>
      <c r="D350" s="169" t="s">
        <v>40</v>
      </c>
      <c r="E350" s="171" t="s">
        <v>41</v>
      </c>
      <c r="F350" s="171"/>
      <c r="G350" s="172">
        <v>4.0000000000000001E-3</v>
      </c>
      <c r="H350" s="173">
        <f t="shared" si="55"/>
        <v>1249.5491404214024</v>
      </c>
      <c r="I350" s="174">
        <f t="shared" si="56"/>
        <v>24.03</v>
      </c>
      <c r="J350" s="175">
        <v>0</v>
      </c>
      <c r="K350" s="176">
        <v>24.03</v>
      </c>
      <c r="L350" s="171"/>
      <c r="M350" s="169"/>
    </row>
    <row r="351" spans="1:13" s="125" customFormat="1" ht="15.6" x14ac:dyDescent="0.25">
      <c r="A351" s="169"/>
      <c r="B351" s="145">
        <v>70308</v>
      </c>
      <c r="C351" s="170"/>
      <c r="D351" s="169" t="s">
        <v>40</v>
      </c>
      <c r="E351" s="171" t="s">
        <v>41</v>
      </c>
      <c r="F351" s="171"/>
      <c r="G351" s="172">
        <v>5.4799999999999996E-3</v>
      </c>
      <c r="H351" s="173">
        <f t="shared" si="55"/>
        <v>1711.8823223773215</v>
      </c>
      <c r="I351" s="174">
        <f t="shared" si="56"/>
        <v>32.92</v>
      </c>
      <c r="J351" s="175">
        <v>0</v>
      </c>
      <c r="K351" s="176">
        <v>32.92</v>
      </c>
      <c r="L351" s="171"/>
      <c r="M351" s="169"/>
    </row>
    <row r="352" spans="1:13" s="125" customFormat="1" ht="15.6" x14ac:dyDescent="0.25">
      <c r="A352" s="169"/>
      <c r="B352" s="145">
        <v>70385</v>
      </c>
      <c r="C352" s="170"/>
      <c r="D352" s="169" t="s">
        <v>40</v>
      </c>
      <c r="E352" s="171" t="s">
        <v>41</v>
      </c>
      <c r="F352" s="171"/>
      <c r="G352" s="172">
        <v>4.0000000000000001E-3</v>
      </c>
      <c r="H352" s="173">
        <f t="shared" si="55"/>
        <v>1249.5491404214024</v>
      </c>
      <c r="I352" s="174">
        <f t="shared" si="56"/>
        <v>24.03</v>
      </c>
      <c r="J352" s="175">
        <v>0</v>
      </c>
      <c r="K352" s="176">
        <v>24.03</v>
      </c>
      <c r="L352" s="171"/>
      <c r="M352" s="169"/>
    </row>
    <row r="353" spans="1:13" s="125" customFormat="1" ht="15.6" x14ac:dyDescent="0.25">
      <c r="A353" s="169"/>
      <c r="B353" s="145">
        <v>70485</v>
      </c>
      <c r="C353" s="170"/>
      <c r="D353" s="169" t="s">
        <v>40</v>
      </c>
      <c r="E353" s="171" t="s">
        <v>41</v>
      </c>
      <c r="F353" s="171"/>
      <c r="G353" s="172">
        <v>4.0000000000000001E-3</v>
      </c>
      <c r="H353" s="173">
        <f t="shared" si="55"/>
        <v>1249.5491404214024</v>
      </c>
      <c r="I353" s="174">
        <f t="shared" si="56"/>
        <v>24.03</v>
      </c>
      <c r="J353" s="175">
        <v>0</v>
      </c>
      <c r="K353" s="176">
        <v>24.03</v>
      </c>
      <c r="L353" s="171"/>
      <c r="M353" s="169"/>
    </row>
    <row r="354" spans="1:13" s="125" customFormat="1" ht="15.6" x14ac:dyDescent="0.25">
      <c r="A354" s="169"/>
      <c r="B354" s="145">
        <v>70514</v>
      </c>
      <c r="C354" s="170"/>
      <c r="D354" s="169" t="s">
        <v>36</v>
      </c>
      <c r="E354" s="171" t="s">
        <v>41</v>
      </c>
      <c r="F354" s="171"/>
      <c r="G354" s="172">
        <v>3.0400000000000002E-3</v>
      </c>
      <c r="H354" s="173">
        <f t="shared" si="55"/>
        <v>949.65734672026599</v>
      </c>
      <c r="I354" s="174">
        <f t="shared" si="56"/>
        <v>18.260000000000002</v>
      </c>
      <c r="J354" s="175">
        <v>0</v>
      </c>
      <c r="K354" s="176">
        <v>18.260000000000002</v>
      </c>
      <c r="L354" s="171"/>
      <c r="M354" s="169"/>
    </row>
    <row r="355" spans="1:13" s="125" customFormat="1" ht="15.6" x14ac:dyDescent="0.25">
      <c r="A355" s="169"/>
      <c r="B355" s="145">
        <v>71609</v>
      </c>
      <c r="C355" s="170"/>
      <c r="D355" s="169" t="s">
        <v>36</v>
      </c>
      <c r="E355" s="171" t="s">
        <v>41</v>
      </c>
      <c r="F355" s="171"/>
      <c r="G355" s="172">
        <v>3.0400000000000002E-3</v>
      </c>
      <c r="H355" s="173">
        <f t="shared" si="55"/>
        <v>949.65734672026599</v>
      </c>
      <c r="I355" s="174">
        <f t="shared" si="56"/>
        <v>18.260000000000002</v>
      </c>
      <c r="J355" s="175">
        <v>0</v>
      </c>
      <c r="K355" s="176">
        <v>18.260000000000002</v>
      </c>
      <c r="L355" s="171"/>
      <c r="M355" s="169"/>
    </row>
    <row r="356" spans="1:13" s="125" customFormat="1" ht="15.6" x14ac:dyDescent="0.25">
      <c r="A356" s="169"/>
      <c r="B356" s="145">
        <v>71655</v>
      </c>
      <c r="C356" s="170"/>
      <c r="D356" s="169" t="s">
        <v>36</v>
      </c>
      <c r="E356" s="171" t="s">
        <v>41</v>
      </c>
      <c r="F356" s="171"/>
      <c r="G356" s="172">
        <v>4.0000000000000001E-3</v>
      </c>
      <c r="H356" s="173">
        <f t="shared" si="55"/>
        <v>1249.5491404214024</v>
      </c>
      <c r="I356" s="174">
        <f t="shared" si="56"/>
        <v>24.03</v>
      </c>
      <c r="J356" s="175">
        <v>0</v>
      </c>
      <c r="K356" s="176">
        <v>24.03</v>
      </c>
      <c r="L356" s="171"/>
      <c r="M356" s="169"/>
    </row>
    <row r="357" spans="1:13" s="125" customFormat="1" ht="15.6" x14ac:dyDescent="0.25">
      <c r="A357" s="169"/>
      <c r="B357" s="145">
        <v>71916</v>
      </c>
      <c r="C357" s="170"/>
      <c r="D357" s="169" t="s">
        <v>40</v>
      </c>
      <c r="E357" s="171" t="s">
        <v>41</v>
      </c>
      <c r="F357" s="171"/>
      <c r="G357" s="172">
        <v>4.0000000000000001E-3</v>
      </c>
      <c r="H357" s="173">
        <f t="shared" si="55"/>
        <v>1249.5491404214024</v>
      </c>
      <c r="I357" s="174">
        <f t="shared" si="56"/>
        <v>24.03</v>
      </c>
      <c r="J357" s="175">
        <v>0</v>
      </c>
      <c r="K357" s="176">
        <v>24.03</v>
      </c>
      <c r="L357" s="171"/>
      <c r="M357" s="169"/>
    </row>
    <row r="358" spans="1:13" s="125" customFormat="1" ht="15.6" x14ac:dyDescent="0.25">
      <c r="A358" s="169"/>
      <c r="B358" s="145">
        <v>72458</v>
      </c>
      <c r="C358" s="170"/>
      <c r="D358" s="169" t="s">
        <v>36</v>
      </c>
      <c r="E358" s="171" t="s">
        <v>41</v>
      </c>
      <c r="F358" s="171"/>
      <c r="G358" s="172">
        <v>4.0000000000000001E-3</v>
      </c>
      <c r="H358" s="173">
        <f t="shared" ref="H358:H421" si="57">G358/$G$427*$H$427</f>
        <v>1249.5491404214024</v>
      </c>
      <c r="I358" s="174">
        <f t="shared" ref="I358:I421" si="58">ROUND(H358/52,2)</f>
        <v>24.03</v>
      </c>
      <c r="J358" s="175">
        <v>0</v>
      </c>
      <c r="K358" s="176">
        <v>24.03</v>
      </c>
      <c r="L358" s="171"/>
      <c r="M358" s="169"/>
    </row>
    <row r="359" spans="1:13" s="125" customFormat="1" ht="15.6" x14ac:dyDescent="0.25">
      <c r="A359" s="169"/>
      <c r="B359" s="145">
        <v>73466</v>
      </c>
      <c r="C359" s="170"/>
      <c r="D359" s="169" t="s">
        <v>40</v>
      </c>
      <c r="E359" s="171" t="s">
        <v>41</v>
      </c>
      <c r="F359" s="171"/>
      <c r="G359" s="172">
        <v>3.0400000000000002E-3</v>
      </c>
      <c r="H359" s="173">
        <f t="shared" si="57"/>
        <v>949.65734672026599</v>
      </c>
      <c r="I359" s="174">
        <f t="shared" si="58"/>
        <v>18.260000000000002</v>
      </c>
      <c r="J359" s="175">
        <v>0</v>
      </c>
      <c r="K359" s="176">
        <v>18.260000000000002</v>
      </c>
      <c r="L359" s="171"/>
      <c r="M359" s="169"/>
    </row>
    <row r="360" spans="1:13" s="125" customFormat="1" ht="15.6" x14ac:dyDescent="0.25">
      <c r="A360" s="169"/>
      <c r="B360" s="145">
        <v>74004</v>
      </c>
      <c r="C360" s="170"/>
      <c r="D360" s="169" t="s">
        <v>36</v>
      </c>
      <c r="E360" s="171" t="s">
        <v>41</v>
      </c>
      <c r="F360" s="171"/>
      <c r="G360" s="172">
        <v>3.0400000000000002E-3</v>
      </c>
      <c r="H360" s="173">
        <f t="shared" si="57"/>
        <v>949.65734672026599</v>
      </c>
      <c r="I360" s="174">
        <f t="shared" si="58"/>
        <v>18.260000000000002</v>
      </c>
      <c r="J360" s="175">
        <v>0</v>
      </c>
      <c r="K360" s="176">
        <v>18.260000000000002</v>
      </c>
      <c r="L360" s="171"/>
      <c r="M360" s="169"/>
    </row>
    <row r="361" spans="1:13" s="125" customFormat="1" ht="15.6" x14ac:dyDescent="0.25">
      <c r="A361" s="169"/>
      <c r="B361" s="145">
        <v>75380</v>
      </c>
      <c r="C361" s="170"/>
      <c r="D361" s="169" t="s">
        <v>36</v>
      </c>
      <c r="E361" s="171" t="s">
        <v>41</v>
      </c>
      <c r="F361" s="171"/>
      <c r="G361" s="172">
        <v>3.0400000000000002E-3</v>
      </c>
      <c r="H361" s="173">
        <f t="shared" si="57"/>
        <v>949.65734672026599</v>
      </c>
      <c r="I361" s="174">
        <f t="shared" si="58"/>
        <v>18.260000000000002</v>
      </c>
      <c r="J361" s="175">
        <v>0</v>
      </c>
      <c r="K361" s="176">
        <v>18.260000000000002</v>
      </c>
      <c r="L361" s="171"/>
      <c r="M361" s="169"/>
    </row>
    <row r="362" spans="1:13" s="125" customFormat="1" ht="15.6" x14ac:dyDescent="0.25">
      <c r="A362" s="169"/>
      <c r="B362" s="145">
        <v>77453</v>
      </c>
      <c r="C362" s="170"/>
      <c r="D362" s="169" t="s">
        <v>40</v>
      </c>
      <c r="E362" s="171" t="s">
        <v>41</v>
      </c>
      <c r="F362" s="171"/>
      <c r="G362" s="172">
        <v>3.0400000000000002E-3</v>
      </c>
      <c r="H362" s="173">
        <f t="shared" si="57"/>
        <v>949.65734672026599</v>
      </c>
      <c r="I362" s="174">
        <f t="shared" si="58"/>
        <v>18.260000000000002</v>
      </c>
      <c r="J362" s="175">
        <v>0</v>
      </c>
      <c r="K362" s="176">
        <v>18.260000000000002</v>
      </c>
      <c r="L362" s="171"/>
      <c r="M362" s="169"/>
    </row>
    <row r="363" spans="1:13" s="125" customFormat="1" ht="15.6" x14ac:dyDescent="0.25">
      <c r="A363" s="169"/>
      <c r="B363" s="145">
        <v>77982</v>
      </c>
      <c r="C363" s="170"/>
      <c r="D363" s="169" t="s">
        <v>40</v>
      </c>
      <c r="E363" s="171" t="s">
        <v>41</v>
      </c>
      <c r="F363" s="171"/>
      <c r="G363" s="172">
        <v>4.0000000000000001E-3</v>
      </c>
      <c r="H363" s="173">
        <f t="shared" si="57"/>
        <v>1249.5491404214024</v>
      </c>
      <c r="I363" s="174">
        <f t="shared" si="58"/>
        <v>24.03</v>
      </c>
      <c r="J363" s="175">
        <v>0</v>
      </c>
      <c r="K363" s="176">
        <v>24.03</v>
      </c>
      <c r="L363" s="171"/>
      <c r="M363" s="169"/>
    </row>
    <row r="364" spans="1:13" s="125" customFormat="1" ht="15.6" x14ac:dyDescent="0.25">
      <c r="A364" s="169"/>
      <c r="B364" s="145">
        <v>78550</v>
      </c>
      <c r="C364" s="170"/>
      <c r="D364" s="169" t="s">
        <v>36</v>
      </c>
      <c r="E364" s="171" t="s">
        <v>41</v>
      </c>
      <c r="F364" s="171"/>
      <c r="G364" s="172">
        <v>4.0000000000000001E-3</v>
      </c>
      <c r="H364" s="173">
        <f t="shared" si="57"/>
        <v>1249.5491404214024</v>
      </c>
      <c r="I364" s="174">
        <f t="shared" si="58"/>
        <v>24.03</v>
      </c>
      <c r="J364" s="175">
        <v>0</v>
      </c>
      <c r="K364" s="176">
        <v>24.03</v>
      </c>
      <c r="L364" s="171"/>
      <c r="M364" s="169"/>
    </row>
    <row r="365" spans="1:13" s="125" customFormat="1" ht="15.6" x14ac:dyDescent="0.25">
      <c r="A365" s="169"/>
      <c r="B365" s="145">
        <v>78559</v>
      </c>
      <c r="C365" s="170"/>
      <c r="D365" s="169" t="s">
        <v>40</v>
      </c>
      <c r="E365" s="171" t="s">
        <v>41</v>
      </c>
      <c r="F365" s="171"/>
      <c r="G365" s="172">
        <v>3.0400000000000002E-3</v>
      </c>
      <c r="H365" s="173">
        <f t="shared" si="57"/>
        <v>949.65734672026599</v>
      </c>
      <c r="I365" s="174">
        <f t="shared" si="58"/>
        <v>18.260000000000002</v>
      </c>
      <c r="J365" s="175">
        <v>0</v>
      </c>
      <c r="K365" s="176">
        <v>18.260000000000002</v>
      </c>
      <c r="L365" s="171"/>
      <c r="M365" s="169"/>
    </row>
    <row r="366" spans="1:13" s="125" customFormat="1" ht="15.6" x14ac:dyDescent="0.25">
      <c r="A366" s="169"/>
      <c r="B366" s="145">
        <v>78667</v>
      </c>
      <c r="C366" s="170"/>
      <c r="D366" s="169" t="s">
        <v>36</v>
      </c>
      <c r="E366" s="171" t="s">
        <v>41</v>
      </c>
      <c r="F366" s="171"/>
      <c r="G366" s="172">
        <v>4.0000000000000001E-3</v>
      </c>
      <c r="H366" s="173">
        <f t="shared" si="57"/>
        <v>1249.5491404214024</v>
      </c>
      <c r="I366" s="174">
        <f t="shared" si="58"/>
        <v>24.03</v>
      </c>
      <c r="J366" s="175">
        <v>0</v>
      </c>
      <c r="K366" s="176">
        <v>24.03</v>
      </c>
      <c r="L366" s="171"/>
      <c r="M366" s="169"/>
    </row>
    <row r="367" spans="1:13" s="125" customFormat="1" ht="15.6" x14ac:dyDescent="0.25">
      <c r="A367" s="169"/>
      <c r="B367" s="145">
        <v>79010</v>
      </c>
      <c r="C367" s="170"/>
      <c r="D367" s="169" t="s">
        <v>36</v>
      </c>
      <c r="E367" s="171" t="s">
        <v>41</v>
      </c>
      <c r="F367" s="171"/>
      <c r="G367" s="172">
        <v>4.0000000000000001E-3</v>
      </c>
      <c r="H367" s="173">
        <f t="shared" si="57"/>
        <v>1249.5491404214024</v>
      </c>
      <c r="I367" s="174">
        <f t="shared" si="58"/>
        <v>24.03</v>
      </c>
      <c r="J367" s="175">
        <v>0</v>
      </c>
      <c r="K367" s="176">
        <v>24.03</v>
      </c>
      <c r="L367" s="171"/>
      <c r="M367" s="169"/>
    </row>
    <row r="368" spans="1:13" s="125" customFormat="1" ht="15.6" x14ac:dyDescent="0.25">
      <c r="A368" s="169"/>
      <c r="B368" s="145">
        <v>79346</v>
      </c>
      <c r="C368" s="170"/>
      <c r="D368" s="169" t="s">
        <v>40</v>
      </c>
      <c r="E368" s="171" t="s">
        <v>41</v>
      </c>
      <c r="F368" s="171"/>
      <c r="G368" s="172">
        <v>5.4799999999999996E-3</v>
      </c>
      <c r="H368" s="173">
        <f t="shared" si="57"/>
        <v>1711.8823223773215</v>
      </c>
      <c r="I368" s="174">
        <f t="shared" si="58"/>
        <v>32.92</v>
      </c>
      <c r="J368" s="175">
        <v>0</v>
      </c>
      <c r="K368" s="176">
        <v>32.92</v>
      </c>
      <c r="L368" s="171"/>
      <c r="M368" s="169"/>
    </row>
    <row r="369" spans="1:13" s="125" customFormat="1" ht="15.6" x14ac:dyDescent="0.25">
      <c r="A369" s="169"/>
      <c r="B369" s="145">
        <v>79865</v>
      </c>
      <c r="C369" s="170"/>
      <c r="D369" s="169" t="s">
        <v>40</v>
      </c>
      <c r="E369" s="171" t="s">
        <v>41</v>
      </c>
      <c r="F369" s="171"/>
      <c r="G369" s="172">
        <v>4.0000000000000001E-3</v>
      </c>
      <c r="H369" s="173">
        <f t="shared" si="57"/>
        <v>1249.5491404214024</v>
      </c>
      <c r="I369" s="174">
        <f t="shared" si="58"/>
        <v>24.03</v>
      </c>
      <c r="J369" s="175">
        <v>0</v>
      </c>
      <c r="K369" s="176">
        <v>24.03</v>
      </c>
      <c r="L369" s="171"/>
      <c r="M369" s="169"/>
    </row>
    <row r="370" spans="1:13" s="125" customFormat="1" ht="15.6" x14ac:dyDescent="0.25">
      <c r="A370" s="169"/>
      <c r="B370" s="145">
        <v>79943</v>
      </c>
      <c r="C370" s="170"/>
      <c r="D370" s="169" t="s">
        <v>36</v>
      </c>
      <c r="E370" s="171" t="s">
        <v>41</v>
      </c>
      <c r="F370" s="171"/>
      <c r="G370" s="172">
        <v>4.0000000000000001E-3</v>
      </c>
      <c r="H370" s="173">
        <f t="shared" si="57"/>
        <v>1249.5491404214024</v>
      </c>
      <c r="I370" s="174">
        <f t="shared" si="58"/>
        <v>24.03</v>
      </c>
      <c r="J370" s="175">
        <v>0</v>
      </c>
      <c r="K370" s="176">
        <v>24.03</v>
      </c>
      <c r="L370" s="171"/>
      <c r="M370" s="169"/>
    </row>
    <row r="371" spans="1:13" s="125" customFormat="1" ht="15.6" x14ac:dyDescent="0.25">
      <c r="A371" s="169"/>
      <c r="B371" s="145">
        <v>80170</v>
      </c>
      <c r="C371" s="170"/>
      <c r="D371" s="169" t="s">
        <v>40</v>
      </c>
      <c r="E371" s="171" t="s">
        <v>41</v>
      </c>
      <c r="F371" s="171"/>
      <c r="G371" s="172">
        <v>3.0400000000000002E-3</v>
      </c>
      <c r="H371" s="173">
        <f t="shared" si="57"/>
        <v>949.65734672026599</v>
      </c>
      <c r="I371" s="174">
        <f t="shared" si="58"/>
        <v>18.260000000000002</v>
      </c>
      <c r="J371" s="175">
        <v>0</v>
      </c>
      <c r="K371" s="176">
        <v>18.260000000000002</v>
      </c>
      <c r="L371" s="171"/>
      <c r="M371" s="169"/>
    </row>
    <row r="372" spans="1:13" s="125" customFormat="1" ht="15.6" x14ac:dyDescent="0.25">
      <c r="A372" s="169"/>
      <c r="B372" s="145">
        <v>80173</v>
      </c>
      <c r="C372" s="170"/>
      <c r="D372" s="169" t="s">
        <v>36</v>
      </c>
      <c r="E372" s="171" t="s">
        <v>41</v>
      </c>
      <c r="F372" s="171"/>
      <c r="G372" s="172">
        <v>3.0400000000000002E-3</v>
      </c>
      <c r="H372" s="173">
        <f t="shared" si="57"/>
        <v>949.65734672026599</v>
      </c>
      <c r="I372" s="174">
        <f t="shared" si="58"/>
        <v>18.260000000000002</v>
      </c>
      <c r="J372" s="175">
        <v>0</v>
      </c>
      <c r="K372" s="176">
        <v>18.260000000000002</v>
      </c>
      <c r="L372" s="171"/>
      <c r="M372" s="169"/>
    </row>
    <row r="373" spans="1:13" s="125" customFormat="1" ht="15.6" x14ac:dyDescent="0.25">
      <c r="A373" s="169"/>
      <c r="B373" s="145">
        <v>80318</v>
      </c>
      <c r="C373" s="170"/>
      <c r="D373" s="169" t="s">
        <v>40</v>
      </c>
      <c r="E373" s="171" t="s">
        <v>41</v>
      </c>
      <c r="F373" s="171"/>
      <c r="G373" s="172">
        <v>4.0000000000000001E-3</v>
      </c>
      <c r="H373" s="173">
        <f t="shared" si="57"/>
        <v>1249.5491404214024</v>
      </c>
      <c r="I373" s="174">
        <f t="shared" si="58"/>
        <v>24.03</v>
      </c>
      <c r="J373" s="175">
        <v>0</v>
      </c>
      <c r="K373" s="176">
        <v>24.03</v>
      </c>
      <c r="L373" s="171"/>
      <c r="M373" s="169"/>
    </row>
    <row r="374" spans="1:13" s="125" customFormat="1" ht="15.6" x14ac:dyDescent="0.25">
      <c r="A374" s="169"/>
      <c r="B374" s="145">
        <v>80438</v>
      </c>
      <c r="C374" s="170"/>
      <c r="D374" s="169" t="s">
        <v>36</v>
      </c>
      <c r="E374" s="171" t="s">
        <v>41</v>
      </c>
      <c r="F374" s="171"/>
      <c r="G374" s="172">
        <v>3.0400000000000002E-3</v>
      </c>
      <c r="H374" s="173">
        <f t="shared" si="57"/>
        <v>949.65734672026599</v>
      </c>
      <c r="I374" s="174">
        <f t="shared" si="58"/>
        <v>18.260000000000002</v>
      </c>
      <c r="J374" s="175">
        <v>0</v>
      </c>
      <c r="K374" s="176">
        <v>18.260000000000002</v>
      </c>
      <c r="L374" s="171"/>
      <c r="M374" s="169"/>
    </row>
    <row r="375" spans="1:13" s="125" customFormat="1" ht="15.6" x14ac:dyDescent="0.25">
      <c r="A375" s="169"/>
      <c r="B375" s="145">
        <v>80603</v>
      </c>
      <c r="C375" s="170"/>
      <c r="D375" s="169" t="s">
        <v>36</v>
      </c>
      <c r="E375" s="171" t="s">
        <v>41</v>
      </c>
      <c r="F375" s="171"/>
      <c r="G375" s="172">
        <v>3.0400000000000002E-3</v>
      </c>
      <c r="H375" s="173">
        <f t="shared" si="57"/>
        <v>949.65734672026599</v>
      </c>
      <c r="I375" s="174">
        <f t="shared" si="58"/>
        <v>18.260000000000002</v>
      </c>
      <c r="J375" s="175">
        <v>0</v>
      </c>
      <c r="K375" s="176">
        <v>18.260000000000002</v>
      </c>
      <c r="L375" s="171"/>
      <c r="M375" s="169"/>
    </row>
    <row r="376" spans="1:13" s="125" customFormat="1" ht="15.6" x14ac:dyDescent="0.25">
      <c r="A376" s="169"/>
      <c r="B376" s="145">
        <v>80948</v>
      </c>
      <c r="C376" s="170"/>
      <c r="D376" s="169" t="s">
        <v>40</v>
      </c>
      <c r="E376" s="171" t="s">
        <v>41</v>
      </c>
      <c r="F376" s="171"/>
      <c r="G376" s="172">
        <v>3.0400000000000002E-3</v>
      </c>
      <c r="H376" s="173">
        <f t="shared" si="57"/>
        <v>949.65734672026599</v>
      </c>
      <c r="I376" s="174">
        <f t="shared" si="58"/>
        <v>18.260000000000002</v>
      </c>
      <c r="J376" s="175">
        <v>0</v>
      </c>
      <c r="K376" s="176">
        <v>18.260000000000002</v>
      </c>
      <c r="L376" s="171"/>
      <c r="M376" s="169"/>
    </row>
    <row r="377" spans="1:13" s="125" customFormat="1" ht="15.6" x14ac:dyDescent="0.25">
      <c r="A377" s="169"/>
      <c r="B377" s="145">
        <v>81264</v>
      </c>
      <c r="C377" s="170"/>
      <c r="D377" s="169" t="s">
        <v>40</v>
      </c>
      <c r="E377" s="171" t="s">
        <v>41</v>
      </c>
      <c r="F377" s="171"/>
      <c r="G377" s="172">
        <v>3.0400000000000002E-3</v>
      </c>
      <c r="H377" s="173">
        <f t="shared" si="57"/>
        <v>949.65734672026599</v>
      </c>
      <c r="I377" s="174">
        <f t="shared" si="58"/>
        <v>18.260000000000002</v>
      </c>
      <c r="J377" s="175">
        <v>0</v>
      </c>
      <c r="K377" s="176">
        <v>18.260000000000002</v>
      </c>
      <c r="L377" s="171"/>
      <c r="M377" s="169"/>
    </row>
    <row r="378" spans="1:13" s="125" customFormat="1" ht="15.6" x14ac:dyDescent="0.25">
      <c r="A378" s="169"/>
      <c r="B378" s="145">
        <v>81461</v>
      </c>
      <c r="C378" s="170"/>
      <c r="D378" s="169" t="s">
        <v>40</v>
      </c>
      <c r="E378" s="171" t="s">
        <v>41</v>
      </c>
      <c r="F378" s="171"/>
      <c r="G378" s="172">
        <v>4.0000000000000001E-3</v>
      </c>
      <c r="H378" s="173">
        <f t="shared" si="57"/>
        <v>1249.5491404214024</v>
      </c>
      <c r="I378" s="174">
        <f t="shared" si="58"/>
        <v>24.03</v>
      </c>
      <c r="J378" s="175">
        <v>0</v>
      </c>
      <c r="K378" s="176">
        <v>24.03</v>
      </c>
      <c r="L378" s="171"/>
      <c r="M378" s="169"/>
    </row>
    <row r="379" spans="1:13" s="125" customFormat="1" ht="15.6" x14ac:dyDescent="0.25">
      <c r="A379" s="169"/>
      <c r="B379" s="145">
        <v>82302</v>
      </c>
      <c r="C379" s="170"/>
      <c r="D379" s="169" t="s">
        <v>40</v>
      </c>
      <c r="E379" s="171" t="s">
        <v>41</v>
      </c>
      <c r="F379" s="171"/>
      <c r="G379" s="172">
        <v>5.4799999999999996E-3</v>
      </c>
      <c r="H379" s="173">
        <f t="shared" si="57"/>
        <v>1711.8823223773215</v>
      </c>
      <c r="I379" s="174">
        <f t="shared" si="58"/>
        <v>32.92</v>
      </c>
      <c r="J379" s="175">
        <v>0</v>
      </c>
      <c r="K379" s="176">
        <v>32.92</v>
      </c>
      <c r="L379" s="171"/>
      <c r="M379" s="169"/>
    </row>
    <row r="380" spans="1:13" s="125" customFormat="1" ht="15.6" x14ac:dyDescent="0.25">
      <c r="A380" s="169"/>
      <c r="B380" s="145">
        <v>82516</v>
      </c>
      <c r="C380" s="170"/>
      <c r="D380" s="169" t="s">
        <v>40</v>
      </c>
      <c r="E380" s="171" t="s">
        <v>41</v>
      </c>
      <c r="F380" s="171"/>
      <c r="G380" s="172">
        <v>5.4799999999999996E-3</v>
      </c>
      <c r="H380" s="173">
        <f t="shared" si="57"/>
        <v>1711.8823223773215</v>
      </c>
      <c r="I380" s="174">
        <f t="shared" si="58"/>
        <v>32.92</v>
      </c>
      <c r="J380" s="175">
        <v>0</v>
      </c>
      <c r="K380" s="176">
        <v>32.92</v>
      </c>
      <c r="L380" s="171"/>
      <c r="M380" s="169"/>
    </row>
    <row r="381" spans="1:13" s="125" customFormat="1" ht="15.6" x14ac:dyDescent="0.25">
      <c r="A381" s="169"/>
      <c r="B381" s="145">
        <v>82631</v>
      </c>
      <c r="C381" s="170"/>
      <c r="D381" s="169" t="s">
        <v>40</v>
      </c>
      <c r="E381" s="171" t="s">
        <v>41</v>
      </c>
      <c r="F381" s="171"/>
      <c r="G381" s="172">
        <v>4.0000000000000001E-3</v>
      </c>
      <c r="H381" s="173">
        <f t="shared" si="57"/>
        <v>1249.5491404214024</v>
      </c>
      <c r="I381" s="174">
        <f t="shared" si="58"/>
        <v>24.03</v>
      </c>
      <c r="J381" s="175">
        <v>0</v>
      </c>
      <c r="K381" s="176">
        <v>24.03</v>
      </c>
      <c r="L381" s="171"/>
      <c r="M381" s="169"/>
    </row>
    <row r="382" spans="1:13" s="125" customFormat="1" ht="15.6" x14ac:dyDescent="0.25">
      <c r="A382" s="169"/>
      <c r="B382" s="145">
        <v>82717</v>
      </c>
      <c r="C382" s="170"/>
      <c r="D382" s="169" t="s">
        <v>36</v>
      </c>
      <c r="E382" s="171" t="s">
        <v>41</v>
      </c>
      <c r="F382" s="171"/>
      <c r="G382" s="172">
        <v>4.0000000000000001E-3</v>
      </c>
      <c r="H382" s="173">
        <f t="shared" si="57"/>
        <v>1249.5491404214024</v>
      </c>
      <c r="I382" s="174">
        <f t="shared" si="58"/>
        <v>24.03</v>
      </c>
      <c r="J382" s="175">
        <v>0</v>
      </c>
      <c r="K382" s="176">
        <v>24.03</v>
      </c>
      <c r="L382" s="171"/>
      <c r="M382" s="169"/>
    </row>
    <row r="383" spans="1:13" s="125" customFormat="1" ht="15.6" x14ac:dyDescent="0.25">
      <c r="A383" s="169"/>
      <c r="B383" s="145">
        <v>82730</v>
      </c>
      <c r="C383" s="170"/>
      <c r="D383" s="169" t="s">
        <v>40</v>
      </c>
      <c r="E383" s="171" t="s">
        <v>41</v>
      </c>
      <c r="F383" s="171"/>
      <c r="G383" s="172">
        <v>3.0400000000000002E-3</v>
      </c>
      <c r="H383" s="173">
        <f t="shared" si="57"/>
        <v>949.65734672026599</v>
      </c>
      <c r="I383" s="174">
        <f t="shared" si="58"/>
        <v>18.260000000000002</v>
      </c>
      <c r="J383" s="175">
        <v>0</v>
      </c>
      <c r="K383" s="176">
        <v>18.260000000000002</v>
      </c>
      <c r="L383" s="171"/>
      <c r="M383" s="169"/>
    </row>
    <row r="384" spans="1:13" s="125" customFormat="1" ht="15.6" x14ac:dyDescent="0.25">
      <c r="A384" s="169"/>
      <c r="B384" s="145">
        <v>83262</v>
      </c>
      <c r="C384" s="170"/>
      <c r="D384" s="169" t="s">
        <v>36</v>
      </c>
      <c r="E384" s="171" t="s">
        <v>41</v>
      </c>
      <c r="F384" s="171"/>
      <c r="G384" s="172">
        <v>3.0400000000000002E-3</v>
      </c>
      <c r="H384" s="173">
        <f t="shared" si="57"/>
        <v>949.65734672026599</v>
      </c>
      <c r="I384" s="174">
        <f t="shared" si="58"/>
        <v>18.260000000000002</v>
      </c>
      <c r="J384" s="175">
        <v>0</v>
      </c>
      <c r="K384" s="176">
        <v>18.260000000000002</v>
      </c>
      <c r="L384" s="171"/>
      <c r="M384" s="169"/>
    </row>
    <row r="385" spans="1:13" s="125" customFormat="1" ht="15.6" x14ac:dyDescent="0.25">
      <c r="A385" s="169"/>
      <c r="B385" s="145">
        <v>83684</v>
      </c>
      <c r="C385" s="170"/>
      <c r="D385" s="169" t="s">
        <v>40</v>
      </c>
      <c r="E385" s="171" t="s">
        <v>41</v>
      </c>
      <c r="F385" s="171"/>
      <c r="G385" s="172">
        <v>4.0000000000000001E-3</v>
      </c>
      <c r="H385" s="173">
        <f t="shared" si="57"/>
        <v>1249.5491404214024</v>
      </c>
      <c r="I385" s="174">
        <f t="shared" si="58"/>
        <v>24.03</v>
      </c>
      <c r="J385" s="175">
        <v>0</v>
      </c>
      <c r="K385" s="176">
        <v>24.03</v>
      </c>
      <c r="L385" s="171"/>
      <c r="M385" s="169"/>
    </row>
    <row r="386" spans="1:13" s="125" customFormat="1" ht="15.6" x14ac:dyDescent="0.25">
      <c r="A386" s="169"/>
      <c r="B386" s="145">
        <v>84086</v>
      </c>
      <c r="C386" s="170"/>
      <c r="D386" s="169" t="s">
        <v>40</v>
      </c>
      <c r="E386" s="171" t="s">
        <v>41</v>
      </c>
      <c r="F386" s="171"/>
      <c r="G386" s="172">
        <v>3.0400000000000002E-3</v>
      </c>
      <c r="H386" s="173">
        <f t="shared" si="57"/>
        <v>949.65734672026599</v>
      </c>
      <c r="I386" s="174">
        <f t="shared" si="58"/>
        <v>18.260000000000002</v>
      </c>
      <c r="J386" s="175">
        <v>0</v>
      </c>
      <c r="K386" s="176">
        <v>18.260000000000002</v>
      </c>
      <c r="L386" s="171"/>
      <c r="M386" s="169"/>
    </row>
    <row r="387" spans="1:13" s="125" customFormat="1" ht="15.6" x14ac:dyDescent="0.25">
      <c r="A387" s="169"/>
      <c r="B387" s="145">
        <v>84295</v>
      </c>
      <c r="C387" s="170"/>
      <c r="D387" s="169" t="s">
        <v>40</v>
      </c>
      <c r="E387" s="171" t="s">
        <v>41</v>
      </c>
      <c r="F387" s="171"/>
      <c r="G387" s="172">
        <v>4.0000000000000001E-3</v>
      </c>
      <c r="H387" s="173">
        <f t="shared" si="57"/>
        <v>1249.5491404214024</v>
      </c>
      <c r="I387" s="174">
        <f t="shared" si="58"/>
        <v>24.03</v>
      </c>
      <c r="J387" s="175">
        <v>0</v>
      </c>
      <c r="K387" s="176">
        <v>24.03</v>
      </c>
      <c r="L387" s="171"/>
      <c r="M387" s="169"/>
    </row>
    <row r="388" spans="1:13" s="125" customFormat="1" ht="15.6" x14ac:dyDescent="0.25">
      <c r="A388" s="169"/>
      <c r="B388" s="145">
        <v>84329</v>
      </c>
      <c r="C388" s="170"/>
      <c r="D388" s="169" t="s">
        <v>40</v>
      </c>
      <c r="E388" s="171" t="s">
        <v>41</v>
      </c>
      <c r="F388" s="171"/>
      <c r="G388" s="172">
        <v>5.4799999999999996E-3</v>
      </c>
      <c r="H388" s="173">
        <f t="shared" si="57"/>
        <v>1711.8823223773215</v>
      </c>
      <c r="I388" s="174">
        <f t="shared" si="58"/>
        <v>32.92</v>
      </c>
      <c r="J388" s="175">
        <v>0</v>
      </c>
      <c r="K388" s="176">
        <v>32.92</v>
      </c>
      <c r="L388" s="171"/>
      <c r="M388" s="169"/>
    </row>
    <row r="389" spans="1:13" s="125" customFormat="1" ht="15.6" x14ac:dyDescent="0.25">
      <c r="A389" s="169"/>
      <c r="B389" s="145">
        <v>84916</v>
      </c>
      <c r="C389" s="170"/>
      <c r="D389" s="169" t="s">
        <v>40</v>
      </c>
      <c r="E389" s="171" t="s">
        <v>41</v>
      </c>
      <c r="F389" s="171"/>
      <c r="G389" s="172">
        <v>5.4799999999999996E-3</v>
      </c>
      <c r="H389" s="173">
        <f t="shared" si="57"/>
        <v>1711.8823223773215</v>
      </c>
      <c r="I389" s="174">
        <f t="shared" si="58"/>
        <v>32.92</v>
      </c>
      <c r="J389" s="175">
        <v>0</v>
      </c>
      <c r="K389" s="176">
        <v>32.92</v>
      </c>
      <c r="L389" s="171"/>
      <c r="M389" s="169"/>
    </row>
    <row r="390" spans="1:13" s="125" customFormat="1" ht="15.6" x14ac:dyDescent="0.25">
      <c r="A390" s="169"/>
      <c r="B390" s="145">
        <v>85309</v>
      </c>
      <c r="C390" s="170"/>
      <c r="D390" s="169" t="s">
        <v>40</v>
      </c>
      <c r="E390" s="171" t="s">
        <v>41</v>
      </c>
      <c r="F390" s="171"/>
      <c r="G390" s="172">
        <v>3.0400000000000002E-3</v>
      </c>
      <c r="H390" s="173">
        <f t="shared" si="57"/>
        <v>949.65734672026599</v>
      </c>
      <c r="I390" s="174">
        <f t="shared" si="58"/>
        <v>18.260000000000002</v>
      </c>
      <c r="J390" s="175">
        <v>0</v>
      </c>
      <c r="K390" s="176">
        <v>18.260000000000002</v>
      </c>
      <c r="L390" s="171"/>
      <c r="M390" s="169"/>
    </row>
    <row r="391" spans="1:13" s="125" customFormat="1" ht="15.6" x14ac:dyDescent="0.25">
      <c r="A391" s="169"/>
      <c r="B391" s="145">
        <v>86020</v>
      </c>
      <c r="C391" s="170"/>
      <c r="D391" s="169" t="s">
        <v>40</v>
      </c>
      <c r="E391" s="171" t="s">
        <v>41</v>
      </c>
      <c r="F391" s="171"/>
      <c r="G391" s="172">
        <v>4.0000000000000001E-3</v>
      </c>
      <c r="H391" s="173">
        <f t="shared" si="57"/>
        <v>1249.5491404214024</v>
      </c>
      <c r="I391" s="174">
        <f t="shared" si="58"/>
        <v>24.03</v>
      </c>
      <c r="J391" s="175">
        <v>0</v>
      </c>
      <c r="K391" s="176">
        <v>24.03</v>
      </c>
      <c r="L391" s="171"/>
      <c r="M391" s="169"/>
    </row>
    <row r="392" spans="1:13" s="125" customFormat="1" ht="15.6" x14ac:dyDescent="0.25">
      <c r="A392" s="169"/>
      <c r="B392" s="145">
        <v>86161</v>
      </c>
      <c r="C392" s="170"/>
      <c r="D392" s="169" t="s">
        <v>40</v>
      </c>
      <c r="E392" s="171" t="s">
        <v>41</v>
      </c>
      <c r="F392" s="171"/>
      <c r="G392" s="172">
        <v>4.0000000000000001E-3</v>
      </c>
      <c r="H392" s="173">
        <f t="shared" si="57"/>
        <v>1249.5491404214024</v>
      </c>
      <c r="I392" s="174">
        <f t="shared" si="58"/>
        <v>24.03</v>
      </c>
      <c r="J392" s="175">
        <v>0</v>
      </c>
      <c r="K392" s="176">
        <v>24.03</v>
      </c>
      <c r="L392" s="171"/>
      <c r="M392" s="169"/>
    </row>
    <row r="393" spans="1:13" s="125" customFormat="1" ht="15.6" x14ac:dyDescent="0.25">
      <c r="A393" s="169"/>
      <c r="B393" s="145">
        <v>86378</v>
      </c>
      <c r="C393" s="170"/>
      <c r="D393" s="169" t="s">
        <v>40</v>
      </c>
      <c r="E393" s="171" t="s">
        <v>41</v>
      </c>
      <c r="F393" s="171"/>
      <c r="G393" s="172">
        <v>3.0400000000000002E-3</v>
      </c>
      <c r="H393" s="173">
        <f t="shared" si="57"/>
        <v>949.65734672026599</v>
      </c>
      <c r="I393" s="174">
        <f t="shared" si="58"/>
        <v>18.260000000000002</v>
      </c>
      <c r="J393" s="175">
        <v>0</v>
      </c>
      <c r="K393" s="176">
        <v>18.260000000000002</v>
      </c>
      <c r="L393" s="171"/>
      <c r="M393" s="169"/>
    </row>
    <row r="394" spans="1:13" s="125" customFormat="1" ht="15.6" x14ac:dyDescent="0.25">
      <c r="A394" s="169"/>
      <c r="B394" s="145">
        <v>87211</v>
      </c>
      <c r="C394" s="170"/>
      <c r="D394" s="169" t="s">
        <v>40</v>
      </c>
      <c r="E394" s="171" t="s">
        <v>41</v>
      </c>
      <c r="F394" s="171"/>
      <c r="G394" s="172">
        <v>4.0000000000000001E-3</v>
      </c>
      <c r="H394" s="173">
        <f t="shared" si="57"/>
        <v>1249.5491404214024</v>
      </c>
      <c r="I394" s="174">
        <f t="shared" si="58"/>
        <v>24.03</v>
      </c>
      <c r="J394" s="175">
        <v>0</v>
      </c>
      <c r="K394" s="176">
        <v>24.03</v>
      </c>
      <c r="L394" s="171"/>
      <c r="M394" s="169"/>
    </row>
    <row r="395" spans="1:13" s="125" customFormat="1" ht="15.6" x14ac:dyDescent="0.25">
      <c r="A395" s="169"/>
      <c r="B395" s="145">
        <v>87232</v>
      </c>
      <c r="C395" s="170"/>
      <c r="D395" s="169" t="s">
        <v>36</v>
      </c>
      <c r="E395" s="171" t="s">
        <v>41</v>
      </c>
      <c r="F395" s="171"/>
      <c r="G395" s="172">
        <v>4.0000000000000001E-3</v>
      </c>
      <c r="H395" s="173">
        <f t="shared" si="57"/>
        <v>1249.5491404214024</v>
      </c>
      <c r="I395" s="174">
        <f t="shared" si="58"/>
        <v>24.03</v>
      </c>
      <c r="J395" s="175">
        <v>0</v>
      </c>
      <c r="K395" s="176">
        <v>24.03</v>
      </c>
      <c r="L395" s="171"/>
      <c r="M395" s="169"/>
    </row>
    <row r="396" spans="1:13" s="125" customFormat="1" ht="15.6" x14ac:dyDescent="0.25">
      <c r="A396" s="169"/>
      <c r="B396" s="145">
        <v>87943</v>
      </c>
      <c r="C396" s="170"/>
      <c r="D396" s="169" t="s">
        <v>40</v>
      </c>
      <c r="E396" s="171" t="s">
        <v>41</v>
      </c>
      <c r="F396" s="171"/>
      <c r="G396" s="172">
        <v>3.0400000000000002E-3</v>
      </c>
      <c r="H396" s="173">
        <f t="shared" si="57"/>
        <v>949.65734672026599</v>
      </c>
      <c r="I396" s="174">
        <f t="shared" si="58"/>
        <v>18.260000000000002</v>
      </c>
      <c r="J396" s="175">
        <v>0</v>
      </c>
      <c r="K396" s="176">
        <v>18.260000000000002</v>
      </c>
      <c r="L396" s="171"/>
      <c r="M396" s="169"/>
    </row>
    <row r="397" spans="1:13" s="125" customFormat="1" ht="15.6" x14ac:dyDescent="0.25">
      <c r="A397" s="169"/>
      <c r="B397" s="145">
        <v>89355</v>
      </c>
      <c r="C397" s="170"/>
      <c r="D397" s="169" t="s">
        <v>36</v>
      </c>
      <c r="E397" s="171" t="s">
        <v>41</v>
      </c>
      <c r="F397" s="171"/>
      <c r="G397" s="172">
        <v>4.0000000000000001E-3</v>
      </c>
      <c r="H397" s="173">
        <f t="shared" si="57"/>
        <v>1249.5491404214024</v>
      </c>
      <c r="I397" s="174">
        <f t="shared" si="58"/>
        <v>24.03</v>
      </c>
      <c r="J397" s="175">
        <v>0</v>
      </c>
      <c r="K397" s="176">
        <v>24.03</v>
      </c>
      <c r="L397" s="171"/>
      <c r="M397" s="169"/>
    </row>
    <row r="398" spans="1:13" s="125" customFormat="1" ht="15.6" x14ac:dyDescent="0.25">
      <c r="A398" s="169"/>
      <c r="B398" s="145">
        <v>89561</v>
      </c>
      <c r="C398" s="170"/>
      <c r="D398" s="169" t="s">
        <v>40</v>
      </c>
      <c r="E398" s="171" t="s">
        <v>41</v>
      </c>
      <c r="F398" s="171"/>
      <c r="G398" s="172">
        <v>4.0000000000000001E-3</v>
      </c>
      <c r="H398" s="173">
        <f t="shared" si="57"/>
        <v>1249.5491404214024</v>
      </c>
      <c r="I398" s="174">
        <f t="shared" si="58"/>
        <v>24.03</v>
      </c>
      <c r="J398" s="175">
        <v>0</v>
      </c>
      <c r="K398" s="176">
        <v>24.03</v>
      </c>
      <c r="L398" s="171"/>
      <c r="M398" s="169"/>
    </row>
    <row r="399" spans="1:13" s="125" customFormat="1" ht="15.6" x14ac:dyDescent="0.25">
      <c r="A399" s="169"/>
      <c r="B399" s="145">
        <v>89749</v>
      </c>
      <c r="C399" s="170"/>
      <c r="D399" s="169" t="s">
        <v>36</v>
      </c>
      <c r="E399" s="171" t="s">
        <v>41</v>
      </c>
      <c r="F399" s="171"/>
      <c r="G399" s="172">
        <v>3.0400000000000002E-3</v>
      </c>
      <c r="H399" s="173">
        <f t="shared" si="57"/>
        <v>949.65734672026599</v>
      </c>
      <c r="I399" s="174">
        <f t="shared" si="58"/>
        <v>18.260000000000002</v>
      </c>
      <c r="J399" s="175">
        <v>0</v>
      </c>
      <c r="K399" s="176">
        <v>18.260000000000002</v>
      </c>
      <c r="L399" s="171"/>
      <c r="M399" s="169"/>
    </row>
    <row r="400" spans="1:13" s="125" customFormat="1" ht="15.6" x14ac:dyDescent="0.25">
      <c r="A400" s="169"/>
      <c r="B400" s="145">
        <v>89773</v>
      </c>
      <c r="C400" s="170"/>
      <c r="D400" s="169" t="s">
        <v>36</v>
      </c>
      <c r="E400" s="171" t="s">
        <v>41</v>
      </c>
      <c r="F400" s="171"/>
      <c r="G400" s="172">
        <v>4.0000000000000001E-3</v>
      </c>
      <c r="H400" s="173">
        <f t="shared" si="57"/>
        <v>1249.5491404214024</v>
      </c>
      <c r="I400" s="174">
        <f t="shared" si="58"/>
        <v>24.03</v>
      </c>
      <c r="J400" s="175">
        <v>0</v>
      </c>
      <c r="K400" s="176">
        <v>24.03</v>
      </c>
      <c r="L400" s="171"/>
      <c r="M400" s="169"/>
    </row>
    <row r="401" spans="1:13" s="125" customFormat="1" ht="15.6" x14ac:dyDescent="0.25">
      <c r="A401" s="169"/>
      <c r="B401" s="145">
        <v>89813</v>
      </c>
      <c r="C401" s="170"/>
      <c r="D401" s="169" t="s">
        <v>36</v>
      </c>
      <c r="E401" s="171" t="s">
        <v>41</v>
      </c>
      <c r="F401" s="171"/>
      <c r="G401" s="172">
        <v>4.0000000000000001E-3</v>
      </c>
      <c r="H401" s="173">
        <f t="shared" si="57"/>
        <v>1249.5491404214024</v>
      </c>
      <c r="I401" s="174">
        <f t="shared" si="58"/>
        <v>24.03</v>
      </c>
      <c r="J401" s="175">
        <v>0</v>
      </c>
      <c r="K401" s="176">
        <v>24.03</v>
      </c>
      <c r="L401" s="171"/>
      <c r="M401" s="169"/>
    </row>
    <row r="402" spans="1:13" s="125" customFormat="1" ht="15.6" x14ac:dyDescent="0.25">
      <c r="A402" s="169"/>
      <c r="B402" s="145">
        <v>90213</v>
      </c>
      <c r="C402" s="170"/>
      <c r="D402" s="169" t="s">
        <v>36</v>
      </c>
      <c r="E402" s="171" t="s">
        <v>41</v>
      </c>
      <c r="F402" s="171"/>
      <c r="G402" s="172">
        <v>4.0000000000000001E-3</v>
      </c>
      <c r="H402" s="173">
        <f t="shared" si="57"/>
        <v>1249.5491404214024</v>
      </c>
      <c r="I402" s="174">
        <f t="shared" si="58"/>
        <v>24.03</v>
      </c>
      <c r="J402" s="175">
        <v>0</v>
      </c>
      <c r="K402" s="176">
        <v>24.03</v>
      </c>
      <c r="L402" s="171"/>
      <c r="M402" s="169"/>
    </row>
    <row r="403" spans="1:13" s="125" customFormat="1" ht="15.6" x14ac:dyDescent="0.25">
      <c r="A403" s="169"/>
      <c r="B403" s="145">
        <v>90419</v>
      </c>
      <c r="C403" s="170"/>
      <c r="D403" s="169" t="s">
        <v>36</v>
      </c>
      <c r="E403" s="171" t="s">
        <v>41</v>
      </c>
      <c r="F403" s="171"/>
      <c r="G403" s="172">
        <v>4.0000000000000001E-3</v>
      </c>
      <c r="H403" s="173">
        <f t="shared" si="57"/>
        <v>1249.5491404214024</v>
      </c>
      <c r="I403" s="174">
        <f t="shared" si="58"/>
        <v>24.03</v>
      </c>
      <c r="J403" s="175">
        <v>0</v>
      </c>
      <c r="K403" s="176">
        <v>24.03</v>
      </c>
      <c r="L403" s="171"/>
      <c r="M403" s="169"/>
    </row>
    <row r="404" spans="1:13" s="125" customFormat="1" ht="15.6" x14ac:dyDescent="0.25">
      <c r="A404" s="169"/>
      <c r="B404" s="145">
        <v>90767</v>
      </c>
      <c r="C404" s="170"/>
      <c r="D404" s="169" t="s">
        <v>36</v>
      </c>
      <c r="E404" s="171" t="s">
        <v>41</v>
      </c>
      <c r="F404" s="171"/>
      <c r="G404" s="172">
        <v>3.0400000000000002E-3</v>
      </c>
      <c r="H404" s="173">
        <f t="shared" si="57"/>
        <v>949.65734672026599</v>
      </c>
      <c r="I404" s="174">
        <f t="shared" si="58"/>
        <v>18.260000000000002</v>
      </c>
      <c r="J404" s="175">
        <v>0</v>
      </c>
      <c r="K404" s="176">
        <v>18.260000000000002</v>
      </c>
      <c r="L404" s="171"/>
      <c r="M404" s="169"/>
    </row>
    <row r="405" spans="1:13" s="125" customFormat="1" ht="15.6" x14ac:dyDescent="0.25">
      <c r="A405" s="169"/>
      <c r="B405" s="145">
        <v>90791</v>
      </c>
      <c r="C405" s="170"/>
      <c r="D405" s="169" t="s">
        <v>36</v>
      </c>
      <c r="E405" s="171" t="s">
        <v>41</v>
      </c>
      <c r="F405" s="171"/>
      <c r="G405" s="172">
        <v>5.4799999999999996E-3</v>
      </c>
      <c r="H405" s="173">
        <f t="shared" si="57"/>
        <v>1711.8823223773215</v>
      </c>
      <c r="I405" s="174">
        <f t="shared" si="58"/>
        <v>32.92</v>
      </c>
      <c r="J405" s="175">
        <v>0</v>
      </c>
      <c r="K405" s="176">
        <v>32.92</v>
      </c>
      <c r="L405" s="171"/>
      <c r="M405" s="169"/>
    </row>
    <row r="406" spans="1:13" s="125" customFormat="1" ht="15.6" x14ac:dyDescent="0.25">
      <c r="A406" s="169"/>
      <c r="B406" s="145">
        <v>91291</v>
      </c>
      <c r="C406" s="170"/>
      <c r="D406" s="169" t="s">
        <v>40</v>
      </c>
      <c r="E406" s="171" t="s">
        <v>41</v>
      </c>
      <c r="F406" s="171"/>
      <c r="G406" s="172">
        <v>3.0400000000000002E-3</v>
      </c>
      <c r="H406" s="173">
        <f t="shared" si="57"/>
        <v>949.65734672026599</v>
      </c>
      <c r="I406" s="174">
        <f t="shared" si="58"/>
        <v>18.260000000000002</v>
      </c>
      <c r="J406" s="175">
        <v>0</v>
      </c>
      <c r="K406" s="176">
        <v>18.260000000000002</v>
      </c>
      <c r="L406" s="171"/>
      <c r="M406" s="169"/>
    </row>
    <row r="407" spans="1:13" s="125" customFormat="1" ht="15.6" x14ac:dyDescent="0.25">
      <c r="A407" s="169"/>
      <c r="B407" s="145">
        <v>91413</v>
      </c>
      <c r="C407" s="170"/>
      <c r="D407" s="169" t="s">
        <v>36</v>
      </c>
      <c r="E407" s="171" t="s">
        <v>41</v>
      </c>
      <c r="F407" s="171"/>
      <c r="G407" s="172">
        <v>3.0400000000000002E-3</v>
      </c>
      <c r="H407" s="173">
        <f t="shared" si="57"/>
        <v>949.65734672026599</v>
      </c>
      <c r="I407" s="174">
        <f t="shared" si="58"/>
        <v>18.260000000000002</v>
      </c>
      <c r="J407" s="175">
        <v>0</v>
      </c>
      <c r="K407" s="176">
        <v>18.260000000000002</v>
      </c>
      <c r="L407" s="171"/>
      <c r="M407" s="169"/>
    </row>
    <row r="408" spans="1:13" s="125" customFormat="1" ht="15.6" x14ac:dyDescent="0.25">
      <c r="A408" s="169"/>
      <c r="B408" s="145">
        <v>91541</v>
      </c>
      <c r="C408" s="170"/>
      <c r="D408" s="169" t="s">
        <v>40</v>
      </c>
      <c r="E408" s="171" t="s">
        <v>41</v>
      </c>
      <c r="F408" s="171"/>
      <c r="G408" s="172">
        <v>3.0400000000000002E-3</v>
      </c>
      <c r="H408" s="173">
        <f t="shared" si="57"/>
        <v>949.65734672026599</v>
      </c>
      <c r="I408" s="174">
        <f t="shared" si="58"/>
        <v>18.260000000000002</v>
      </c>
      <c r="J408" s="175">
        <v>0</v>
      </c>
      <c r="K408" s="176">
        <v>18.260000000000002</v>
      </c>
      <c r="L408" s="171"/>
      <c r="M408" s="169"/>
    </row>
    <row r="409" spans="1:13" s="125" customFormat="1" ht="15.6" x14ac:dyDescent="0.25">
      <c r="A409" s="169"/>
      <c r="B409" s="145">
        <v>91694</v>
      </c>
      <c r="C409" s="170"/>
      <c r="D409" s="169" t="s">
        <v>40</v>
      </c>
      <c r="E409" s="171" t="s">
        <v>41</v>
      </c>
      <c r="F409" s="171"/>
      <c r="G409" s="172">
        <v>4.0000000000000001E-3</v>
      </c>
      <c r="H409" s="173">
        <f t="shared" si="57"/>
        <v>1249.5491404214024</v>
      </c>
      <c r="I409" s="174">
        <f t="shared" si="58"/>
        <v>24.03</v>
      </c>
      <c r="J409" s="175">
        <v>0</v>
      </c>
      <c r="K409" s="176">
        <v>24.03</v>
      </c>
      <c r="L409" s="171"/>
      <c r="M409" s="169"/>
    </row>
    <row r="410" spans="1:13" s="125" customFormat="1" ht="15.6" x14ac:dyDescent="0.25">
      <c r="A410" s="169"/>
      <c r="B410" s="145">
        <v>91734</v>
      </c>
      <c r="C410" s="170"/>
      <c r="D410" s="169" t="s">
        <v>40</v>
      </c>
      <c r="E410" s="171" t="s">
        <v>41</v>
      </c>
      <c r="F410" s="171"/>
      <c r="G410" s="172">
        <v>4.0000000000000001E-3</v>
      </c>
      <c r="H410" s="173">
        <f t="shared" si="57"/>
        <v>1249.5491404214024</v>
      </c>
      <c r="I410" s="174">
        <f t="shared" si="58"/>
        <v>24.03</v>
      </c>
      <c r="J410" s="175">
        <v>0</v>
      </c>
      <c r="K410" s="176">
        <v>24.03</v>
      </c>
      <c r="L410" s="171"/>
      <c r="M410" s="169"/>
    </row>
    <row r="411" spans="1:13" s="125" customFormat="1" ht="15.6" x14ac:dyDescent="0.25">
      <c r="A411" s="169"/>
      <c r="B411" s="145">
        <v>91905</v>
      </c>
      <c r="C411" s="170"/>
      <c r="D411" s="169" t="s">
        <v>40</v>
      </c>
      <c r="E411" s="171" t="s">
        <v>41</v>
      </c>
      <c r="F411" s="171"/>
      <c r="G411" s="172">
        <v>4.0000000000000001E-3</v>
      </c>
      <c r="H411" s="173">
        <f t="shared" si="57"/>
        <v>1249.5491404214024</v>
      </c>
      <c r="I411" s="174">
        <f t="shared" si="58"/>
        <v>24.03</v>
      </c>
      <c r="J411" s="175">
        <v>0</v>
      </c>
      <c r="K411" s="176">
        <v>24.03</v>
      </c>
      <c r="L411" s="171"/>
      <c r="M411" s="169"/>
    </row>
    <row r="412" spans="1:13" s="125" customFormat="1" ht="15.6" x14ac:dyDescent="0.25">
      <c r="A412" s="169"/>
      <c r="B412" s="145">
        <v>92724</v>
      </c>
      <c r="C412" s="170"/>
      <c r="D412" s="169" t="s">
        <v>36</v>
      </c>
      <c r="E412" s="171" t="s">
        <v>41</v>
      </c>
      <c r="F412" s="171"/>
      <c r="G412" s="172">
        <v>3.0400000000000002E-3</v>
      </c>
      <c r="H412" s="173">
        <f t="shared" si="57"/>
        <v>949.65734672026599</v>
      </c>
      <c r="I412" s="174">
        <f t="shared" si="58"/>
        <v>18.260000000000002</v>
      </c>
      <c r="J412" s="175">
        <v>0</v>
      </c>
      <c r="K412" s="176">
        <v>18.260000000000002</v>
      </c>
      <c r="L412" s="171"/>
      <c r="M412" s="169"/>
    </row>
    <row r="413" spans="1:13" s="125" customFormat="1" ht="15.6" x14ac:dyDescent="0.25">
      <c r="A413" s="169"/>
      <c r="B413" s="145">
        <v>93215</v>
      </c>
      <c r="C413" s="170"/>
      <c r="D413" s="169" t="s">
        <v>36</v>
      </c>
      <c r="E413" s="171" t="s">
        <v>41</v>
      </c>
      <c r="F413" s="171"/>
      <c r="G413" s="172">
        <v>3.0400000000000002E-3</v>
      </c>
      <c r="H413" s="173">
        <f t="shared" si="57"/>
        <v>949.65734672026599</v>
      </c>
      <c r="I413" s="174">
        <f t="shared" si="58"/>
        <v>18.260000000000002</v>
      </c>
      <c r="J413" s="175">
        <v>0</v>
      </c>
      <c r="K413" s="176">
        <v>18.260000000000002</v>
      </c>
      <c r="L413" s="171"/>
      <c r="M413" s="169"/>
    </row>
    <row r="414" spans="1:13" s="125" customFormat="1" ht="15.6" x14ac:dyDescent="0.25">
      <c r="A414" s="169"/>
      <c r="B414" s="145">
        <v>93810</v>
      </c>
      <c r="C414" s="170"/>
      <c r="D414" s="169" t="s">
        <v>36</v>
      </c>
      <c r="E414" s="171" t="s">
        <v>41</v>
      </c>
      <c r="F414" s="171"/>
      <c r="G414" s="172">
        <v>4.0000000000000001E-3</v>
      </c>
      <c r="H414" s="173">
        <f t="shared" si="57"/>
        <v>1249.5491404214024</v>
      </c>
      <c r="I414" s="174">
        <f t="shared" si="58"/>
        <v>24.03</v>
      </c>
      <c r="J414" s="175">
        <v>0</v>
      </c>
      <c r="K414" s="176">
        <v>24.03</v>
      </c>
      <c r="L414" s="171"/>
      <c r="M414" s="169"/>
    </row>
    <row r="415" spans="1:13" s="125" customFormat="1" ht="15.6" x14ac:dyDescent="0.25">
      <c r="A415" s="169"/>
      <c r="B415" s="145">
        <v>93905</v>
      </c>
      <c r="C415" s="170"/>
      <c r="D415" s="169" t="s">
        <v>40</v>
      </c>
      <c r="E415" s="171" t="s">
        <v>41</v>
      </c>
      <c r="F415" s="171"/>
      <c r="G415" s="172">
        <v>4.0000000000000001E-3</v>
      </c>
      <c r="H415" s="173">
        <f t="shared" si="57"/>
        <v>1249.5491404214024</v>
      </c>
      <c r="I415" s="174">
        <f t="shared" si="58"/>
        <v>24.03</v>
      </c>
      <c r="J415" s="175">
        <v>0</v>
      </c>
      <c r="K415" s="176">
        <v>24.03</v>
      </c>
      <c r="L415" s="171"/>
      <c r="M415" s="169"/>
    </row>
    <row r="416" spans="1:13" s="125" customFormat="1" ht="15.6" x14ac:dyDescent="0.25">
      <c r="A416" s="169"/>
      <c r="B416" s="145">
        <v>94468</v>
      </c>
      <c r="C416" s="170"/>
      <c r="D416" s="169" t="s">
        <v>36</v>
      </c>
      <c r="E416" s="171" t="s">
        <v>41</v>
      </c>
      <c r="F416" s="171"/>
      <c r="G416" s="172">
        <v>3.0400000000000002E-3</v>
      </c>
      <c r="H416" s="173">
        <f t="shared" si="57"/>
        <v>949.65734672026599</v>
      </c>
      <c r="I416" s="174">
        <f t="shared" si="58"/>
        <v>18.260000000000002</v>
      </c>
      <c r="J416" s="175">
        <v>0</v>
      </c>
      <c r="K416" s="176">
        <v>18.260000000000002</v>
      </c>
      <c r="L416" s="171"/>
      <c r="M416" s="169"/>
    </row>
    <row r="417" spans="1:13" s="125" customFormat="1" ht="15.6" x14ac:dyDescent="0.25">
      <c r="A417" s="169"/>
      <c r="B417" s="145">
        <v>95678</v>
      </c>
      <c r="C417" s="170"/>
      <c r="D417" s="169" t="s">
        <v>40</v>
      </c>
      <c r="E417" s="171" t="s">
        <v>41</v>
      </c>
      <c r="F417" s="171"/>
      <c r="G417" s="172">
        <v>3.0400000000000002E-3</v>
      </c>
      <c r="H417" s="173">
        <f t="shared" si="57"/>
        <v>949.65734672026599</v>
      </c>
      <c r="I417" s="174">
        <f t="shared" si="58"/>
        <v>18.260000000000002</v>
      </c>
      <c r="J417" s="175">
        <v>0</v>
      </c>
      <c r="K417" s="176">
        <v>18.260000000000002</v>
      </c>
      <c r="L417" s="171"/>
      <c r="M417" s="169"/>
    </row>
    <row r="418" spans="1:13" s="125" customFormat="1" ht="15.6" x14ac:dyDescent="0.25">
      <c r="A418" s="169"/>
      <c r="B418" s="145">
        <v>96625</v>
      </c>
      <c r="C418" s="170"/>
      <c r="D418" s="169" t="s">
        <v>36</v>
      </c>
      <c r="E418" s="171" t="s">
        <v>41</v>
      </c>
      <c r="F418" s="171"/>
      <c r="G418" s="172">
        <v>5.4799999999999996E-3</v>
      </c>
      <c r="H418" s="173">
        <f t="shared" si="57"/>
        <v>1711.8823223773215</v>
      </c>
      <c r="I418" s="174">
        <f t="shared" si="58"/>
        <v>32.92</v>
      </c>
      <c r="J418" s="175">
        <v>0</v>
      </c>
      <c r="K418" s="176">
        <v>32.92</v>
      </c>
      <c r="L418" s="171"/>
      <c r="M418" s="169"/>
    </row>
    <row r="419" spans="1:13" s="125" customFormat="1" ht="15.6" x14ac:dyDescent="0.25">
      <c r="A419" s="169"/>
      <c r="B419" s="145">
        <v>96679</v>
      </c>
      <c r="C419" s="170"/>
      <c r="D419" s="169" t="s">
        <v>36</v>
      </c>
      <c r="E419" s="171" t="s">
        <v>41</v>
      </c>
      <c r="F419" s="171"/>
      <c r="G419" s="172">
        <v>4.0000000000000001E-3</v>
      </c>
      <c r="H419" s="173">
        <f t="shared" si="57"/>
        <v>1249.5491404214024</v>
      </c>
      <c r="I419" s="174">
        <f t="shared" si="58"/>
        <v>24.03</v>
      </c>
      <c r="J419" s="175">
        <v>0</v>
      </c>
      <c r="K419" s="176">
        <v>24.03</v>
      </c>
      <c r="L419" s="171"/>
      <c r="M419" s="169"/>
    </row>
    <row r="420" spans="1:13" s="125" customFormat="1" ht="15.6" x14ac:dyDescent="0.25">
      <c r="A420" s="169"/>
      <c r="B420" s="145">
        <v>96980</v>
      </c>
      <c r="C420" s="170"/>
      <c r="D420" s="169" t="s">
        <v>40</v>
      </c>
      <c r="E420" s="171" t="s">
        <v>41</v>
      </c>
      <c r="F420" s="171"/>
      <c r="G420" s="172">
        <v>4.0000000000000001E-3</v>
      </c>
      <c r="H420" s="173">
        <f t="shared" si="57"/>
        <v>1249.5491404214024</v>
      </c>
      <c r="I420" s="174">
        <f t="shared" si="58"/>
        <v>24.03</v>
      </c>
      <c r="J420" s="175">
        <v>0</v>
      </c>
      <c r="K420" s="176">
        <v>24.03</v>
      </c>
      <c r="L420" s="171"/>
      <c r="M420" s="169"/>
    </row>
    <row r="421" spans="1:13" s="125" customFormat="1" ht="15.6" x14ac:dyDescent="0.25">
      <c r="A421" s="169"/>
      <c r="B421" s="145">
        <v>97024</v>
      </c>
      <c r="C421" s="170"/>
      <c r="D421" s="169" t="s">
        <v>40</v>
      </c>
      <c r="E421" s="171" t="s">
        <v>41</v>
      </c>
      <c r="F421" s="171"/>
      <c r="G421" s="172">
        <v>4.0000000000000001E-3</v>
      </c>
      <c r="H421" s="173">
        <f t="shared" si="57"/>
        <v>1249.5491404214024</v>
      </c>
      <c r="I421" s="174">
        <f t="shared" si="58"/>
        <v>24.03</v>
      </c>
      <c r="J421" s="175">
        <v>0</v>
      </c>
      <c r="K421" s="176">
        <v>24.03</v>
      </c>
      <c r="L421" s="171"/>
      <c r="M421" s="169"/>
    </row>
    <row r="422" spans="1:13" s="125" customFormat="1" ht="15.6" x14ac:dyDescent="0.25">
      <c r="A422" s="169"/>
      <c r="B422" s="145">
        <v>98070</v>
      </c>
      <c r="C422" s="170"/>
      <c r="D422" s="169" t="s">
        <v>40</v>
      </c>
      <c r="E422" s="171" t="s">
        <v>41</v>
      </c>
      <c r="F422" s="171"/>
      <c r="G422" s="172">
        <v>3.0400000000000002E-3</v>
      </c>
      <c r="H422" s="173">
        <f t="shared" ref="H422:H426" si="59">G422/$G$427*$H$427</f>
        <v>949.65734672026599</v>
      </c>
      <c r="I422" s="174">
        <f t="shared" ref="I422:I426" si="60">ROUND(H422/52,2)</f>
        <v>18.260000000000002</v>
      </c>
      <c r="J422" s="175">
        <v>0</v>
      </c>
      <c r="K422" s="176">
        <v>18.260000000000002</v>
      </c>
      <c r="L422" s="171"/>
      <c r="M422" s="169"/>
    </row>
    <row r="423" spans="1:13" s="125" customFormat="1" ht="15.6" x14ac:dyDescent="0.25">
      <c r="A423" s="169"/>
      <c r="B423" s="145">
        <v>98237</v>
      </c>
      <c r="C423" s="170"/>
      <c r="D423" s="169" t="s">
        <v>40</v>
      </c>
      <c r="E423" s="171" t="s">
        <v>41</v>
      </c>
      <c r="F423" s="171"/>
      <c r="G423" s="172">
        <v>4.0000000000000001E-3</v>
      </c>
      <c r="H423" s="173">
        <f t="shared" si="59"/>
        <v>1249.5491404214024</v>
      </c>
      <c r="I423" s="174">
        <f t="shared" si="60"/>
        <v>24.03</v>
      </c>
      <c r="J423" s="175">
        <v>0</v>
      </c>
      <c r="K423" s="176">
        <v>24.03</v>
      </c>
      <c r="L423" s="171"/>
      <c r="M423" s="169"/>
    </row>
    <row r="424" spans="1:13" s="125" customFormat="1" ht="15.6" x14ac:dyDescent="0.25">
      <c r="A424" s="169"/>
      <c r="B424" s="145">
        <v>99197</v>
      </c>
      <c r="C424" s="170"/>
      <c r="D424" s="169" t="s">
        <v>36</v>
      </c>
      <c r="E424" s="171" t="s">
        <v>41</v>
      </c>
      <c r="F424" s="171"/>
      <c r="G424" s="172">
        <v>5.4799999999999996E-3</v>
      </c>
      <c r="H424" s="173">
        <f t="shared" si="59"/>
        <v>1711.8823223773215</v>
      </c>
      <c r="I424" s="174">
        <f t="shared" si="60"/>
        <v>32.92</v>
      </c>
      <c r="J424" s="175">
        <v>0</v>
      </c>
      <c r="K424" s="176">
        <v>32.92</v>
      </c>
      <c r="L424" s="171"/>
      <c r="M424" s="169"/>
    </row>
    <row r="425" spans="1:13" s="125" customFormat="1" ht="15.6" x14ac:dyDescent="0.25">
      <c r="A425" s="169"/>
      <c r="B425" s="145">
        <v>99591</v>
      </c>
      <c r="C425" s="170"/>
      <c r="D425" s="169" t="s">
        <v>36</v>
      </c>
      <c r="E425" s="171" t="s">
        <v>41</v>
      </c>
      <c r="F425" s="171"/>
      <c r="G425" s="172">
        <v>3.0400000000000002E-3</v>
      </c>
      <c r="H425" s="173">
        <f t="shared" si="59"/>
        <v>949.65734672026599</v>
      </c>
      <c r="I425" s="174">
        <f t="shared" si="60"/>
        <v>18.260000000000002</v>
      </c>
      <c r="J425" s="175">
        <v>0</v>
      </c>
      <c r="K425" s="176">
        <v>18.260000000000002</v>
      </c>
      <c r="L425" s="171"/>
      <c r="M425" s="169"/>
    </row>
    <row r="426" spans="1:13" s="125" customFormat="1" ht="15.6" x14ac:dyDescent="0.25">
      <c r="A426" s="169"/>
      <c r="B426" s="145">
        <v>99663</v>
      </c>
      <c r="C426" s="170"/>
      <c r="D426" s="213" t="s">
        <v>36</v>
      </c>
      <c r="E426" s="214" t="s">
        <v>41</v>
      </c>
      <c r="F426" s="214"/>
      <c r="G426" s="215">
        <v>3.0400000000000002E-3</v>
      </c>
      <c r="H426" s="216">
        <f t="shared" si="59"/>
        <v>949.65734672026599</v>
      </c>
      <c r="I426" s="217">
        <f t="shared" si="60"/>
        <v>18.260000000000002</v>
      </c>
      <c r="J426" s="218">
        <v>0</v>
      </c>
      <c r="K426" s="219">
        <v>18.260000000000002</v>
      </c>
      <c r="L426" s="171"/>
      <c r="M426" s="169"/>
    </row>
    <row r="427" spans="1:13" s="125" customFormat="1" ht="16.2" thickBot="1" x14ac:dyDescent="0.3">
      <c r="A427" s="169"/>
      <c r="B427" s="145"/>
      <c r="C427" s="177"/>
      <c r="D427" s="220"/>
      <c r="E427" s="221" t="s">
        <v>38</v>
      </c>
      <c r="F427" s="221"/>
      <c r="G427" s="222">
        <f>SUBTOTAL(9,G166:G426)</f>
        <v>0.99002000000000256</v>
      </c>
      <c r="H427" s="223">
        <v>309269.66000000003</v>
      </c>
      <c r="I427" s="226">
        <f>SUM(I166:I426)</f>
        <v>5947.2000000000126</v>
      </c>
      <c r="J427" s="225">
        <v>0</v>
      </c>
      <c r="K427" s="223">
        <f t="shared" ref="K427" si="61">SUM(K166:K426)</f>
        <v>5947.2000000000126</v>
      </c>
      <c r="L427" s="171"/>
      <c r="M427" s="169"/>
    </row>
    <row r="428" spans="1:13" s="125" customFormat="1" ht="15.6" x14ac:dyDescent="0.25">
      <c r="A428" s="169"/>
      <c r="B428" s="145">
        <v>751</v>
      </c>
      <c r="C428" s="170"/>
      <c r="D428" s="206" t="s">
        <v>36</v>
      </c>
      <c r="E428" s="207" t="s">
        <v>39</v>
      </c>
      <c r="F428" s="207"/>
      <c r="G428" s="208">
        <v>4.1999999999999997E-3</v>
      </c>
      <c r="H428" s="209">
        <f t="shared" ref="H428:H491" si="62">G428/$G$659*$H$659</f>
        <v>1178.5810642750407</v>
      </c>
      <c r="I428" s="210">
        <f t="shared" ref="I428:I491" si="63">ROUND(H428/52,2)</f>
        <v>22.67</v>
      </c>
      <c r="J428" s="211">
        <v>-1.0000000000001563E-2</v>
      </c>
      <c r="K428" s="212">
        <v>22.66</v>
      </c>
      <c r="L428" s="171"/>
      <c r="M428" s="169"/>
    </row>
    <row r="429" spans="1:13" s="125" customFormat="1" ht="15.6" x14ac:dyDescent="0.25">
      <c r="A429" s="169"/>
      <c r="B429" s="145">
        <v>1071</v>
      </c>
      <c r="C429" s="170"/>
      <c r="D429" s="169" t="s">
        <v>36</v>
      </c>
      <c r="E429" s="171" t="s">
        <v>39</v>
      </c>
      <c r="F429" s="171"/>
      <c r="G429" s="172">
        <v>5.3E-3</v>
      </c>
      <c r="H429" s="173">
        <f t="shared" si="62"/>
        <v>1487.2570572994562</v>
      </c>
      <c r="I429" s="174">
        <f t="shared" si="63"/>
        <v>28.6</v>
      </c>
      <c r="J429" s="175">
        <v>9.9999999999980105E-3</v>
      </c>
      <c r="K429" s="176">
        <v>28.61</v>
      </c>
      <c r="L429" s="171"/>
      <c r="M429" s="169"/>
    </row>
    <row r="430" spans="1:13" s="125" customFormat="1" ht="15.6" x14ac:dyDescent="0.25">
      <c r="A430" s="169"/>
      <c r="B430" s="145">
        <v>1137</v>
      </c>
      <c r="C430" s="170"/>
      <c r="D430" s="169" t="s">
        <v>40</v>
      </c>
      <c r="E430" s="171" t="s">
        <v>39</v>
      </c>
      <c r="F430" s="171"/>
      <c r="G430" s="172">
        <v>4.1999999999999997E-3</v>
      </c>
      <c r="H430" s="173">
        <f t="shared" si="62"/>
        <v>1178.5810642750407</v>
      </c>
      <c r="I430" s="174">
        <f t="shared" si="63"/>
        <v>22.67</v>
      </c>
      <c r="J430" s="175">
        <v>-1.0000000000001563E-2</v>
      </c>
      <c r="K430" s="176">
        <v>22.66</v>
      </c>
      <c r="L430" s="171"/>
      <c r="M430" s="169"/>
    </row>
    <row r="431" spans="1:13" s="125" customFormat="1" ht="15.6" x14ac:dyDescent="0.25">
      <c r="A431" s="169"/>
      <c r="B431" s="145">
        <v>1865</v>
      </c>
      <c r="C431" s="170"/>
      <c r="D431" s="169" t="s">
        <v>40</v>
      </c>
      <c r="E431" s="171" t="s">
        <v>39</v>
      </c>
      <c r="F431" s="171"/>
      <c r="G431" s="172">
        <v>5.3E-3</v>
      </c>
      <c r="H431" s="173">
        <f t="shared" si="62"/>
        <v>1487.2570572994562</v>
      </c>
      <c r="I431" s="174">
        <f t="shared" si="63"/>
        <v>28.6</v>
      </c>
      <c r="J431" s="175">
        <v>9.9999999999980105E-3</v>
      </c>
      <c r="K431" s="176">
        <v>28.61</v>
      </c>
      <c r="L431" s="171"/>
      <c r="M431" s="169"/>
    </row>
    <row r="432" spans="1:13" s="125" customFormat="1" ht="15.6" x14ac:dyDescent="0.25">
      <c r="A432" s="169"/>
      <c r="B432" s="145">
        <v>2195</v>
      </c>
      <c r="C432" s="170"/>
      <c r="D432" s="169" t="s">
        <v>36</v>
      </c>
      <c r="E432" s="171" t="s">
        <v>39</v>
      </c>
      <c r="F432" s="171"/>
      <c r="G432" s="172">
        <v>4.1999999999999997E-3</v>
      </c>
      <c r="H432" s="173">
        <f t="shared" si="62"/>
        <v>1178.5810642750407</v>
      </c>
      <c r="I432" s="174">
        <f t="shared" si="63"/>
        <v>22.67</v>
      </c>
      <c r="J432" s="175">
        <v>-1.0000000000001563E-2</v>
      </c>
      <c r="K432" s="176">
        <v>22.66</v>
      </c>
      <c r="L432" s="171"/>
      <c r="M432" s="169"/>
    </row>
    <row r="433" spans="1:13" s="125" customFormat="1" ht="15.6" x14ac:dyDescent="0.25">
      <c r="A433" s="169"/>
      <c r="B433" s="145">
        <v>2512</v>
      </c>
      <c r="C433" s="170"/>
      <c r="D433" s="169" t="s">
        <v>36</v>
      </c>
      <c r="E433" s="171" t="s">
        <v>39</v>
      </c>
      <c r="F433" s="171"/>
      <c r="G433" s="172">
        <v>5.3E-3</v>
      </c>
      <c r="H433" s="173">
        <f t="shared" si="62"/>
        <v>1487.2570572994562</v>
      </c>
      <c r="I433" s="174">
        <f t="shared" si="63"/>
        <v>28.6</v>
      </c>
      <c r="J433" s="175">
        <v>9.9999999999980105E-3</v>
      </c>
      <c r="K433" s="176">
        <v>28.61</v>
      </c>
      <c r="L433" s="171"/>
      <c r="M433" s="169"/>
    </row>
    <row r="434" spans="1:13" s="125" customFormat="1" ht="15.6" x14ac:dyDescent="0.25">
      <c r="A434" s="169"/>
      <c r="B434" s="145">
        <v>3441</v>
      </c>
      <c r="C434" s="170"/>
      <c r="D434" s="169" t="s">
        <v>40</v>
      </c>
      <c r="E434" s="171" t="s">
        <v>39</v>
      </c>
      <c r="F434" s="171"/>
      <c r="G434" s="172">
        <v>4.1999999999999997E-3</v>
      </c>
      <c r="H434" s="173">
        <f t="shared" si="62"/>
        <v>1178.5810642750407</v>
      </c>
      <c r="I434" s="174">
        <f t="shared" si="63"/>
        <v>22.67</v>
      </c>
      <c r="J434" s="175">
        <v>-1.0000000000001563E-2</v>
      </c>
      <c r="K434" s="176">
        <v>22.66</v>
      </c>
      <c r="L434" s="171"/>
      <c r="M434" s="169"/>
    </row>
    <row r="435" spans="1:13" s="125" customFormat="1" ht="15.6" x14ac:dyDescent="0.25">
      <c r="A435" s="169"/>
      <c r="B435" s="145">
        <v>3536</v>
      </c>
      <c r="C435" s="170"/>
      <c r="D435" s="169" t="s">
        <v>36</v>
      </c>
      <c r="E435" s="171" t="s">
        <v>39</v>
      </c>
      <c r="F435" s="171"/>
      <c r="G435" s="172">
        <v>4.1999999999999997E-3</v>
      </c>
      <c r="H435" s="173">
        <f t="shared" si="62"/>
        <v>1178.5810642750407</v>
      </c>
      <c r="I435" s="174">
        <f t="shared" si="63"/>
        <v>22.67</v>
      </c>
      <c r="J435" s="175">
        <v>-1.0000000000001563E-2</v>
      </c>
      <c r="K435" s="176">
        <v>22.66</v>
      </c>
      <c r="L435" s="171"/>
      <c r="M435" s="169"/>
    </row>
    <row r="436" spans="1:13" s="125" customFormat="1" ht="15.6" x14ac:dyDescent="0.25">
      <c r="A436" s="169"/>
      <c r="B436" s="145">
        <v>4571</v>
      </c>
      <c r="C436" s="170"/>
      <c r="D436" s="169" t="s">
        <v>40</v>
      </c>
      <c r="E436" s="171" t="s">
        <v>39</v>
      </c>
      <c r="F436" s="171"/>
      <c r="G436" s="172">
        <v>4.1999999999999997E-3</v>
      </c>
      <c r="H436" s="173">
        <f t="shared" si="62"/>
        <v>1178.5810642750407</v>
      </c>
      <c r="I436" s="174">
        <f t="shared" si="63"/>
        <v>22.67</v>
      </c>
      <c r="J436" s="175">
        <v>-1.0000000000001563E-2</v>
      </c>
      <c r="K436" s="176">
        <v>22.66</v>
      </c>
      <c r="L436" s="171"/>
      <c r="M436" s="169"/>
    </row>
    <row r="437" spans="1:13" s="125" customFormat="1" ht="15.6" x14ac:dyDescent="0.25">
      <c r="A437" s="169"/>
      <c r="B437" s="145">
        <v>4756</v>
      </c>
      <c r="C437" s="170"/>
      <c r="D437" s="169" t="s">
        <v>40</v>
      </c>
      <c r="E437" s="171" t="s">
        <v>39</v>
      </c>
      <c r="F437" s="171"/>
      <c r="G437" s="172">
        <v>4.1999999999999997E-3</v>
      </c>
      <c r="H437" s="173">
        <f t="shared" si="62"/>
        <v>1178.5810642750407</v>
      </c>
      <c r="I437" s="174">
        <f t="shared" si="63"/>
        <v>22.67</v>
      </c>
      <c r="J437" s="175">
        <v>-1.0000000000001563E-2</v>
      </c>
      <c r="K437" s="176">
        <v>22.66</v>
      </c>
      <c r="L437" s="171"/>
      <c r="M437" s="169"/>
    </row>
    <row r="438" spans="1:13" s="125" customFormat="1" ht="15.6" x14ac:dyDescent="0.25">
      <c r="A438" s="169"/>
      <c r="B438" s="145">
        <v>5187</v>
      </c>
      <c r="C438" s="170"/>
      <c r="D438" s="169" t="s">
        <v>36</v>
      </c>
      <c r="E438" s="171" t="s">
        <v>39</v>
      </c>
      <c r="F438" s="171"/>
      <c r="G438" s="172">
        <v>4.1999999999999997E-3</v>
      </c>
      <c r="H438" s="173">
        <f t="shared" si="62"/>
        <v>1178.5810642750407</v>
      </c>
      <c r="I438" s="174">
        <f t="shared" si="63"/>
        <v>22.67</v>
      </c>
      <c r="J438" s="175">
        <v>-1.0000000000001563E-2</v>
      </c>
      <c r="K438" s="176">
        <v>22.66</v>
      </c>
      <c r="L438" s="171"/>
      <c r="M438" s="169"/>
    </row>
    <row r="439" spans="1:13" s="125" customFormat="1" ht="15.6" x14ac:dyDescent="0.25">
      <c r="A439" s="169"/>
      <c r="B439" s="145">
        <v>5543</v>
      </c>
      <c r="C439" s="170"/>
      <c r="D439" s="169" t="s">
        <v>36</v>
      </c>
      <c r="E439" s="171" t="s">
        <v>39</v>
      </c>
      <c r="F439" s="171"/>
      <c r="G439" s="172">
        <v>4.1999999999999997E-3</v>
      </c>
      <c r="H439" s="173">
        <f t="shared" si="62"/>
        <v>1178.5810642750407</v>
      </c>
      <c r="I439" s="174">
        <f t="shared" si="63"/>
        <v>22.67</v>
      </c>
      <c r="J439" s="175">
        <v>-1.0000000000001563E-2</v>
      </c>
      <c r="K439" s="176">
        <v>22.66</v>
      </c>
      <c r="L439" s="171"/>
      <c r="M439" s="169"/>
    </row>
    <row r="440" spans="1:13" s="125" customFormat="1" ht="15.6" x14ac:dyDescent="0.25">
      <c r="A440" s="169"/>
      <c r="B440" s="145">
        <v>5788</v>
      </c>
      <c r="C440" s="170"/>
      <c r="D440" s="169" t="s">
        <v>40</v>
      </c>
      <c r="E440" s="171" t="s">
        <v>39</v>
      </c>
      <c r="F440" s="171"/>
      <c r="G440" s="172">
        <v>4.1999999999999997E-3</v>
      </c>
      <c r="H440" s="173">
        <f t="shared" si="62"/>
        <v>1178.5810642750407</v>
      </c>
      <c r="I440" s="174">
        <f t="shared" si="63"/>
        <v>22.67</v>
      </c>
      <c r="J440" s="175">
        <v>-1.0000000000001563E-2</v>
      </c>
      <c r="K440" s="176">
        <v>22.66</v>
      </c>
      <c r="L440" s="171"/>
      <c r="M440" s="169"/>
    </row>
    <row r="441" spans="1:13" s="125" customFormat="1" ht="15.6" x14ac:dyDescent="0.25">
      <c r="A441" s="169"/>
      <c r="B441" s="145">
        <v>6010</v>
      </c>
      <c r="C441" s="170"/>
      <c r="D441" s="169" t="s">
        <v>40</v>
      </c>
      <c r="E441" s="171" t="s">
        <v>39</v>
      </c>
      <c r="F441" s="171"/>
      <c r="G441" s="172">
        <v>4.1999999999999997E-3</v>
      </c>
      <c r="H441" s="173">
        <f t="shared" si="62"/>
        <v>1178.5810642750407</v>
      </c>
      <c r="I441" s="174">
        <f t="shared" si="63"/>
        <v>22.67</v>
      </c>
      <c r="J441" s="175">
        <v>-1.0000000000001563E-2</v>
      </c>
      <c r="K441" s="176">
        <v>22.66</v>
      </c>
      <c r="L441" s="171"/>
      <c r="M441" s="169"/>
    </row>
    <row r="442" spans="1:13" s="125" customFormat="1" ht="15.6" x14ac:dyDescent="0.25">
      <c r="A442" s="169"/>
      <c r="B442" s="145">
        <v>6184</v>
      </c>
      <c r="C442" s="170"/>
      <c r="D442" s="169" t="s">
        <v>40</v>
      </c>
      <c r="E442" s="171" t="s">
        <v>39</v>
      </c>
      <c r="F442" s="171"/>
      <c r="G442" s="172">
        <v>4.1999999999999997E-3</v>
      </c>
      <c r="H442" s="173">
        <f t="shared" si="62"/>
        <v>1178.5810642750407</v>
      </c>
      <c r="I442" s="174">
        <f t="shared" si="63"/>
        <v>22.67</v>
      </c>
      <c r="J442" s="175">
        <v>-1.0000000000001563E-2</v>
      </c>
      <c r="K442" s="176">
        <v>22.66</v>
      </c>
      <c r="L442" s="171"/>
      <c r="M442" s="169"/>
    </row>
    <row r="443" spans="1:13" s="125" customFormat="1" ht="15.6" x14ac:dyDescent="0.25">
      <c r="A443" s="169"/>
      <c r="B443" s="145">
        <v>6812</v>
      </c>
      <c r="C443" s="170"/>
      <c r="D443" s="169" t="s">
        <v>36</v>
      </c>
      <c r="E443" s="171" t="s">
        <v>39</v>
      </c>
      <c r="F443" s="171"/>
      <c r="G443" s="172">
        <v>4.1999999999999997E-3</v>
      </c>
      <c r="H443" s="173">
        <f t="shared" si="62"/>
        <v>1178.5810642750407</v>
      </c>
      <c r="I443" s="174">
        <f t="shared" si="63"/>
        <v>22.67</v>
      </c>
      <c r="J443" s="175">
        <v>-1.0000000000001563E-2</v>
      </c>
      <c r="K443" s="176">
        <v>22.66</v>
      </c>
      <c r="L443" s="171"/>
      <c r="M443" s="169"/>
    </row>
    <row r="444" spans="1:13" s="125" customFormat="1" ht="15.6" x14ac:dyDescent="0.25">
      <c r="A444" s="169"/>
      <c r="B444" s="145">
        <v>6839</v>
      </c>
      <c r="C444" s="170"/>
      <c r="D444" s="169" t="s">
        <v>36</v>
      </c>
      <c r="E444" s="171" t="s">
        <v>39</v>
      </c>
      <c r="F444" s="171"/>
      <c r="G444" s="172">
        <v>4.1999999999999997E-3</v>
      </c>
      <c r="H444" s="173">
        <f t="shared" si="62"/>
        <v>1178.5810642750407</v>
      </c>
      <c r="I444" s="174">
        <f t="shared" si="63"/>
        <v>22.67</v>
      </c>
      <c r="J444" s="175">
        <v>-1.0000000000001563E-2</v>
      </c>
      <c r="K444" s="176">
        <v>22.66</v>
      </c>
      <c r="L444" s="171"/>
      <c r="M444" s="169"/>
    </row>
    <row r="445" spans="1:13" s="125" customFormat="1" ht="15.6" x14ac:dyDescent="0.25">
      <c r="A445" s="169"/>
      <c r="B445" s="145">
        <v>6998</v>
      </c>
      <c r="C445" s="170"/>
      <c r="D445" s="169" t="s">
        <v>40</v>
      </c>
      <c r="E445" s="171" t="s">
        <v>39</v>
      </c>
      <c r="F445" s="171"/>
      <c r="G445" s="172">
        <v>4.1999999999999997E-3</v>
      </c>
      <c r="H445" s="173">
        <f t="shared" si="62"/>
        <v>1178.5810642750407</v>
      </c>
      <c r="I445" s="174">
        <f t="shared" si="63"/>
        <v>22.67</v>
      </c>
      <c r="J445" s="175">
        <v>-1.0000000000001563E-2</v>
      </c>
      <c r="K445" s="176">
        <v>22.66</v>
      </c>
      <c r="L445" s="171"/>
      <c r="M445" s="169"/>
    </row>
    <row r="446" spans="1:13" s="125" customFormat="1" ht="15.6" x14ac:dyDescent="0.25">
      <c r="A446" s="169"/>
      <c r="B446" s="145">
        <v>7147</v>
      </c>
      <c r="C446" s="170"/>
      <c r="D446" s="169" t="s">
        <v>36</v>
      </c>
      <c r="E446" s="171" t="s">
        <v>39</v>
      </c>
      <c r="F446" s="171"/>
      <c r="G446" s="172">
        <v>4.1999999999999997E-3</v>
      </c>
      <c r="H446" s="173">
        <f t="shared" si="62"/>
        <v>1178.5810642750407</v>
      </c>
      <c r="I446" s="174">
        <f t="shared" si="63"/>
        <v>22.67</v>
      </c>
      <c r="J446" s="175">
        <v>-1.0000000000001563E-2</v>
      </c>
      <c r="K446" s="176">
        <v>22.66</v>
      </c>
      <c r="L446" s="171"/>
      <c r="M446" s="169"/>
    </row>
    <row r="447" spans="1:13" s="125" customFormat="1" ht="15.6" x14ac:dyDescent="0.25">
      <c r="A447" s="169"/>
      <c r="B447" s="145">
        <v>7574</v>
      </c>
      <c r="C447" s="170"/>
      <c r="D447" s="169" t="s">
        <v>36</v>
      </c>
      <c r="E447" s="171" t="s">
        <v>39</v>
      </c>
      <c r="F447" s="171"/>
      <c r="G447" s="172">
        <v>4.1999999999999997E-3</v>
      </c>
      <c r="H447" s="173">
        <f t="shared" si="62"/>
        <v>1178.5810642750407</v>
      </c>
      <c r="I447" s="174">
        <f t="shared" si="63"/>
        <v>22.67</v>
      </c>
      <c r="J447" s="175">
        <v>-1.0000000000001563E-2</v>
      </c>
      <c r="K447" s="176">
        <v>22.66</v>
      </c>
      <c r="L447" s="171"/>
      <c r="M447" s="169"/>
    </row>
    <row r="448" spans="1:13" s="125" customFormat="1" ht="15.6" x14ac:dyDescent="0.25">
      <c r="A448" s="169"/>
      <c r="B448" s="145">
        <v>9063</v>
      </c>
      <c r="C448" s="170"/>
      <c r="D448" s="169" t="s">
        <v>36</v>
      </c>
      <c r="E448" s="171" t="s">
        <v>39</v>
      </c>
      <c r="F448" s="171"/>
      <c r="G448" s="172">
        <v>4.1999999999999997E-3</v>
      </c>
      <c r="H448" s="173">
        <f t="shared" si="62"/>
        <v>1178.5810642750407</v>
      </c>
      <c r="I448" s="174">
        <f t="shared" si="63"/>
        <v>22.67</v>
      </c>
      <c r="J448" s="175">
        <v>-1.0000000000001563E-2</v>
      </c>
      <c r="K448" s="176">
        <v>22.66</v>
      </c>
      <c r="L448" s="171"/>
      <c r="M448" s="169"/>
    </row>
    <row r="449" spans="1:13" s="125" customFormat="1" ht="15.6" x14ac:dyDescent="0.25">
      <c r="A449" s="169"/>
      <c r="B449" s="145">
        <v>9316</v>
      </c>
      <c r="C449" s="170"/>
      <c r="D449" s="169" t="s">
        <v>36</v>
      </c>
      <c r="E449" s="171" t="s">
        <v>39</v>
      </c>
      <c r="F449" s="171"/>
      <c r="G449" s="172">
        <v>4.1999999999999997E-3</v>
      </c>
      <c r="H449" s="173">
        <f t="shared" si="62"/>
        <v>1178.5810642750407</v>
      </c>
      <c r="I449" s="174">
        <f t="shared" si="63"/>
        <v>22.67</v>
      </c>
      <c r="J449" s="175">
        <v>-1.0000000000001563E-2</v>
      </c>
      <c r="K449" s="176">
        <v>22.66</v>
      </c>
      <c r="L449" s="187"/>
      <c r="M449" s="169"/>
    </row>
    <row r="450" spans="1:13" s="125" customFormat="1" ht="15.6" x14ac:dyDescent="0.25">
      <c r="A450" s="169"/>
      <c r="B450" s="145">
        <v>10075</v>
      </c>
      <c r="C450" s="170"/>
      <c r="D450" s="169" t="s">
        <v>36</v>
      </c>
      <c r="E450" s="171" t="s">
        <v>39</v>
      </c>
      <c r="F450" s="171"/>
      <c r="G450" s="172">
        <v>4.1999999999999997E-3</v>
      </c>
      <c r="H450" s="173">
        <f t="shared" si="62"/>
        <v>1178.5810642750407</v>
      </c>
      <c r="I450" s="174">
        <f t="shared" si="63"/>
        <v>22.67</v>
      </c>
      <c r="J450" s="175">
        <v>-1.0000000000001563E-2</v>
      </c>
      <c r="K450" s="176">
        <v>22.66</v>
      </c>
      <c r="L450" s="187"/>
      <c r="M450" s="169"/>
    </row>
    <row r="451" spans="1:13" s="125" customFormat="1" ht="15.6" x14ac:dyDescent="0.25">
      <c r="A451" s="169"/>
      <c r="B451" s="145">
        <v>10129</v>
      </c>
      <c r="C451" s="170"/>
      <c r="D451" s="169" t="s">
        <v>36</v>
      </c>
      <c r="E451" s="171" t="s">
        <v>39</v>
      </c>
      <c r="F451" s="171"/>
      <c r="G451" s="172">
        <v>4.1999999999999997E-3</v>
      </c>
      <c r="H451" s="173">
        <f t="shared" si="62"/>
        <v>1178.5810642750407</v>
      </c>
      <c r="I451" s="174">
        <f t="shared" si="63"/>
        <v>22.67</v>
      </c>
      <c r="J451" s="175">
        <v>-1.0000000000001563E-2</v>
      </c>
      <c r="K451" s="176">
        <v>22.66</v>
      </c>
      <c r="L451" s="171"/>
      <c r="M451" s="169"/>
    </row>
    <row r="452" spans="1:13" s="125" customFormat="1" ht="15.6" x14ac:dyDescent="0.25">
      <c r="A452" s="169"/>
      <c r="B452" s="145">
        <v>10176</v>
      </c>
      <c r="C452" s="170"/>
      <c r="D452" s="169" t="s">
        <v>36</v>
      </c>
      <c r="E452" s="171" t="s">
        <v>39</v>
      </c>
      <c r="F452" s="171"/>
      <c r="G452" s="172">
        <v>4.1999999999999997E-3</v>
      </c>
      <c r="H452" s="173">
        <f t="shared" si="62"/>
        <v>1178.5810642750407</v>
      </c>
      <c r="I452" s="174">
        <f t="shared" si="63"/>
        <v>22.67</v>
      </c>
      <c r="J452" s="175">
        <v>-1.0000000000001563E-2</v>
      </c>
      <c r="K452" s="176">
        <v>22.66</v>
      </c>
      <c r="L452" s="171"/>
      <c r="M452" s="169"/>
    </row>
    <row r="453" spans="1:13" s="125" customFormat="1" ht="15.6" x14ac:dyDescent="0.25">
      <c r="A453" s="169"/>
      <c r="B453" s="145">
        <v>10466</v>
      </c>
      <c r="C453" s="170"/>
      <c r="D453" s="169" t="s">
        <v>36</v>
      </c>
      <c r="E453" s="171" t="s">
        <v>39</v>
      </c>
      <c r="F453" s="171"/>
      <c r="G453" s="172">
        <v>4.1999999999999997E-3</v>
      </c>
      <c r="H453" s="173">
        <f t="shared" si="62"/>
        <v>1178.5810642750407</v>
      </c>
      <c r="I453" s="174">
        <f t="shared" si="63"/>
        <v>22.67</v>
      </c>
      <c r="J453" s="175">
        <v>-1.0000000000001563E-2</v>
      </c>
      <c r="K453" s="176">
        <v>22.66</v>
      </c>
      <c r="L453" s="171"/>
      <c r="M453" s="169"/>
    </row>
    <row r="454" spans="1:13" s="125" customFormat="1" ht="15.6" x14ac:dyDescent="0.25">
      <c r="A454" s="169"/>
      <c r="B454" s="145">
        <v>11274</v>
      </c>
      <c r="C454" s="170"/>
      <c r="D454" s="169" t="s">
        <v>40</v>
      </c>
      <c r="E454" s="171" t="s">
        <v>39</v>
      </c>
      <c r="F454" s="171"/>
      <c r="G454" s="172">
        <v>4.1999999999999997E-3</v>
      </c>
      <c r="H454" s="173">
        <f t="shared" si="62"/>
        <v>1178.5810642750407</v>
      </c>
      <c r="I454" s="174">
        <f t="shared" si="63"/>
        <v>22.67</v>
      </c>
      <c r="J454" s="175">
        <v>-1.0000000000001563E-2</v>
      </c>
      <c r="K454" s="176">
        <v>22.66</v>
      </c>
      <c r="L454" s="171"/>
      <c r="M454" s="169"/>
    </row>
    <row r="455" spans="1:13" s="125" customFormat="1" ht="15.6" x14ac:dyDescent="0.25">
      <c r="A455" s="169"/>
      <c r="B455" s="145">
        <v>11537</v>
      </c>
      <c r="C455" s="170"/>
      <c r="D455" s="169" t="s">
        <v>36</v>
      </c>
      <c r="E455" s="171" t="s">
        <v>39</v>
      </c>
      <c r="F455" s="171"/>
      <c r="G455" s="172">
        <v>4.1999999999999997E-3</v>
      </c>
      <c r="H455" s="173">
        <f t="shared" si="62"/>
        <v>1178.5810642750407</v>
      </c>
      <c r="I455" s="174">
        <f t="shared" si="63"/>
        <v>22.67</v>
      </c>
      <c r="J455" s="175">
        <v>-1.0000000000001563E-2</v>
      </c>
      <c r="K455" s="176">
        <v>22.66</v>
      </c>
      <c r="L455" s="171"/>
      <c r="M455" s="169"/>
    </row>
    <row r="456" spans="1:13" s="125" customFormat="1" ht="15.6" x14ac:dyDescent="0.25">
      <c r="A456" s="169"/>
      <c r="B456" s="145">
        <v>12226</v>
      </c>
      <c r="C456" s="170"/>
      <c r="D456" s="169" t="s">
        <v>36</v>
      </c>
      <c r="E456" s="171" t="s">
        <v>39</v>
      </c>
      <c r="F456" s="171"/>
      <c r="G456" s="172">
        <v>4.1999999999999997E-3</v>
      </c>
      <c r="H456" s="173">
        <f t="shared" si="62"/>
        <v>1178.5810642750407</v>
      </c>
      <c r="I456" s="174">
        <f t="shared" si="63"/>
        <v>22.67</v>
      </c>
      <c r="J456" s="175">
        <v>-1.0000000000001563E-2</v>
      </c>
      <c r="K456" s="176">
        <v>22.66</v>
      </c>
      <c r="L456" s="171"/>
      <c r="M456" s="169"/>
    </row>
    <row r="457" spans="1:13" s="125" customFormat="1" ht="15.6" x14ac:dyDescent="0.25">
      <c r="A457" s="169"/>
      <c r="B457" s="145">
        <v>12498</v>
      </c>
      <c r="C457" s="170"/>
      <c r="D457" s="169" t="s">
        <v>36</v>
      </c>
      <c r="E457" s="171" t="s">
        <v>39</v>
      </c>
      <c r="F457" s="171"/>
      <c r="G457" s="172">
        <v>5.3E-3</v>
      </c>
      <c r="H457" s="173">
        <f t="shared" si="62"/>
        <v>1487.2570572994562</v>
      </c>
      <c r="I457" s="174">
        <f t="shared" si="63"/>
        <v>28.6</v>
      </c>
      <c r="J457" s="175">
        <v>9.9999999999980105E-3</v>
      </c>
      <c r="K457" s="176">
        <v>28.61</v>
      </c>
      <c r="L457" s="169"/>
      <c r="M457" s="169"/>
    </row>
    <row r="458" spans="1:13" s="125" customFormat="1" ht="15.6" x14ac:dyDescent="0.25">
      <c r="A458" s="169"/>
      <c r="B458" s="145">
        <v>13451</v>
      </c>
      <c r="C458" s="170"/>
      <c r="D458" s="169" t="s">
        <v>36</v>
      </c>
      <c r="E458" s="171" t="s">
        <v>39</v>
      </c>
      <c r="F458" s="171"/>
      <c r="G458" s="172">
        <v>4.1999999999999997E-3</v>
      </c>
      <c r="H458" s="173">
        <f t="shared" si="62"/>
        <v>1178.5810642750407</v>
      </c>
      <c r="I458" s="174">
        <f t="shared" si="63"/>
        <v>22.67</v>
      </c>
      <c r="J458" s="175">
        <v>-1.0000000000001563E-2</v>
      </c>
      <c r="K458" s="176">
        <v>22.66</v>
      </c>
      <c r="L458" s="171"/>
      <c r="M458" s="169"/>
    </row>
    <row r="459" spans="1:13" s="125" customFormat="1" ht="15.6" x14ac:dyDescent="0.25">
      <c r="A459" s="169"/>
      <c r="B459" s="145">
        <v>13592</v>
      </c>
      <c r="C459" s="170"/>
      <c r="D459" s="169" t="s">
        <v>36</v>
      </c>
      <c r="E459" s="171" t="s">
        <v>39</v>
      </c>
      <c r="F459" s="171"/>
      <c r="G459" s="172">
        <v>4.1999999999999997E-3</v>
      </c>
      <c r="H459" s="173">
        <f t="shared" si="62"/>
        <v>1178.5810642750407</v>
      </c>
      <c r="I459" s="174">
        <f t="shared" si="63"/>
        <v>22.67</v>
      </c>
      <c r="J459" s="175">
        <v>-1.0000000000001563E-2</v>
      </c>
      <c r="K459" s="176">
        <v>22.66</v>
      </c>
      <c r="L459" s="171"/>
      <c r="M459" s="169"/>
    </row>
    <row r="460" spans="1:13" s="125" customFormat="1" ht="15.6" x14ac:dyDescent="0.25">
      <c r="A460" s="169"/>
      <c r="B460" s="145">
        <v>13670</v>
      </c>
      <c r="C460" s="170"/>
      <c r="D460" s="169" t="s">
        <v>36</v>
      </c>
      <c r="E460" s="171" t="s">
        <v>39</v>
      </c>
      <c r="F460" s="171"/>
      <c r="G460" s="172">
        <v>5.3E-3</v>
      </c>
      <c r="H460" s="173">
        <f t="shared" si="62"/>
        <v>1487.2570572994562</v>
      </c>
      <c r="I460" s="174">
        <f t="shared" si="63"/>
        <v>28.6</v>
      </c>
      <c r="J460" s="175">
        <v>9.9999999999980105E-3</v>
      </c>
      <c r="K460" s="176">
        <v>28.61</v>
      </c>
      <c r="L460" s="171"/>
      <c r="M460" s="169"/>
    </row>
    <row r="461" spans="1:13" s="125" customFormat="1" ht="15.6" x14ac:dyDescent="0.25">
      <c r="A461" s="169"/>
      <c r="B461" s="145">
        <v>13918</v>
      </c>
      <c r="C461" s="170"/>
      <c r="D461" s="169" t="s">
        <v>40</v>
      </c>
      <c r="E461" s="171" t="s">
        <v>39</v>
      </c>
      <c r="F461" s="171"/>
      <c r="G461" s="172">
        <v>5.3E-3</v>
      </c>
      <c r="H461" s="173">
        <f t="shared" si="62"/>
        <v>1487.2570572994562</v>
      </c>
      <c r="I461" s="174">
        <f t="shared" si="63"/>
        <v>28.6</v>
      </c>
      <c r="J461" s="175">
        <v>9.9999999999980105E-3</v>
      </c>
      <c r="K461" s="176">
        <v>28.61</v>
      </c>
      <c r="L461" s="171"/>
      <c r="M461" s="169"/>
    </row>
    <row r="462" spans="1:13" s="125" customFormat="1" ht="15.6" x14ac:dyDescent="0.25">
      <c r="A462" s="169"/>
      <c r="B462" s="145">
        <v>14206</v>
      </c>
      <c r="C462" s="170"/>
      <c r="D462" s="169" t="s">
        <v>36</v>
      </c>
      <c r="E462" s="171" t="s">
        <v>39</v>
      </c>
      <c r="F462" s="171"/>
      <c r="G462" s="172">
        <v>4.1999999999999997E-3</v>
      </c>
      <c r="H462" s="173">
        <f t="shared" si="62"/>
        <v>1178.5810642750407</v>
      </c>
      <c r="I462" s="174">
        <f t="shared" si="63"/>
        <v>22.67</v>
      </c>
      <c r="J462" s="175">
        <v>-1.0000000000001563E-2</v>
      </c>
      <c r="K462" s="176">
        <v>22.66</v>
      </c>
      <c r="L462" s="171"/>
      <c r="M462" s="169"/>
    </row>
    <row r="463" spans="1:13" s="125" customFormat="1" ht="15.6" x14ac:dyDescent="0.25">
      <c r="A463" s="169"/>
      <c r="B463" s="145">
        <v>14573</v>
      </c>
      <c r="C463" s="170"/>
      <c r="D463" s="169" t="s">
        <v>36</v>
      </c>
      <c r="E463" s="171" t="s">
        <v>39</v>
      </c>
      <c r="F463" s="171"/>
      <c r="G463" s="172">
        <v>4.1999999999999997E-3</v>
      </c>
      <c r="H463" s="173">
        <f t="shared" si="62"/>
        <v>1178.5810642750407</v>
      </c>
      <c r="I463" s="174">
        <f t="shared" si="63"/>
        <v>22.67</v>
      </c>
      <c r="J463" s="175">
        <v>-1.0000000000001563E-2</v>
      </c>
      <c r="K463" s="176">
        <v>22.66</v>
      </c>
      <c r="L463" s="171"/>
      <c r="M463" s="169"/>
    </row>
    <row r="464" spans="1:13" s="125" customFormat="1" ht="15.6" x14ac:dyDescent="0.25">
      <c r="A464" s="169"/>
      <c r="B464" s="145">
        <v>14624</v>
      </c>
      <c r="C464" s="170"/>
      <c r="D464" s="169" t="s">
        <v>40</v>
      </c>
      <c r="E464" s="171" t="s">
        <v>39</v>
      </c>
      <c r="F464" s="171"/>
      <c r="G464" s="172">
        <v>4.1999999999999997E-3</v>
      </c>
      <c r="H464" s="173">
        <f t="shared" si="62"/>
        <v>1178.5810642750407</v>
      </c>
      <c r="I464" s="174">
        <f t="shared" si="63"/>
        <v>22.67</v>
      </c>
      <c r="J464" s="175">
        <v>-1.0000000000001563E-2</v>
      </c>
      <c r="K464" s="176">
        <v>22.66</v>
      </c>
      <c r="L464" s="171"/>
      <c r="M464" s="169"/>
    </row>
    <row r="465" spans="1:13" s="125" customFormat="1" ht="15.6" x14ac:dyDescent="0.25">
      <c r="A465" s="169"/>
      <c r="B465" s="145">
        <v>14800</v>
      </c>
      <c r="C465" s="170"/>
      <c r="D465" s="169" t="s">
        <v>36</v>
      </c>
      <c r="E465" s="171" t="s">
        <v>39</v>
      </c>
      <c r="F465" s="171"/>
      <c r="G465" s="172">
        <v>4.1999999999999997E-3</v>
      </c>
      <c r="H465" s="173">
        <f t="shared" si="62"/>
        <v>1178.5810642750407</v>
      </c>
      <c r="I465" s="174">
        <f t="shared" si="63"/>
        <v>22.67</v>
      </c>
      <c r="J465" s="175">
        <v>-1.0000000000001563E-2</v>
      </c>
      <c r="K465" s="176">
        <v>22.66</v>
      </c>
      <c r="L465" s="171"/>
      <c r="M465" s="169"/>
    </row>
    <row r="466" spans="1:13" s="125" customFormat="1" ht="15.6" x14ac:dyDescent="0.25">
      <c r="A466" s="169"/>
      <c r="B466" s="145">
        <v>15033</v>
      </c>
      <c r="C466" s="170"/>
      <c r="D466" s="169" t="s">
        <v>40</v>
      </c>
      <c r="E466" s="171" t="s">
        <v>39</v>
      </c>
      <c r="F466" s="171"/>
      <c r="G466" s="172">
        <v>4.1999999999999997E-3</v>
      </c>
      <c r="H466" s="173">
        <f t="shared" si="62"/>
        <v>1178.5810642750407</v>
      </c>
      <c r="I466" s="174">
        <f t="shared" si="63"/>
        <v>22.67</v>
      </c>
      <c r="J466" s="175">
        <v>-1.0000000000001563E-2</v>
      </c>
      <c r="K466" s="176">
        <v>22.66</v>
      </c>
      <c r="L466" s="171"/>
      <c r="M466" s="169"/>
    </row>
    <row r="467" spans="1:13" s="125" customFormat="1" ht="15.6" x14ac:dyDescent="0.25">
      <c r="A467" s="169"/>
      <c r="B467" s="145">
        <v>15616</v>
      </c>
      <c r="C467" s="170"/>
      <c r="D467" s="169" t="s">
        <v>40</v>
      </c>
      <c r="E467" s="171" t="s">
        <v>39</v>
      </c>
      <c r="F467" s="171"/>
      <c r="G467" s="172">
        <v>4.1999999999999997E-3</v>
      </c>
      <c r="H467" s="173">
        <f t="shared" si="62"/>
        <v>1178.5810642750407</v>
      </c>
      <c r="I467" s="174">
        <f t="shared" si="63"/>
        <v>22.67</v>
      </c>
      <c r="J467" s="175">
        <v>-1.0000000000001563E-2</v>
      </c>
      <c r="K467" s="176">
        <v>22.66</v>
      </c>
      <c r="L467" s="171"/>
      <c r="M467" s="169"/>
    </row>
    <row r="468" spans="1:13" s="125" customFormat="1" ht="15.6" x14ac:dyDescent="0.25">
      <c r="A468" s="169"/>
      <c r="B468" s="145">
        <v>16420</v>
      </c>
      <c r="C468" s="170"/>
      <c r="D468" s="169" t="s">
        <v>36</v>
      </c>
      <c r="E468" s="171" t="s">
        <v>39</v>
      </c>
      <c r="F468" s="171"/>
      <c r="G468" s="172">
        <v>5.3E-3</v>
      </c>
      <c r="H468" s="173">
        <f t="shared" si="62"/>
        <v>1487.2570572994562</v>
      </c>
      <c r="I468" s="174">
        <f t="shared" si="63"/>
        <v>28.6</v>
      </c>
      <c r="J468" s="175">
        <v>9.9999999999980105E-3</v>
      </c>
      <c r="K468" s="176">
        <v>28.61</v>
      </c>
      <c r="L468" s="171"/>
      <c r="M468" s="169"/>
    </row>
    <row r="469" spans="1:13" s="125" customFormat="1" ht="15.6" x14ac:dyDescent="0.25">
      <c r="A469" s="169"/>
      <c r="B469" s="145">
        <v>17052</v>
      </c>
      <c r="C469" s="170"/>
      <c r="D469" s="169" t="s">
        <v>36</v>
      </c>
      <c r="E469" s="171" t="s">
        <v>39</v>
      </c>
      <c r="F469" s="171"/>
      <c r="G469" s="172">
        <v>4.1999999999999997E-3</v>
      </c>
      <c r="H469" s="173">
        <f t="shared" si="62"/>
        <v>1178.5810642750407</v>
      </c>
      <c r="I469" s="174">
        <f t="shared" si="63"/>
        <v>22.67</v>
      </c>
      <c r="J469" s="175">
        <v>-1.0000000000001563E-2</v>
      </c>
      <c r="K469" s="176">
        <v>22.66</v>
      </c>
      <c r="L469" s="171"/>
      <c r="M469" s="169"/>
    </row>
    <row r="470" spans="1:13" s="125" customFormat="1" ht="15.6" x14ac:dyDescent="0.25">
      <c r="A470" s="169"/>
      <c r="B470" s="145">
        <v>17970</v>
      </c>
      <c r="C470" s="170"/>
      <c r="D470" s="169" t="s">
        <v>40</v>
      </c>
      <c r="E470" s="171" t="s">
        <v>39</v>
      </c>
      <c r="F470" s="171"/>
      <c r="G470" s="172">
        <v>4.1999999999999997E-3</v>
      </c>
      <c r="H470" s="173">
        <f t="shared" si="62"/>
        <v>1178.5810642750407</v>
      </c>
      <c r="I470" s="174">
        <f t="shared" si="63"/>
        <v>22.67</v>
      </c>
      <c r="J470" s="175">
        <v>-1.0000000000001563E-2</v>
      </c>
      <c r="K470" s="176">
        <v>22.66</v>
      </c>
      <c r="L470" s="171"/>
      <c r="M470" s="169"/>
    </row>
    <row r="471" spans="1:13" s="125" customFormat="1" ht="15.6" x14ac:dyDescent="0.25">
      <c r="A471" s="169"/>
      <c r="B471" s="145">
        <v>18438</v>
      </c>
      <c r="C471" s="170"/>
      <c r="D471" s="169" t="s">
        <v>36</v>
      </c>
      <c r="E471" s="171" t="s">
        <v>39</v>
      </c>
      <c r="F471" s="171"/>
      <c r="G471" s="172">
        <v>4.1999999999999997E-3</v>
      </c>
      <c r="H471" s="173">
        <f t="shared" si="62"/>
        <v>1178.5810642750407</v>
      </c>
      <c r="I471" s="174">
        <f t="shared" si="63"/>
        <v>22.67</v>
      </c>
      <c r="J471" s="175">
        <v>-1.0000000000001563E-2</v>
      </c>
      <c r="K471" s="176">
        <v>22.66</v>
      </c>
      <c r="L471" s="171"/>
      <c r="M471" s="169"/>
    </row>
    <row r="472" spans="1:13" s="125" customFormat="1" ht="15.6" x14ac:dyDescent="0.25">
      <c r="A472" s="169"/>
      <c r="B472" s="145">
        <v>18690</v>
      </c>
      <c r="C472" s="170"/>
      <c r="D472" s="169" t="s">
        <v>40</v>
      </c>
      <c r="E472" s="171" t="s">
        <v>39</v>
      </c>
      <c r="F472" s="171"/>
      <c r="G472" s="172">
        <v>4.1999999999999997E-3</v>
      </c>
      <c r="H472" s="173">
        <f t="shared" si="62"/>
        <v>1178.5810642750407</v>
      </c>
      <c r="I472" s="174">
        <f t="shared" si="63"/>
        <v>22.67</v>
      </c>
      <c r="J472" s="175">
        <v>-1.0000000000001563E-2</v>
      </c>
      <c r="K472" s="176">
        <v>22.66</v>
      </c>
      <c r="L472" s="171"/>
      <c r="M472" s="169"/>
    </row>
    <row r="473" spans="1:13" s="125" customFormat="1" ht="15.6" x14ac:dyDescent="0.25">
      <c r="A473" s="169"/>
      <c r="B473" s="145">
        <v>18902</v>
      </c>
      <c r="C473" s="170"/>
      <c r="D473" s="169" t="s">
        <v>40</v>
      </c>
      <c r="E473" s="171" t="s">
        <v>39</v>
      </c>
      <c r="F473" s="171"/>
      <c r="G473" s="172">
        <v>4.1999999999999997E-3</v>
      </c>
      <c r="H473" s="173">
        <f t="shared" si="62"/>
        <v>1178.5810642750407</v>
      </c>
      <c r="I473" s="174">
        <f t="shared" si="63"/>
        <v>22.67</v>
      </c>
      <c r="J473" s="175">
        <v>-1.0000000000001563E-2</v>
      </c>
      <c r="K473" s="176">
        <v>22.66</v>
      </c>
      <c r="L473" s="171"/>
      <c r="M473" s="169"/>
    </row>
    <row r="474" spans="1:13" s="125" customFormat="1" ht="15.6" x14ac:dyDescent="0.25">
      <c r="A474" s="169"/>
      <c r="B474" s="145">
        <v>19255</v>
      </c>
      <c r="C474" s="170"/>
      <c r="D474" s="169" t="s">
        <v>40</v>
      </c>
      <c r="E474" s="171" t="s">
        <v>39</v>
      </c>
      <c r="F474" s="171"/>
      <c r="G474" s="172">
        <v>5.3E-3</v>
      </c>
      <c r="H474" s="173">
        <f t="shared" si="62"/>
        <v>1487.2570572994562</v>
      </c>
      <c r="I474" s="174">
        <f t="shared" si="63"/>
        <v>28.6</v>
      </c>
      <c r="J474" s="175">
        <v>9.9999999999980105E-3</v>
      </c>
      <c r="K474" s="176">
        <v>28.61</v>
      </c>
      <c r="L474" s="186"/>
      <c r="M474" s="169"/>
    </row>
    <row r="475" spans="1:13" s="125" customFormat="1" ht="15.6" x14ac:dyDescent="0.25">
      <c r="A475" s="169"/>
      <c r="B475" s="145">
        <v>19820</v>
      </c>
      <c r="C475" s="170"/>
      <c r="D475" s="169" t="s">
        <v>36</v>
      </c>
      <c r="E475" s="171" t="s">
        <v>39</v>
      </c>
      <c r="F475" s="171"/>
      <c r="G475" s="172">
        <v>4.1999999999999997E-3</v>
      </c>
      <c r="H475" s="173">
        <f t="shared" si="62"/>
        <v>1178.5810642750407</v>
      </c>
      <c r="I475" s="174">
        <f t="shared" si="63"/>
        <v>22.67</v>
      </c>
      <c r="J475" s="175">
        <v>-1.0000000000001563E-2</v>
      </c>
      <c r="K475" s="176">
        <v>22.66</v>
      </c>
      <c r="L475" s="171"/>
      <c r="M475" s="169"/>
    </row>
    <row r="476" spans="1:13" s="125" customFormat="1" ht="15.6" x14ac:dyDescent="0.25">
      <c r="A476" s="169"/>
      <c r="B476" s="145">
        <v>19843</v>
      </c>
      <c r="C476" s="170"/>
      <c r="D476" s="169" t="s">
        <v>36</v>
      </c>
      <c r="E476" s="171" t="s">
        <v>39</v>
      </c>
      <c r="F476" s="171"/>
      <c r="G476" s="172">
        <v>5.3E-3</v>
      </c>
      <c r="H476" s="173">
        <f t="shared" si="62"/>
        <v>1487.2570572994562</v>
      </c>
      <c r="I476" s="174">
        <f t="shared" si="63"/>
        <v>28.6</v>
      </c>
      <c r="J476" s="175">
        <v>9.9999999999980105E-3</v>
      </c>
      <c r="K476" s="176">
        <v>28.61</v>
      </c>
      <c r="L476" s="171"/>
      <c r="M476" s="169"/>
    </row>
    <row r="477" spans="1:13" s="125" customFormat="1" ht="15.6" x14ac:dyDescent="0.25">
      <c r="A477" s="169"/>
      <c r="B477" s="145">
        <v>19951</v>
      </c>
      <c r="C477" s="170"/>
      <c r="D477" s="169" t="s">
        <v>36</v>
      </c>
      <c r="E477" s="171" t="s">
        <v>39</v>
      </c>
      <c r="F477" s="171"/>
      <c r="G477" s="172">
        <v>4.1999999999999997E-3</v>
      </c>
      <c r="H477" s="173">
        <f t="shared" si="62"/>
        <v>1178.5810642750407</v>
      </c>
      <c r="I477" s="174">
        <f t="shared" si="63"/>
        <v>22.67</v>
      </c>
      <c r="J477" s="175">
        <v>-1.0000000000001563E-2</v>
      </c>
      <c r="K477" s="176">
        <v>22.66</v>
      </c>
      <c r="L477" s="171"/>
      <c r="M477" s="169"/>
    </row>
    <row r="478" spans="1:13" s="125" customFormat="1" ht="15.6" x14ac:dyDescent="0.25">
      <c r="A478" s="169"/>
      <c r="B478" s="145">
        <v>20422</v>
      </c>
      <c r="C478" s="170"/>
      <c r="D478" s="169" t="s">
        <v>40</v>
      </c>
      <c r="E478" s="171" t="s">
        <v>39</v>
      </c>
      <c r="F478" s="171"/>
      <c r="G478" s="172">
        <v>4.1999999999999997E-3</v>
      </c>
      <c r="H478" s="173">
        <f t="shared" si="62"/>
        <v>1178.5810642750407</v>
      </c>
      <c r="I478" s="174">
        <f t="shared" si="63"/>
        <v>22.67</v>
      </c>
      <c r="J478" s="175">
        <v>-1.0000000000001563E-2</v>
      </c>
      <c r="K478" s="176">
        <v>22.66</v>
      </c>
      <c r="L478" s="171"/>
      <c r="M478" s="169"/>
    </row>
    <row r="479" spans="1:13" s="125" customFormat="1" ht="15.6" x14ac:dyDescent="0.25">
      <c r="A479" s="169"/>
      <c r="B479" s="145">
        <v>21450</v>
      </c>
      <c r="C479" s="170"/>
      <c r="D479" s="169" t="s">
        <v>36</v>
      </c>
      <c r="E479" s="171" t="s">
        <v>39</v>
      </c>
      <c r="F479" s="171"/>
      <c r="G479" s="172">
        <v>4.1999999999999997E-3</v>
      </c>
      <c r="H479" s="173">
        <f t="shared" si="62"/>
        <v>1178.5810642750407</v>
      </c>
      <c r="I479" s="174">
        <f t="shared" si="63"/>
        <v>22.67</v>
      </c>
      <c r="J479" s="175">
        <v>-1.0000000000001563E-2</v>
      </c>
      <c r="K479" s="176">
        <v>22.66</v>
      </c>
      <c r="L479" s="171"/>
      <c r="M479" s="169"/>
    </row>
    <row r="480" spans="1:13" s="125" customFormat="1" ht="15.6" x14ac:dyDescent="0.25">
      <c r="A480" s="169"/>
      <c r="B480" s="145">
        <v>22284</v>
      </c>
      <c r="C480" s="170"/>
      <c r="D480" s="169" t="s">
        <v>36</v>
      </c>
      <c r="E480" s="171" t="s">
        <v>39</v>
      </c>
      <c r="F480" s="171"/>
      <c r="G480" s="172">
        <v>4.1999999999999997E-3</v>
      </c>
      <c r="H480" s="173">
        <f t="shared" si="62"/>
        <v>1178.5810642750407</v>
      </c>
      <c r="I480" s="174">
        <f t="shared" si="63"/>
        <v>22.67</v>
      </c>
      <c r="J480" s="175">
        <v>-1.0000000000001563E-2</v>
      </c>
      <c r="K480" s="176">
        <v>22.66</v>
      </c>
      <c r="L480" s="171"/>
      <c r="M480" s="169"/>
    </row>
    <row r="481" spans="1:13" s="125" customFormat="1" ht="15.6" x14ac:dyDescent="0.25">
      <c r="A481" s="169"/>
      <c r="B481" s="145">
        <v>22316</v>
      </c>
      <c r="C481" s="170"/>
      <c r="D481" s="169" t="s">
        <v>36</v>
      </c>
      <c r="E481" s="171" t="s">
        <v>39</v>
      </c>
      <c r="F481" s="171"/>
      <c r="G481" s="172">
        <v>4.1999999999999997E-3</v>
      </c>
      <c r="H481" s="173">
        <f t="shared" si="62"/>
        <v>1178.5810642750407</v>
      </c>
      <c r="I481" s="174">
        <f t="shared" si="63"/>
        <v>22.67</v>
      </c>
      <c r="J481" s="175">
        <v>-1.0000000000001563E-2</v>
      </c>
      <c r="K481" s="176">
        <v>22.66</v>
      </c>
      <c r="L481" s="171"/>
      <c r="M481" s="169"/>
    </row>
    <row r="482" spans="1:13" s="125" customFormat="1" ht="15.6" x14ac:dyDescent="0.25">
      <c r="A482" s="169"/>
      <c r="B482" s="145">
        <v>24067</v>
      </c>
      <c r="C482" s="170"/>
      <c r="D482" s="169" t="s">
        <v>36</v>
      </c>
      <c r="E482" s="171" t="s">
        <v>39</v>
      </c>
      <c r="F482" s="171"/>
      <c r="G482" s="172">
        <v>4.1999999999999997E-3</v>
      </c>
      <c r="H482" s="173">
        <f t="shared" si="62"/>
        <v>1178.5810642750407</v>
      </c>
      <c r="I482" s="174">
        <f t="shared" si="63"/>
        <v>22.67</v>
      </c>
      <c r="J482" s="175">
        <v>-1.0000000000001563E-2</v>
      </c>
      <c r="K482" s="176">
        <v>22.66</v>
      </c>
      <c r="L482" s="171"/>
      <c r="M482" s="169"/>
    </row>
    <row r="483" spans="1:13" s="125" customFormat="1" ht="15.6" x14ac:dyDescent="0.25">
      <c r="A483" s="169"/>
      <c r="B483" s="145">
        <v>24093</v>
      </c>
      <c r="C483" s="170"/>
      <c r="D483" s="169" t="s">
        <v>36</v>
      </c>
      <c r="E483" s="171" t="s">
        <v>39</v>
      </c>
      <c r="F483" s="171"/>
      <c r="G483" s="172">
        <v>4.1999999999999997E-3</v>
      </c>
      <c r="H483" s="173">
        <f t="shared" si="62"/>
        <v>1178.5810642750407</v>
      </c>
      <c r="I483" s="174">
        <f t="shared" si="63"/>
        <v>22.67</v>
      </c>
      <c r="J483" s="175">
        <v>-1.0000000000001563E-2</v>
      </c>
      <c r="K483" s="176">
        <v>22.66</v>
      </c>
      <c r="L483" s="171"/>
      <c r="M483" s="169"/>
    </row>
    <row r="484" spans="1:13" s="125" customFormat="1" ht="15.6" x14ac:dyDescent="0.25">
      <c r="A484" s="169"/>
      <c r="B484" s="145">
        <v>24136</v>
      </c>
      <c r="C484" s="170"/>
      <c r="D484" s="169" t="s">
        <v>36</v>
      </c>
      <c r="E484" s="171" t="s">
        <v>39</v>
      </c>
      <c r="F484" s="171"/>
      <c r="G484" s="172">
        <v>4.1999999999999997E-3</v>
      </c>
      <c r="H484" s="173">
        <f t="shared" si="62"/>
        <v>1178.5810642750407</v>
      </c>
      <c r="I484" s="174">
        <f t="shared" si="63"/>
        <v>22.67</v>
      </c>
      <c r="J484" s="175">
        <v>-1.0000000000001563E-2</v>
      </c>
      <c r="K484" s="176">
        <v>22.66</v>
      </c>
      <c r="L484" s="171"/>
      <c r="M484" s="169"/>
    </row>
    <row r="485" spans="1:13" s="125" customFormat="1" ht="15.6" x14ac:dyDescent="0.25">
      <c r="A485" s="169"/>
      <c r="B485" s="145">
        <v>24829</v>
      </c>
      <c r="C485" s="170"/>
      <c r="D485" s="169" t="s">
        <v>36</v>
      </c>
      <c r="E485" s="171" t="s">
        <v>39</v>
      </c>
      <c r="F485" s="171"/>
      <c r="G485" s="172">
        <v>4.1999999999999997E-3</v>
      </c>
      <c r="H485" s="173">
        <f t="shared" si="62"/>
        <v>1178.5810642750407</v>
      </c>
      <c r="I485" s="174">
        <f t="shared" si="63"/>
        <v>22.67</v>
      </c>
      <c r="J485" s="175">
        <v>-1.0000000000001563E-2</v>
      </c>
      <c r="K485" s="176">
        <v>22.66</v>
      </c>
      <c r="L485" s="171"/>
      <c r="M485" s="169"/>
    </row>
    <row r="486" spans="1:13" s="125" customFormat="1" ht="15.6" x14ac:dyDescent="0.25">
      <c r="A486" s="169"/>
      <c r="B486" s="145">
        <v>24947</v>
      </c>
      <c r="C486" s="170"/>
      <c r="D486" s="169" t="s">
        <v>36</v>
      </c>
      <c r="E486" s="171" t="s">
        <v>39</v>
      </c>
      <c r="F486" s="171"/>
      <c r="G486" s="172">
        <v>4.1999999999999997E-3</v>
      </c>
      <c r="H486" s="173">
        <f t="shared" si="62"/>
        <v>1178.5810642750407</v>
      </c>
      <c r="I486" s="174">
        <f t="shared" si="63"/>
        <v>22.67</v>
      </c>
      <c r="J486" s="175">
        <v>-1.0000000000001563E-2</v>
      </c>
      <c r="K486" s="176">
        <v>22.66</v>
      </c>
      <c r="L486" s="171"/>
      <c r="M486" s="169"/>
    </row>
    <row r="487" spans="1:13" s="125" customFormat="1" ht="15.6" x14ac:dyDescent="0.25">
      <c r="A487" s="169"/>
      <c r="B487" s="145">
        <v>25147</v>
      </c>
      <c r="C487" s="170"/>
      <c r="D487" s="169" t="s">
        <v>36</v>
      </c>
      <c r="E487" s="171" t="s">
        <v>39</v>
      </c>
      <c r="F487" s="171"/>
      <c r="G487" s="172">
        <v>4.1999999999999997E-3</v>
      </c>
      <c r="H487" s="173">
        <f t="shared" si="62"/>
        <v>1178.5810642750407</v>
      </c>
      <c r="I487" s="174">
        <f t="shared" si="63"/>
        <v>22.67</v>
      </c>
      <c r="J487" s="175">
        <v>-1.0000000000001563E-2</v>
      </c>
      <c r="K487" s="176">
        <v>22.66</v>
      </c>
      <c r="L487" s="171"/>
      <c r="M487" s="169"/>
    </row>
    <row r="488" spans="1:13" s="125" customFormat="1" ht="15.6" x14ac:dyDescent="0.25">
      <c r="A488" s="169"/>
      <c r="B488" s="145">
        <v>25389</v>
      </c>
      <c r="C488" s="170"/>
      <c r="D488" s="169" t="s">
        <v>40</v>
      </c>
      <c r="E488" s="171" t="s">
        <v>39</v>
      </c>
      <c r="F488" s="171"/>
      <c r="G488" s="172">
        <v>4.1999999999999997E-3</v>
      </c>
      <c r="H488" s="173">
        <f t="shared" si="62"/>
        <v>1178.5810642750407</v>
      </c>
      <c r="I488" s="174">
        <f t="shared" si="63"/>
        <v>22.67</v>
      </c>
      <c r="J488" s="175">
        <v>-1.0000000000001563E-2</v>
      </c>
      <c r="K488" s="176">
        <v>22.66</v>
      </c>
      <c r="L488" s="171"/>
      <c r="M488" s="169"/>
    </row>
    <row r="489" spans="1:13" s="125" customFormat="1" ht="15.6" x14ac:dyDescent="0.25">
      <c r="A489" s="169"/>
      <c r="B489" s="145">
        <v>25482</v>
      </c>
      <c r="C489" s="170"/>
      <c r="D489" s="169" t="s">
        <v>36</v>
      </c>
      <c r="E489" s="171" t="s">
        <v>39</v>
      </c>
      <c r="F489" s="171"/>
      <c r="G489" s="172">
        <v>4.1999999999999997E-3</v>
      </c>
      <c r="H489" s="173">
        <f t="shared" si="62"/>
        <v>1178.5810642750407</v>
      </c>
      <c r="I489" s="174">
        <f t="shared" si="63"/>
        <v>22.67</v>
      </c>
      <c r="J489" s="175">
        <v>-1.0000000000001563E-2</v>
      </c>
      <c r="K489" s="176">
        <v>22.66</v>
      </c>
      <c r="L489" s="171"/>
      <c r="M489" s="169"/>
    </row>
    <row r="490" spans="1:13" s="125" customFormat="1" ht="15.6" x14ac:dyDescent="0.25">
      <c r="A490" s="169"/>
      <c r="B490" s="145">
        <v>25653</v>
      </c>
      <c r="C490" s="170"/>
      <c r="D490" s="169" t="s">
        <v>40</v>
      </c>
      <c r="E490" s="171" t="s">
        <v>39</v>
      </c>
      <c r="F490" s="171"/>
      <c r="G490" s="172">
        <v>4.1999999999999997E-3</v>
      </c>
      <c r="H490" s="173">
        <f t="shared" si="62"/>
        <v>1178.5810642750407</v>
      </c>
      <c r="I490" s="174">
        <f t="shared" si="63"/>
        <v>22.67</v>
      </c>
      <c r="J490" s="175">
        <v>-1.0000000000001563E-2</v>
      </c>
      <c r="K490" s="176">
        <v>22.66</v>
      </c>
      <c r="L490" s="171"/>
      <c r="M490" s="169"/>
    </row>
    <row r="491" spans="1:13" s="125" customFormat="1" ht="15.6" x14ac:dyDescent="0.25">
      <c r="A491" s="169"/>
      <c r="B491" s="145">
        <v>25790</v>
      </c>
      <c r="C491" s="170"/>
      <c r="D491" s="169" t="s">
        <v>36</v>
      </c>
      <c r="E491" s="171" t="s">
        <v>39</v>
      </c>
      <c r="F491" s="171"/>
      <c r="G491" s="172">
        <v>4.1999999999999997E-3</v>
      </c>
      <c r="H491" s="173">
        <f t="shared" si="62"/>
        <v>1178.5810642750407</v>
      </c>
      <c r="I491" s="174">
        <f t="shared" si="63"/>
        <v>22.67</v>
      </c>
      <c r="J491" s="175">
        <v>-1.0000000000001563E-2</v>
      </c>
      <c r="K491" s="176">
        <v>22.66</v>
      </c>
      <c r="L491" s="171"/>
      <c r="M491" s="169"/>
    </row>
    <row r="492" spans="1:13" s="125" customFormat="1" ht="15.6" x14ac:dyDescent="0.25">
      <c r="A492" s="169"/>
      <c r="B492" s="145">
        <v>26701</v>
      </c>
      <c r="C492" s="170"/>
      <c r="D492" s="169" t="s">
        <v>36</v>
      </c>
      <c r="E492" s="171" t="s">
        <v>39</v>
      </c>
      <c r="F492" s="171"/>
      <c r="G492" s="172">
        <v>4.1999999999999997E-3</v>
      </c>
      <c r="H492" s="173">
        <f t="shared" ref="H492:H555" si="64">G492/$G$659*$H$659</f>
        <v>1178.5810642750407</v>
      </c>
      <c r="I492" s="174">
        <f t="shared" ref="I492:I555" si="65">ROUND(H492/52,2)</f>
        <v>22.67</v>
      </c>
      <c r="J492" s="175">
        <v>-1.0000000000001563E-2</v>
      </c>
      <c r="K492" s="176">
        <v>22.66</v>
      </c>
      <c r="L492" s="171"/>
      <c r="M492" s="169"/>
    </row>
    <row r="493" spans="1:13" s="125" customFormat="1" ht="15.6" x14ac:dyDescent="0.25">
      <c r="A493" s="169"/>
      <c r="B493" s="145">
        <v>26842</v>
      </c>
      <c r="C493" s="170"/>
      <c r="D493" s="169" t="s">
        <v>40</v>
      </c>
      <c r="E493" s="171" t="s">
        <v>39</v>
      </c>
      <c r="F493" s="171"/>
      <c r="G493" s="172">
        <v>4.1999999999999997E-3</v>
      </c>
      <c r="H493" s="173">
        <f t="shared" si="64"/>
        <v>1178.5810642750407</v>
      </c>
      <c r="I493" s="174">
        <f t="shared" si="65"/>
        <v>22.67</v>
      </c>
      <c r="J493" s="175">
        <v>-1.0000000000001563E-2</v>
      </c>
      <c r="K493" s="176">
        <v>22.66</v>
      </c>
      <c r="L493" s="171"/>
      <c r="M493" s="169"/>
    </row>
    <row r="494" spans="1:13" s="125" customFormat="1" ht="15.6" x14ac:dyDescent="0.25">
      <c r="A494" s="169"/>
      <c r="B494" s="145">
        <v>26844</v>
      </c>
      <c r="C494" s="170"/>
      <c r="D494" s="169" t="s">
        <v>40</v>
      </c>
      <c r="E494" s="171" t="s">
        <v>39</v>
      </c>
      <c r="F494" s="171"/>
      <c r="G494" s="172">
        <v>4.1999999999999997E-3</v>
      </c>
      <c r="H494" s="173">
        <f t="shared" si="64"/>
        <v>1178.5810642750407</v>
      </c>
      <c r="I494" s="174">
        <f t="shared" si="65"/>
        <v>22.67</v>
      </c>
      <c r="J494" s="175">
        <v>-1.0000000000001563E-2</v>
      </c>
      <c r="K494" s="176">
        <v>22.66</v>
      </c>
      <c r="L494" s="187"/>
      <c r="M494" s="169"/>
    </row>
    <row r="495" spans="1:13" s="125" customFormat="1" ht="15.6" x14ac:dyDescent="0.25">
      <c r="A495" s="169"/>
      <c r="B495" s="145">
        <v>27161</v>
      </c>
      <c r="C495" s="170"/>
      <c r="D495" s="169" t="s">
        <v>40</v>
      </c>
      <c r="E495" s="171" t="s">
        <v>39</v>
      </c>
      <c r="F495" s="171"/>
      <c r="G495" s="172">
        <v>4.1999999999999997E-3</v>
      </c>
      <c r="H495" s="173">
        <f t="shared" si="64"/>
        <v>1178.5810642750407</v>
      </c>
      <c r="I495" s="174">
        <f t="shared" si="65"/>
        <v>22.67</v>
      </c>
      <c r="J495" s="175">
        <v>-1.0000000000001563E-2</v>
      </c>
      <c r="K495" s="176">
        <v>22.66</v>
      </c>
      <c r="L495" s="171"/>
      <c r="M495" s="169"/>
    </row>
    <row r="496" spans="1:13" s="125" customFormat="1" ht="15.6" x14ac:dyDescent="0.25">
      <c r="A496" s="169"/>
      <c r="B496" s="145">
        <v>27411</v>
      </c>
      <c r="C496" s="170"/>
      <c r="D496" s="169" t="s">
        <v>40</v>
      </c>
      <c r="E496" s="171" t="s">
        <v>39</v>
      </c>
      <c r="F496" s="171"/>
      <c r="G496" s="172">
        <v>4.1999999999999997E-3</v>
      </c>
      <c r="H496" s="173">
        <f t="shared" si="64"/>
        <v>1178.5810642750407</v>
      </c>
      <c r="I496" s="174">
        <f t="shared" si="65"/>
        <v>22.67</v>
      </c>
      <c r="J496" s="175">
        <v>-1.0000000000001563E-2</v>
      </c>
      <c r="K496" s="176">
        <v>22.66</v>
      </c>
      <c r="L496" s="171"/>
      <c r="M496" s="169"/>
    </row>
    <row r="497" spans="1:13" s="125" customFormat="1" ht="15.6" x14ac:dyDescent="0.25">
      <c r="A497" s="169"/>
      <c r="B497" s="145">
        <v>27984</v>
      </c>
      <c r="C497" s="170"/>
      <c r="D497" s="169" t="s">
        <v>36</v>
      </c>
      <c r="E497" s="171" t="s">
        <v>39</v>
      </c>
      <c r="F497" s="171"/>
      <c r="G497" s="172">
        <v>4.1999999999999997E-3</v>
      </c>
      <c r="H497" s="173">
        <f t="shared" si="64"/>
        <v>1178.5810642750407</v>
      </c>
      <c r="I497" s="174">
        <f t="shared" si="65"/>
        <v>22.67</v>
      </c>
      <c r="J497" s="175">
        <v>-1.0000000000001563E-2</v>
      </c>
      <c r="K497" s="176">
        <v>22.66</v>
      </c>
      <c r="L497" s="171"/>
      <c r="M497" s="169"/>
    </row>
    <row r="498" spans="1:13" s="125" customFormat="1" ht="15.6" x14ac:dyDescent="0.25">
      <c r="A498" s="169"/>
      <c r="B498" s="145">
        <v>28229</v>
      </c>
      <c r="C498" s="170"/>
      <c r="D498" s="169" t="s">
        <v>40</v>
      </c>
      <c r="E498" s="171" t="s">
        <v>39</v>
      </c>
      <c r="F498" s="171"/>
      <c r="G498" s="172">
        <v>4.1999999999999997E-3</v>
      </c>
      <c r="H498" s="173">
        <f t="shared" si="64"/>
        <v>1178.5810642750407</v>
      </c>
      <c r="I498" s="174">
        <f t="shared" si="65"/>
        <v>22.67</v>
      </c>
      <c r="J498" s="175">
        <v>-1.0000000000001563E-2</v>
      </c>
      <c r="K498" s="176">
        <v>22.66</v>
      </c>
      <c r="L498" s="171"/>
      <c r="M498" s="169"/>
    </row>
    <row r="499" spans="1:13" s="125" customFormat="1" ht="15.6" x14ac:dyDescent="0.25">
      <c r="A499" s="169"/>
      <c r="B499" s="145">
        <v>28943</v>
      </c>
      <c r="C499" s="170"/>
      <c r="D499" s="169" t="s">
        <v>36</v>
      </c>
      <c r="E499" s="171" t="s">
        <v>39</v>
      </c>
      <c r="F499" s="171"/>
      <c r="G499" s="172">
        <v>4.1999999999999997E-3</v>
      </c>
      <c r="H499" s="173">
        <f t="shared" si="64"/>
        <v>1178.5810642750407</v>
      </c>
      <c r="I499" s="174">
        <f t="shared" si="65"/>
        <v>22.67</v>
      </c>
      <c r="J499" s="175">
        <v>-1.0000000000001563E-2</v>
      </c>
      <c r="K499" s="176">
        <v>22.66</v>
      </c>
      <c r="L499" s="171"/>
      <c r="M499" s="169"/>
    </row>
    <row r="500" spans="1:13" s="125" customFormat="1" ht="15.6" x14ac:dyDescent="0.25">
      <c r="A500" s="169"/>
      <c r="B500" s="145">
        <v>28947</v>
      </c>
      <c r="C500" s="170"/>
      <c r="D500" s="169" t="s">
        <v>36</v>
      </c>
      <c r="E500" s="171" t="s">
        <v>39</v>
      </c>
      <c r="F500" s="171"/>
      <c r="G500" s="172">
        <v>5.5999999999999999E-3</v>
      </c>
      <c r="H500" s="173">
        <f t="shared" si="64"/>
        <v>1571.4414190333875</v>
      </c>
      <c r="I500" s="174">
        <f t="shared" si="65"/>
        <v>30.22</v>
      </c>
      <c r="J500" s="175">
        <v>0</v>
      </c>
      <c r="K500" s="176">
        <v>30.22</v>
      </c>
      <c r="L500" s="171"/>
      <c r="M500" s="169"/>
    </row>
    <row r="501" spans="1:13" s="125" customFormat="1" ht="15.6" x14ac:dyDescent="0.25">
      <c r="A501" s="169"/>
      <c r="B501" s="145">
        <v>28996</v>
      </c>
      <c r="C501" s="170"/>
      <c r="D501" s="169" t="s">
        <v>36</v>
      </c>
      <c r="E501" s="171" t="s">
        <v>39</v>
      </c>
      <c r="F501" s="171"/>
      <c r="G501" s="172">
        <v>4.1999999999999997E-3</v>
      </c>
      <c r="H501" s="173">
        <f t="shared" si="64"/>
        <v>1178.5810642750407</v>
      </c>
      <c r="I501" s="174">
        <f t="shared" si="65"/>
        <v>22.67</v>
      </c>
      <c r="J501" s="175">
        <v>-1.0000000000001563E-2</v>
      </c>
      <c r="K501" s="176">
        <v>22.66</v>
      </c>
      <c r="L501" s="171"/>
      <c r="M501" s="169"/>
    </row>
    <row r="502" spans="1:13" s="125" customFormat="1" ht="15.6" x14ac:dyDescent="0.25">
      <c r="A502" s="169"/>
      <c r="B502" s="145">
        <v>29010</v>
      </c>
      <c r="C502" s="170"/>
      <c r="D502" s="169" t="s">
        <v>36</v>
      </c>
      <c r="E502" s="171" t="s">
        <v>39</v>
      </c>
      <c r="F502" s="171"/>
      <c r="G502" s="172">
        <v>4.1999999999999997E-3</v>
      </c>
      <c r="H502" s="173">
        <f t="shared" si="64"/>
        <v>1178.5810642750407</v>
      </c>
      <c r="I502" s="174">
        <f t="shared" si="65"/>
        <v>22.67</v>
      </c>
      <c r="J502" s="175">
        <v>-1.0000000000001563E-2</v>
      </c>
      <c r="K502" s="176">
        <v>22.66</v>
      </c>
      <c r="L502" s="171"/>
      <c r="M502" s="169"/>
    </row>
    <row r="503" spans="1:13" s="125" customFormat="1" ht="15.6" x14ac:dyDescent="0.25">
      <c r="A503" s="169"/>
      <c r="B503" s="145">
        <v>29058</v>
      </c>
      <c r="C503" s="170"/>
      <c r="D503" s="169" t="s">
        <v>40</v>
      </c>
      <c r="E503" s="171" t="s">
        <v>39</v>
      </c>
      <c r="F503" s="171"/>
      <c r="G503" s="172">
        <v>4.1999999999999997E-3</v>
      </c>
      <c r="H503" s="173">
        <f t="shared" si="64"/>
        <v>1178.5810642750407</v>
      </c>
      <c r="I503" s="174">
        <f t="shared" si="65"/>
        <v>22.67</v>
      </c>
      <c r="J503" s="175">
        <v>-1.0000000000001563E-2</v>
      </c>
      <c r="K503" s="176">
        <v>22.66</v>
      </c>
      <c r="L503" s="171"/>
      <c r="M503" s="169"/>
    </row>
    <row r="504" spans="1:13" s="125" customFormat="1" ht="15.6" x14ac:dyDescent="0.25">
      <c r="A504" s="169"/>
      <c r="B504" s="145">
        <v>29279</v>
      </c>
      <c r="C504" s="170"/>
      <c r="D504" s="169" t="s">
        <v>40</v>
      </c>
      <c r="E504" s="171" t="s">
        <v>39</v>
      </c>
      <c r="F504" s="171"/>
      <c r="G504" s="172">
        <v>4.1999999999999997E-3</v>
      </c>
      <c r="H504" s="173">
        <f t="shared" si="64"/>
        <v>1178.5810642750407</v>
      </c>
      <c r="I504" s="174">
        <f t="shared" si="65"/>
        <v>22.67</v>
      </c>
      <c r="J504" s="175">
        <v>-1.0000000000001563E-2</v>
      </c>
      <c r="K504" s="176">
        <v>22.66</v>
      </c>
      <c r="L504" s="171"/>
      <c r="M504" s="169"/>
    </row>
    <row r="505" spans="1:13" s="125" customFormat="1" ht="15.6" x14ac:dyDescent="0.25">
      <c r="A505" s="169"/>
      <c r="B505" s="145">
        <v>30679</v>
      </c>
      <c r="C505" s="170"/>
      <c r="D505" s="169" t="s">
        <v>36</v>
      </c>
      <c r="E505" s="171" t="s">
        <v>39</v>
      </c>
      <c r="F505" s="171"/>
      <c r="G505" s="172">
        <v>4.1999999999999997E-3</v>
      </c>
      <c r="H505" s="173">
        <f t="shared" si="64"/>
        <v>1178.5810642750407</v>
      </c>
      <c r="I505" s="174">
        <f t="shared" si="65"/>
        <v>22.67</v>
      </c>
      <c r="J505" s="175">
        <v>-1.0000000000001563E-2</v>
      </c>
      <c r="K505" s="176">
        <v>22.66</v>
      </c>
      <c r="L505" s="171"/>
      <c r="M505" s="169"/>
    </row>
    <row r="506" spans="1:13" s="125" customFormat="1" ht="15.6" x14ac:dyDescent="0.25">
      <c r="A506" s="169"/>
      <c r="B506" s="145">
        <v>30798</v>
      </c>
      <c r="C506" s="170"/>
      <c r="D506" s="169" t="s">
        <v>36</v>
      </c>
      <c r="E506" s="171" t="s">
        <v>39</v>
      </c>
      <c r="F506" s="171"/>
      <c r="G506" s="172">
        <v>4.1999999999999997E-3</v>
      </c>
      <c r="H506" s="173">
        <f t="shared" si="64"/>
        <v>1178.5810642750407</v>
      </c>
      <c r="I506" s="174">
        <f t="shared" si="65"/>
        <v>22.67</v>
      </c>
      <c r="J506" s="175">
        <v>-1.0000000000001563E-2</v>
      </c>
      <c r="K506" s="176">
        <v>22.66</v>
      </c>
      <c r="L506" s="171"/>
      <c r="M506" s="169"/>
    </row>
    <row r="507" spans="1:13" s="125" customFormat="1" ht="15.6" x14ac:dyDescent="0.25">
      <c r="A507" s="169"/>
      <c r="B507" s="145">
        <v>30852</v>
      </c>
      <c r="C507" s="170"/>
      <c r="D507" s="169" t="s">
        <v>36</v>
      </c>
      <c r="E507" s="171" t="s">
        <v>39</v>
      </c>
      <c r="F507" s="171"/>
      <c r="G507" s="172">
        <v>4.1999999999999997E-3</v>
      </c>
      <c r="H507" s="173">
        <f t="shared" si="64"/>
        <v>1178.5810642750407</v>
      </c>
      <c r="I507" s="174">
        <f t="shared" si="65"/>
        <v>22.67</v>
      </c>
      <c r="J507" s="175">
        <v>-1.0000000000001563E-2</v>
      </c>
      <c r="K507" s="176">
        <v>22.66</v>
      </c>
      <c r="L507" s="171"/>
      <c r="M507" s="169"/>
    </row>
    <row r="508" spans="1:13" s="125" customFormat="1" ht="15.6" x14ac:dyDescent="0.25">
      <c r="A508" s="169"/>
      <c r="B508" s="145">
        <v>31128</v>
      </c>
      <c r="C508" s="170"/>
      <c r="D508" s="169" t="s">
        <v>40</v>
      </c>
      <c r="E508" s="171" t="s">
        <v>39</v>
      </c>
      <c r="F508" s="171"/>
      <c r="G508" s="172">
        <v>5.3E-3</v>
      </c>
      <c r="H508" s="173">
        <f t="shared" si="64"/>
        <v>1487.2570572994562</v>
      </c>
      <c r="I508" s="174">
        <f t="shared" si="65"/>
        <v>28.6</v>
      </c>
      <c r="J508" s="175">
        <v>9.9999999999980105E-3</v>
      </c>
      <c r="K508" s="176">
        <v>28.61</v>
      </c>
      <c r="L508" s="171"/>
      <c r="M508" s="169"/>
    </row>
    <row r="509" spans="1:13" s="125" customFormat="1" ht="15.6" x14ac:dyDescent="0.25">
      <c r="A509" s="169"/>
      <c r="B509" s="145">
        <v>31183</v>
      </c>
      <c r="C509" s="170"/>
      <c r="D509" s="169" t="s">
        <v>40</v>
      </c>
      <c r="E509" s="171" t="s">
        <v>39</v>
      </c>
      <c r="F509" s="171"/>
      <c r="G509" s="172">
        <v>4.1999999999999997E-3</v>
      </c>
      <c r="H509" s="173">
        <f t="shared" si="64"/>
        <v>1178.5810642750407</v>
      </c>
      <c r="I509" s="174">
        <f t="shared" si="65"/>
        <v>22.67</v>
      </c>
      <c r="J509" s="175">
        <v>-1.0000000000001563E-2</v>
      </c>
      <c r="K509" s="176">
        <v>22.66</v>
      </c>
      <c r="L509" s="171"/>
      <c r="M509" s="169"/>
    </row>
    <row r="510" spans="1:13" s="125" customFormat="1" ht="15.6" x14ac:dyDescent="0.25">
      <c r="A510" s="169"/>
      <c r="B510" s="145">
        <v>31342</v>
      </c>
      <c r="C510" s="170"/>
      <c r="D510" s="169" t="s">
        <v>36</v>
      </c>
      <c r="E510" s="171" t="s">
        <v>39</v>
      </c>
      <c r="F510" s="171"/>
      <c r="G510" s="172">
        <v>4.1999999999999997E-3</v>
      </c>
      <c r="H510" s="173">
        <f t="shared" si="64"/>
        <v>1178.5810642750407</v>
      </c>
      <c r="I510" s="174">
        <f t="shared" si="65"/>
        <v>22.67</v>
      </c>
      <c r="J510" s="175">
        <v>-1.0000000000001563E-2</v>
      </c>
      <c r="K510" s="176">
        <v>22.66</v>
      </c>
      <c r="L510" s="171"/>
      <c r="M510" s="169"/>
    </row>
    <row r="511" spans="1:13" s="125" customFormat="1" ht="15.6" x14ac:dyDescent="0.25">
      <c r="A511" s="169"/>
      <c r="B511" s="145">
        <v>31791</v>
      </c>
      <c r="C511" s="170"/>
      <c r="D511" s="169" t="s">
        <v>40</v>
      </c>
      <c r="E511" s="171" t="s">
        <v>39</v>
      </c>
      <c r="F511" s="171"/>
      <c r="G511" s="172">
        <v>4.1999999999999997E-3</v>
      </c>
      <c r="H511" s="173">
        <f t="shared" si="64"/>
        <v>1178.5810642750407</v>
      </c>
      <c r="I511" s="174">
        <f t="shared" si="65"/>
        <v>22.67</v>
      </c>
      <c r="J511" s="175">
        <v>-1.0000000000001563E-2</v>
      </c>
      <c r="K511" s="176">
        <v>22.66</v>
      </c>
      <c r="L511" s="171"/>
      <c r="M511" s="169"/>
    </row>
    <row r="512" spans="1:13" s="125" customFormat="1" ht="15.6" x14ac:dyDescent="0.25">
      <c r="A512" s="169"/>
      <c r="B512" s="145">
        <v>33586</v>
      </c>
      <c r="C512" s="170"/>
      <c r="D512" s="169" t="s">
        <v>40</v>
      </c>
      <c r="E512" s="171" t="s">
        <v>39</v>
      </c>
      <c r="F512" s="171"/>
      <c r="G512" s="172">
        <v>4.1999999999999997E-3</v>
      </c>
      <c r="H512" s="173">
        <f t="shared" si="64"/>
        <v>1178.5810642750407</v>
      </c>
      <c r="I512" s="174">
        <f t="shared" si="65"/>
        <v>22.67</v>
      </c>
      <c r="J512" s="175">
        <v>-1.0000000000001563E-2</v>
      </c>
      <c r="K512" s="176">
        <v>22.66</v>
      </c>
      <c r="L512" s="171"/>
      <c r="M512" s="169"/>
    </row>
    <row r="513" spans="1:13" s="125" customFormat="1" ht="15.6" x14ac:dyDescent="0.25">
      <c r="A513" s="169"/>
      <c r="B513" s="145">
        <v>33680</v>
      </c>
      <c r="C513" s="170"/>
      <c r="D513" s="169" t="s">
        <v>36</v>
      </c>
      <c r="E513" s="171" t="s">
        <v>39</v>
      </c>
      <c r="F513" s="171"/>
      <c r="G513" s="172">
        <v>4.1999999999999997E-3</v>
      </c>
      <c r="H513" s="173">
        <f t="shared" si="64"/>
        <v>1178.5810642750407</v>
      </c>
      <c r="I513" s="174">
        <f t="shared" si="65"/>
        <v>22.67</v>
      </c>
      <c r="J513" s="175">
        <v>-1.0000000000001563E-2</v>
      </c>
      <c r="K513" s="176">
        <v>22.66</v>
      </c>
      <c r="L513" s="171"/>
      <c r="M513" s="169"/>
    </row>
    <row r="514" spans="1:13" s="125" customFormat="1" ht="15.6" x14ac:dyDescent="0.25">
      <c r="A514" s="169"/>
      <c r="B514" s="145">
        <v>33748</v>
      </c>
      <c r="C514" s="170"/>
      <c r="D514" s="169" t="s">
        <v>40</v>
      </c>
      <c r="E514" s="171" t="s">
        <v>39</v>
      </c>
      <c r="F514" s="171"/>
      <c r="G514" s="172">
        <v>4.1999999999999997E-3</v>
      </c>
      <c r="H514" s="173">
        <f t="shared" si="64"/>
        <v>1178.5810642750407</v>
      </c>
      <c r="I514" s="174">
        <f t="shared" si="65"/>
        <v>22.67</v>
      </c>
      <c r="J514" s="175">
        <v>-1.0000000000001563E-2</v>
      </c>
      <c r="K514" s="176">
        <v>22.66</v>
      </c>
      <c r="L514" s="171"/>
      <c r="M514" s="169"/>
    </row>
    <row r="515" spans="1:13" s="125" customFormat="1" ht="15.6" x14ac:dyDescent="0.25">
      <c r="A515" s="169"/>
      <c r="B515" s="145">
        <v>33817</v>
      </c>
      <c r="C515" s="170"/>
      <c r="D515" s="169" t="s">
        <v>36</v>
      </c>
      <c r="E515" s="171" t="s">
        <v>39</v>
      </c>
      <c r="F515" s="171"/>
      <c r="G515" s="172">
        <v>4.1999999999999997E-3</v>
      </c>
      <c r="H515" s="173">
        <f t="shared" si="64"/>
        <v>1178.5810642750407</v>
      </c>
      <c r="I515" s="174">
        <f t="shared" si="65"/>
        <v>22.67</v>
      </c>
      <c r="J515" s="175">
        <v>-1.0000000000001563E-2</v>
      </c>
      <c r="K515" s="176">
        <v>22.66</v>
      </c>
      <c r="L515" s="171"/>
      <c r="M515" s="169"/>
    </row>
    <row r="516" spans="1:13" s="125" customFormat="1" ht="15.6" x14ac:dyDescent="0.25">
      <c r="A516" s="169"/>
      <c r="B516" s="145">
        <v>34284</v>
      </c>
      <c r="C516" s="170"/>
      <c r="D516" s="169" t="s">
        <v>40</v>
      </c>
      <c r="E516" s="171" t="s">
        <v>39</v>
      </c>
      <c r="F516" s="171"/>
      <c r="G516" s="172">
        <v>4.1999999999999997E-3</v>
      </c>
      <c r="H516" s="173">
        <f t="shared" si="64"/>
        <v>1178.5810642750407</v>
      </c>
      <c r="I516" s="174">
        <f t="shared" si="65"/>
        <v>22.67</v>
      </c>
      <c r="J516" s="175">
        <v>-1.0000000000001563E-2</v>
      </c>
      <c r="K516" s="176">
        <v>22.66</v>
      </c>
      <c r="L516" s="171"/>
      <c r="M516" s="169"/>
    </row>
    <row r="517" spans="1:13" s="125" customFormat="1" ht="15.6" x14ac:dyDescent="0.25">
      <c r="A517" s="169"/>
      <c r="B517" s="145">
        <v>36392</v>
      </c>
      <c r="C517" s="170"/>
      <c r="D517" s="169" t="s">
        <v>36</v>
      </c>
      <c r="E517" s="171" t="s">
        <v>39</v>
      </c>
      <c r="F517" s="171"/>
      <c r="G517" s="172">
        <v>4.1999999999999997E-3</v>
      </c>
      <c r="H517" s="173">
        <f t="shared" si="64"/>
        <v>1178.5810642750407</v>
      </c>
      <c r="I517" s="174">
        <f t="shared" si="65"/>
        <v>22.67</v>
      </c>
      <c r="J517" s="175">
        <v>-1.0000000000001563E-2</v>
      </c>
      <c r="K517" s="176">
        <v>22.66</v>
      </c>
      <c r="L517" s="171"/>
      <c r="M517" s="169"/>
    </row>
    <row r="518" spans="1:13" s="125" customFormat="1" ht="15.6" x14ac:dyDescent="0.25">
      <c r="A518" s="169"/>
      <c r="B518" s="145">
        <v>36597</v>
      </c>
      <c r="C518" s="170"/>
      <c r="D518" s="169" t="s">
        <v>36</v>
      </c>
      <c r="E518" s="171" t="s">
        <v>39</v>
      </c>
      <c r="F518" s="171"/>
      <c r="G518" s="172">
        <v>4.1999999999999997E-3</v>
      </c>
      <c r="H518" s="173">
        <f t="shared" si="64"/>
        <v>1178.5810642750407</v>
      </c>
      <c r="I518" s="174">
        <f t="shared" si="65"/>
        <v>22.67</v>
      </c>
      <c r="J518" s="175">
        <v>-1.0000000000001563E-2</v>
      </c>
      <c r="K518" s="176">
        <v>22.66</v>
      </c>
      <c r="L518" s="171"/>
      <c r="M518" s="169"/>
    </row>
    <row r="519" spans="1:13" s="125" customFormat="1" ht="15.6" x14ac:dyDescent="0.25">
      <c r="A519" s="169"/>
      <c r="B519" s="145">
        <v>36608</v>
      </c>
      <c r="C519" s="170"/>
      <c r="D519" s="169" t="s">
        <v>36</v>
      </c>
      <c r="E519" s="171" t="s">
        <v>39</v>
      </c>
      <c r="F519" s="171"/>
      <c r="G519" s="172">
        <v>4.1999999999999997E-3</v>
      </c>
      <c r="H519" s="173">
        <f t="shared" si="64"/>
        <v>1178.5810642750407</v>
      </c>
      <c r="I519" s="174">
        <f t="shared" si="65"/>
        <v>22.67</v>
      </c>
      <c r="J519" s="175">
        <v>-1.0000000000001563E-2</v>
      </c>
      <c r="K519" s="176">
        <v>22.66</v>
      </c>
      <c r="L519" s="171"/>
      <c r="M519" s="169"/>
    </row>
    <row r="520" spans="1:13" s="125" customFormat="1" ht="15.6" x14ac:dyDescent="0.25">
      <c r="A520" s="169"/>
      <c r="B520" s="145">
        <v>37559</v>
      </c>
      <c r="C520" s="170"/>
      <c r="D520" s="169" t="s">
        <v>40</v>
      </c>
      <c r="E520" s="171" t="s">
        <v>39</v>
      </c>
      <c r="F520" s="171"/>
      <c r="G520" s="172">
        <v>4.1999999999999997E-3</v>
      </c>
      <c r="H520" s="173">
        <f t="shared" si="64"/>
        <v>1178.5810642750407</v>
      </c>
      <c r="I520" s="174">
        <f t="shared" si="65"/>
        <v>22.67</v>
      </c>
      <c r="J520" s="175">
        <v>-1.0000000000001563E-2</v>
      </c>
      <c r="K520" s="176">
        <v>22.66</v>
      </c>
      <c r="L520" s="171"/>
      <c r="M520" s="169"/>
    </row>
    <row r="521" spans="1:13" s="125" customFormat="1" ht="15.6" x14ac:dyDescent="0.25">
      <c r="A521" s="169"/>
      <c r="B521" s="145">
        <v>38424</v>
      </c>
      <c r="C521" s="170"/>
      <c r="D521" s="169" t="s">
        <v>36</v>
      </c>
      <c r="E521" s="171" t="s">
        <v>39</v>
      </c>
      <c r="F521" s="171"/>
      <c r="G521" s="172">
        <v>4.1999999999999997E-3</v>
      </c>
      <c r="H521" s="173">
        <f t="shared" si="64"/>
        <v>1178.5810642750407</v>
      </c>
      <c r="I521" s="174">
        <f t="shared" si="65"/>
        <v>22.67</v>
      </c>
      <c r="J521" s="175">
        <v>-1.0000000000001563E-2</v>
      </c>
      <c r="K521" s="176">
        <v>22.66</v>
      </c>
      <c r="L521" s="171"/>
      <c r="M521" s="169"/>
    </row>
    <row r="522" spans="1:13" s="125" customFormat="1" ht="15.6" x14ac:dyDescent="0.25">
      <c r="A522" s="169"/>
      <c r="B522" s="145">
        <v>38833</v>
      </c>
      <c r="C522" s="170"/>
      <c r="D522" s="169" t="s">
        <v>36</v>
      </c>
      <c r="E522" s="171" t="s">
        <v>39</v>
      </c>
      <c r="F522" s="171"/>
      <c r="G522" s="172">
        <v>5.5999999999999999E-3</v>
      </c>
      <c r="H522" s="173">
        <f t="shared" si="64"/>
        <v>1571.4414190333875</v>
      </c>
      <c r="I522" s="174">
        <f t="shared" si="65"/>
        <v>30.22</v>
      </c>
      <c r="J522" s="175">
        <v>0</v>
      </c>
      <c r="K522" s="176">
        <v>30.22</v>
      </c>
      <c r="L522" s="171"/>
      <c r="M522" s="169"/>
    </row>
    <row r="523" spans="1:13" s="125" customFormat="1" ht="15.6" x14ac:dyDescent="0.25">
      <c r="A523" s="169"/>
      <c r="B523" s="145">
        <v>39416</v>
      </c>
      <c r="C523" s="170"/>
      <c r="D523" s="169" t="s">
        <v>36</v>
      </c>
      <c r="E523" s="171" t="s">
        <v>39</v>
      </c>
      <c r="F523" s="171"/>
      <c r="G523" s="172">
        <v>4.1999999999999997E-3</v>
      </c>
      <c r="H523" s="173">
        <f t="shared" si="64"/>
        <v>1178.5810642750407</v>
      </c>
      <c r="I523" s="174">
        <f t="shared" si="65"/>
        <v>22.67</v>
      </c>
      <c r="J523" s="175">
        <v>-1.0000000000001563E-2</v>
      </c>
      <c r="K523" s="176">
        <v>22.66</v>
      </c>
      <c r="L523" s="171"/>
      <c r="M523" s="169"/>
    </row>
    <row r="524" spans="1:13" s="125" customFormat="1" ht="15.6" x14ac:dyDescent="0.25">
      <c r="A524" s="169"/>
      <c r="B524" s="145">
        <v>40685</v>
      </c>
      <c r="C524" s="170"/>
      <c r="D524" s="169" t="s">
        <v>36</v>
      </c>
      <c r="E524" s="171" t="s">
        <v>39</v>
      </c>
      <c r="F524" s="171"/>
      <c r="G524" s="172">
        <v>4.1999999999999997E-3</v>
      </c>
      <c r="H524" s="173">
        <f t="shared" si="64"/>
        <v>1178.5810642750407</v>
      </c>
      <c r="I524" s="174">
        <f t="shared" si="65"/>
        <v>22.67</v>
      </c>
      <c r="J524" s="175">
        <v>-1.0000000000001563E-2</v>
      </c>
      <c r="K524" s="176">
        <v>22.66</v>
      </c>
      <c r="L524" s="171"/>
      <c r="M524" s="169"/>
    </row>
    <row r="525" spans="1:13" s="125" customFormat="1" ht="15.6" x14ac:dyDescent="0.25">
      <c r="A525" s="169"/>
      <c r="B525" s="145">
        <v>41556</v>
      </c>
      <c r="C525" s="170"/>
      <c r="D525" s="169" t="s">
        <v>40</v>
      </c>
      <c r="E525" s="171" t="s">
        <v>39</v>
      </c>
      <c r="F525" s="171"/>
      <c r="G525" s="172">
        <v>4.1999999999999997E-3</v>
      </c>
      <c r="H525" s="173">
        <f t="shared" si="64"/>
        <v>1178.5810642750407</v>
      </c>
      <c r="I525" s="174">
        <f t="shared" si="65"/>
        <v>22.67</v>
      </c>
      <c r="J525" s="175">
        <v>-1.0000000000001563E-2</v>
      </c>
      <c r="K525" s="176">
        <v>22.66</v>
      </c>
      <c r="L525" s="171"/>
      <c r="M525" s="169"/>
    </row>
    <row r="526" spans="1:13" s="125" customFormat="1" ht="15.6" x14ac:dyDescent="0.25">
      <c r="A526" s="169"/>
      <c r="B526" s="145">
        <v>41571</v>
      </c>
      <c r="C526" s="170"/>
      <c r="D526" s="169" t="s">
        <v>36</v>
      </c>
      <c r="E526" s="171" t="s">
        <v>39</v>
      </c>
      <c r="F526" s="171"/>
      <c r="G526" s="172">
        <v>4.1999999999999997E-3</v>
      </c>
      <c r="H526" s="173">
        <f t="shared" si="64"/>
        <v>1178.5810642750407</v>
      </c>
      <c r="I526" s="174">
        <f t="shared" si="65"/>
        <v>22.67</v>
      </c>
      <c r="J526" s="175">
        <v>-1.0000000000001563E-2</v>
      </c>
      <c r="K526" s="176">
        <v>22.66</v>
      </c>
      <c r="L526" s="171"/>
      <c r="M526" s="169"/>
    </row>
    <row r="527" spans="1:13" s="125" customFormat="1" ht="15.6" x14ac:dyDescent="0.25">
      <c r="A527" s="169"/>
      <c r="B527" s="145">
        <v>42205</v>
      </c>
      <c r="C527" s="170"/>
      <c r="D527" s="169" t="s">
        <v>36</v>
      </c>
      <c r="E527" s="171" t="s">
        <v>39</v>
      </c>
      <c r="F527" s="171"/>
      <c r="G527" s="172">
        <v>4.1999999999999997E-3</v>
      </c>
      <c r="H527" s="173">
        <f t="shared" si="64"/>
        <v>1178.5810642750407</v>
      </c>
      <c r="I527" s="174">
        <f t="shared" si="65"/>
        <v>22.67</v>
      </c>
      <c r="J527" s="175">
        <v>-1.0000000000001563E-2</v>
      </c>
      <c r="K527" s="176">
        <v>22.66</v>
      </c>
      <c r="L527" s="171"/>
      <c r="M527" s="169"/>
    </row>
    <row r="528" spans="1:13" s="125" customFormat="1" ht="15.6" x14ac:dyDescent="0.25">
      <c r="A528" s="169"/>
      <c r="B528" s="145">
        <v>42216</v>
      </c>
      <c r="C528" s="170"/>
      <c r="D528" s="169" t="s">
        <v>36</v>
      </c>
      <c r="E528" s="171" t="s">
        <v>39</v>
      </c>
      <c r="F528" s="171"/>
      <c r="G528" s="172">
        <v>4.1999999999999997E-3</v>
      </c>
      <c r="H528" s="173">
        <f t="shared" si="64"/>
        <v>1178.5810642750407</v>
      </c>
      <c r="I528" s="174">
        <f t="shared" si="65"/>
        <v>22.67</v>
      </c>
      <c r="J528" s="175">
        <v>-1.0000000000001563E-2</v>
      </c>
      <c r="K528" s="176">
        <v>22.66</v>
      </c>
      <c r="L528" s="171"/>
      <c r="M528" s="169"/>
    </row>
    <row r="529" spans="1:13" s="125" customFormat="1" ht="15.6" x14ac:dyDescent="0.25">
      <c r="A529" s="169"/>
      <c r="B529" s="145">
        <v>42485</v>
      </c>
      <c r="C529" s="170"/>
      <c r="D529" s="169" t="s">
        <v>40</v>
      </c>
      <c r="E529" s="171" t="s">
        <v>39</v>
      </c>
      <c r="F529" s="171"/>
      <c r="G529" s="172">
        <v>4.1999999999999997E-3</v>
      </c>
      <c r="H529" s="173">
        <f t="shared" si="64"/>
        <v>1178.5810642750407</v>
      </c>
      <c r="I529" s="174">
        <f t="shared" si="65"/>
        <v>22.67</v>
      </c>
      <c r="J529" s="175">
        <v>-1.0000000000001563E-2</v>
      </c>
      <c r="K529" s="176">
        <v>22.66</v>
      </c>
      <c r="L529" s="171"/>
      <c r="M529" s="169"/>
    </row>
    <row r="530" spans="1:13" s="125" customFormat="1" ht="15.6" x14ac:dyDescent="0.25">
      <c r="A530" s="169"/>
      <c r="B530" s="145">
        <v>42641</v>
      </c>
      <c r="C530" s="170"/>
      <c r="D530" s="169" t="s">
        <v>40</v>
      </c>
      <c r="E530" s="171" t="s">
        <v>39</v>
      </c>
      <c r="F530" s="171"/>
      <c r="G530" s="172">
        <v>4.1999999999999997E-3</v>
      </c>
      <c r="H530" s="173">
        <f t="shared" si="64"/>
        <v>1178.5810642750407</v>
      </c>
      <c r="I530" s="174">
        <f t="shared" si="65"/>
        <v>22.67</v>
      </c>
      <c r="J530" s="175">
        <v>-1.0000000000001563E-2</v>
      </c>
      <c r="K530" s="176">
        <v>22.66</v>
      </c>
      <c r="L530" s="171"/>
      <c r="M530" s="169"/>
    </row>
    <row r="531" spans="1:13" s="125" customFormat="1" ht="15.6" x14ac:dyDescent="0.25">
      <c r="A531" s="169"/>
      <c r="B531" s="145">
        <v>43317</v>
      </c>
      <c r="C531" s="170"/>
      <c r="D531" s="169" t="s">
        <v>40</v>
      </c>
      <c r="E531" s="171" t="s">
        <v>39</v>
      </c>
      <c r="F531" s="171"/>
      <c r="G531" s="172">
        <v>6.4999999999999997E-3</v>
      </c>
      <c r="H531" s="173">
        <f t="shared" si="64"/>
        <v>1823.9945042351819</v>
      </c>
      <c r="I531" s="174">
        <f t="shared" si="65"/>
        <v>35.08</v>
      </c>
      <c r="J531" s="175">
        <v>0</v>
      </c>
      <c r="K531" s="176">
        <v>35.08</v>
      </c>
      <c r="L531" s="171"/>
      <c r="M531" s="169"/>
    </row>
    <row r="532" spans="1:13" s="125" customFormat="1" ht="15.6" x14ac:dyDescent="0.25">
      <c r="A532" s="169"/>
      <c r="B532" s="145">
        <v>43416</v>
      </c>
      <c r="C532" s="170"/>
      <c r="D532" s="169" t="s">
        <v>36</v>
      </c>
      <c r="E532" s="171" t="s">
        <v>39</v>
      </c>
      <c r="F532" s="171"/>
      <c r="G532" s="172">
        <v>5.3E-3</v>
      </c>
      <c r="H532" s="173">
        <f t="shared" si="64"/>
        <v>1487.2570572994562</v>
      </c>
      <c r="I532" s="174">
        <f t="shared" si="65"/>
        <v>28.6</v>
      </c>
      <c r="J532" s="175">
        <v>9.9999999999980105E-3</v>
      </c>
      <c r="K532" s="176">
        <v>28.61</v>
      </c>
      <c r="L532" s="171"/>
      <c r="M532" s="169"/>
    </row>
    <row r="533" spans="1:13" s="125" customFormat="1" ht="15.6" x14ac:dyDescent="0.25">
      <c r="A533" s="169"/>
      <c r="B533" s="145">
        <v>43719</v>
      </c>
      <c r="C533" s="170"/>
      <c r="D533" s="169" t="s">
        <v>36</v>
      </c>
      <c r="E533" s="171" t="s">
        <v>39</v>
      </c>
      <c r="F533" s="171"/>
      <c r="G533" s="172">
        <v>4.1999999999999997E-3</v>
      </c>
      <c r="H533" s="173">
        <f t="shared" si="64"/>
        <v>1178.5810642750407</v>
      </c>
      <c r="I533" s="174">
        <f t="shared" si="65"/>
        <v>22.67</v>
      </c>
      <c r="J533" s="175">
        <v>-1.0000000000001563E-2</v>
      </c>
      <c r="K533" s="176">
        <v>22.66</v>
      </c>
      <c r="L533" s="171"/>
      <c r="M533" s="169"/>
    </row>
    <row r="534" spans="1:13" s="125" customFormat="1" ht="15.6" x14ac:dyDescent="0.25">
      <c r="A534" s="169"/>
      <c r="B534" s="145">
        <v>44674</v>
      </c>
      <c r="C534" s="170"/>
      <c r="D534" s="169" t="s">
        <v>36</v>
      </c>
      <c r="E534" s="171" t="s">
        <v>39</v>
      </c>
      <c r="F534" s="171"/>
      <c r="G534" s="172">
        <v>4.1999999999999997E-3</v>
      </c>
      <c r="H534" s="173">
        <f t="shared" si="64"/>
        <v>1178.5810642750407</v>
      </c>
      <c r="I534" s="174">
        <f t="shared" si="65"/>
        <v>22.67</v>
      </c>
      <c r="J534" s="175">
        <v>-1.0000000000001563E-2</v>
      </c>
      <c r="K534" s="176">
        <v>22.66</v>
      </c>
      <c r="L534" s="187"/>
      <c r="M534" s="169"/>
    </row>
    <row r="535" spans="1:13" s="125" customFormat="1" ht="15.6" x14ac:dyDescent="0.25">
      <c r="A535" s="169"/>
      <c r="B535" s="145">
        <v>45518</v>
      </c>
      <c r="C535" s="170"/>
      <c r="D535" s="169" t="s">
        <v>36</v>
      </c>
      <c r="E535" s="171" t="s">
        <v>39</v>
      </c>
      <c r="F535" s="171"/>
      <c r="G535" s="172">
        <v>4.1999999999999997E-3</v>
      </c>
      <c r="H535" s="173">
        <f t="shared" si="64"/>
        <v>1178.5810642750407</v>
      </c>
      <c r="I535" s="174">
        <f t="shared" si="65"/>
        <v>22.67</v>
      </c>
      <c r="J535" s="175">
        <v>-1.0000000000001563E-2</v>
      </c>
      <c r="K535" s="176">
        <v>22.66</v>
      </c>
      <c r="L535" s="187"/>
      <c r="M535" s="169"/>
    </row>
    <row r="536" spans="1:13" s="125" customFormat="1" ht="15.6" x14ac:dyDescent="0.25">
      <c r="A536" s="169"/>
      <c r="B536" s="145">
        <v>46083</v>
      </c>
      <c r="C536" s="170"/>
      <c r="D536" s="169" t="s">
        <v>40</v>
      </c>
      <c r="E536" s="171" t="s">
        <v>39</v>
      </c>
      <c r="F536" s="171"/>
      <c r="G536" s="172">
        <v>4.1999999999999997E-3</v>
      </c>
      <c r="H536" s="173">
        <f t="shared" si="64"/>
        <v>1178.5810642750407</v>
      </c>
      <c r="I536" s="174">
        <f t="shared" si="65"/>
        <v>22.67</v>
      </c>
      <c r="J536" s="175">
        <v>-1.0000000000001563E-2</v>
      </c>
      <c r="K536" s="176">
        <v>22.66</v>
      </c>
      <c r="L536" s="171"/>
      <c r="M536" s="169"/>
    </row>
    <row r="537" spans="1:13" s="125" customFormat="1" ht="15.6" x14ac:dyDescent="0.25">
      <c r="A537" s="169"/>
      <c r="B537" s="145">
        <v>46544</v>
      </c>
      <c r="C537" s="170"/>
      <c r="D537" s="169" t="s">
        <v>36</v>
      </c>
      <c r="E537" s="171" t="s">
        <v>39</v>
      </c>
      <c r="F537" s="171"/>
      <c r="G537" s="172">
        <v>4.1999999999999997E-3</v>
      </c>
      <c r="H537" s="173">
        <f t="shared" si="64"/>
        <v>1178.5810642750407</v>
      </c>
      <c r="I537" s="174">
        <f t="shared" si="65"/>
        <v>22.67</v>
      </c>
      <c r="J537" s="175">
        <v>-1.0000000000001563E-2</v>
      </c>
      <c r="K537" s="176">
        <v>22.66</v>
      </c>
      <c r="L537" s="171"/>
      <c r="M537" s="169"/>
    </row>
    <row r="538" spans="1:13" s="125" customFormat="1" ht="15.6" x14ac:dyDescent="0.25">
      <c r="A538" s="169"/>
      <c r="B538" s="145">
        <v>46566</v>
      </c>
      <c r="C538" s="170"/>
      <c r="D538" s="169" t="s">
        <v>40</v>
      </c>
      <c r="E538" s="171" t="s">
        <v>39</v>
      </c>
      <c r="F538" s="171"/>
      <c r="G538" s="172">
        <v>4.1999999999999997E-3</v>
      </c>
      <c r="H538" s="173">
        <f t="shared" si="64"/>
        <v>1178.5810642750407</v>
      </c>
      <c r="I538" s="174">
        <f t="shared" si="65"/>
        <v>22.67</v>
      </c>
      <c r="J538" s="175">
        <v>-1.0000000000001563E-2</v>
      </c>
      <c r="K538" s="176">
        <v>22.66</v>
      </c>
      <c r="L538" s="171"/>
      <c r="M538" s="169"/>
    </row>
    <row r="539" spans="1:13" s="125" customFormat="1" ht="15.6" x14ac:dyDescent="0.25">
      <c r="A539" s="169"/>
      <c r="B539" s="145">
        <v>47032</v>
      </c>
      <c r="C539" s="170"/>
      <c r="D539" s="169" t="s">
        <v>40</v>
      </c>
      <c r="E539" s="171" t="s">
        <v>39</v>
      </c>
      <c r="F539" s="171"/>
      <c r="G539" s="172">
        <v>4.1999999999999997E-3</v>
      </c>
      <c r="H539" s="173">
        <f t="shared" si="64"/>
        <v>1178.5810642750407</v>
      </c>
      <c r="I539" s="174">
        <f t="shared" si="65"/>
        <v>22.67</v>
      </c>
      <c r="J539" s="175">
        <v>-1.0000000000001563E-2</v>
      </c>
      <c r="K539" s="176">
        <v>22.66</v>
      </c>
      <c r="L539" s="171"/>
      <c r="M539" s="169"/>
    </row>
    <row r="540" spans="1:13" s="125" customFormat="1" ht="15.6" x14ac:dyDescent="0.25">
      <c r="A540" s="169"/>
      <c r="B540" s="145">
        <v>47284</v>
      </c>
      <c r="C540" s="170"/>
      <c r="D540" s="169" t="s">
        <v>40</v>
      </c>
      <c r="E540" s="171" t="s">
        <v>39</v>
      </c>
      <c r="F540" s="171"/>
      <c r="G540" s="172">
        <v>4.1999999999999997E-3</v>
      </c>
      <c r="H540" s="173">
        <f t="shared" si="64"/>
        <v>1178.5810642750407</v>
      </c>
      <c r="I540" s="174">
        <f t="shared" si="65"/>
        <v>22.67</v>
      </c>
      <c r="J540" s="175">
        <v>-1.0000000000001563E-2</v>
      </c>
      <c r="K540" s="176">
        <v>22.66</v>
      </c>
      <c r="L540" s="171"/>
      <c r="M540" s="169"/>
    </row>
    <row r="541" spans="1:13" s="125" customFormat="1" ht="15.6" x14ac:dyDescent="0.25">
      <c r="A541" s="169"/>
      <c r="B541" s="145">
        <v>48062</v>
      </c>
      <c r="C541" s="170"/>
      <c r="D541" s="169" t="s">
        <v>36</v>
      </c>
      <c r="E541" s="171" t="s">
        <v>39</v>
      </c>
      <c r="F541" s="171"/>
      <c r="G541" s="172">
        <v>4.1999999999999997E-3</v>
      </c>
      <c r="H541" s="173">
        <f t="shared" si="64"/>
        <v>1178.5810642750407</v>
      </c>
      <c r="I541" s="174">
        <f t="shared" si="65"/>
        <v>22.67</v>
      </c>
      <c r="J541" s="175">
        <v>-1.0000000000001563E-2</v>
      </c>
      <c r="K541" s="176">
        <v>22.66</v>
      </c>
      <c r="L541" s="171"/>
      <c r="M541" s="169"/>
    </row>
    <row r="542" spans="1:13" s="125" customFormat="1" ht="15.6" x14ac:dyDescent="0.25">
      <c r="A542" s="169"/>
      <c r="B542" s="145">
        <v>48138</v>
      </c>
      <c r="C542" s="170"/>
      <c r="D542" s="169" t="s">
        <v>36</v>
      </c>
      <c r="E542" s="171" t="s">
        <v>39</v>
      </c>
      <c r="F542" s="171"/>
      <c r="G542" s="172">
        <v>4.1999999999999997E-3</v>
      </c>
      <c r="H542" s="173">
        <f t="shared" si="64"/>
        <v>1178.5810642750407</v>
      </c>
      <c r="I542" s="174">
        <f t="shared" si="65"/>
        <v>22.67</v>
      </c>
      <c r="J542" s="175">
        <v>-1.0000000000001563E-2</v>
      </c>
      <c r="K542" s="176">
        <v>22.66</v>
      </c>
      <c r="L542" s="171"/>
      <c r="M542" s="169"/>
    </row>
    <row r="543" spans="1:13" s="125" customFormat="1" ht="15.6" x14ac:dyDescent="0.25">
      <c r="A543" s="169"/>
      <c r="B543" s="145">
        <v>49511</v>
      </c>
      <c r="C543" s="170"/>
      <c r="D543" s="169" t="s">
        <v>36</v>
      </c>
      <c r="E543" s="171" t="s">
        <v>39</v>
      </c>
      <c r="F543" s="171"/>
      <c r="G543" s="172">
        <v>4.1999999999999997E-3</v>
      </c>
      <c r="H543" s="173">
        <f t="shared" si="64"/>
        <v>1178.5810642750407</v>
      </c>
      <c r="I543" s="174">
        <f t="shared" si="65"/>
        <v>22.67</v>
      </c>
      <c r="J543" s="175">
        <v>-1.0000000000001563E-2</v>
      </c>
      <c r="K543" s="176">
        <v>22.66</v>
      </c>
      <c r="L543" s="171"/>
      <c r="M543" s="169"/>
    </row>
    <row r="544" spans="1:13" s="125" customFormat="1" ht="15.6" x14ac:dyDescent="0.25">
      <c r="A544" s="169"/>
      <c r="B544" s="145">
        <v>50455</v>
      </c>
      <c r="C544" s="170"/>
      <c r="D544" s="169" t="s">
        <v>40</v>
      </c>
      <c r="E544" s="171" t="s">
        <v>39</v>
      </c>
      <c r="F544" s="171"/>
      <c r="G544" s="172">
        <v>4.1999999999999997E-3</v>
      </c>
      <c r="H544" s="173">
        <f t="shared" si="64"/>
        <v>1178.5810642750407</v>
      </c>
      <c r="I544" s="174">
        <f t="shared" si="65"/>
        <v>22.67</v>
      </c>
      <c r="J544" s="175">
        <v>-1.0000000000001563E-2</v>
      </c>
      <c r="K544" s="176">
        <v>22.66</v>
      </c>
      <c r="L544" s="171"/>
      <c r="M544" s="169"/>
    </row>
    <row r="545" spans="1:13" s="125" customFormat="1" ht="15.6" x14ac:dyDescent="0.25">
      <c r="A545" s="169"/>
      <c r="B545" s="145">
        <v>51211</v>
      </c>
      <c r="C545" s="170"/>
      <c r="D545" s="169" t="s">
        <v>40</v>
      </c>
      <c r="E545" s="171" t="s">
        <v>39</v>
      </c>
      <c r="F545" s="171"/>
      <c r="G545" s="172">
        <v>4.1999999999999997E-3</v>
      </c>
      <c r="H545" s="173">
        <f t="shared" si="64"/>
        <v>1178.5810642750407</v>
      </c>
      <c r="I545" s="174">
        <f t="shared" si="65"/>
        <v>22.67</v>
      </c>
      <c r="J545" s="175">
        <v>-1.0000000000001563E-2</v>
      </c>
      <c r="K545" s="176">
        <v>22.66</v>
      </c>
      <c r="L545" s="171"/>
      <c r="M545" s="169"/>
    </row>
    <row r="546" spans="1:13" s="125" customFormat="1" ht="15.6" x14ac:dyDescent="0.25">
      <c r="A546" s="169"/>
      <c r="B546" s="145">
        <v>51252</v>
      </c>
      <c r="C546" s="170"/>
      <c r="D546" s="169" t="s">
        <v>40</v>
      </c>
      <c r="E546" s="171" t="s">
        <v>39</v>
      </c>
      <c r="F546" s="171"/>
      <c r="G546" s="172">
        <v>4.1999999999999997E-3</v>
      </c>
      <c r="H546" s="173">
        <f t="shared" si="64"/>
        <v>1178.5810642750407</v>
      </c>
      <c r="I546" s="174">
        <f t="shared" si="65"/>
        <v>22.67</v>
      </c>
      <c r="J546" s="175">
        <v>-1.0000000000001563E-2</v>
      </c>
      <c r="K546" s="176">
        <v>22.66</v>
      </c>
      <c r="L546" s="171"/>
      <c r="M546" s="169"/>
    </row>
    <row r="547" spans="1:13" s="125" customFormat="1" ht="15.6" x14ac:dyDescent="0.25">
      <c r="A547" s="169"/>
      <c r="B547" s="145">
        <v>51882</v>
      </c>
      <c r="C547" s="170"/>
      <c r="D547" s="169" t="s">
        <v>36</v>
      </c>
      <c r="E547" s="171" t="s">
        <v>39</v>
      </c>
      <c r="F547" s="171"/>
      <c r="G547" s="172">
        <v>4.1999999999999997E-3</v>
      </c>
      <c r="H547" s="173">
        <f t="shared" si="64"/>
        <v>1178.5810642750407</v>
      </c>
      <c r="I547" s="174">
        <f t="shared" si="65"/>
        <v>22.67</v>
      </c>
      <c r="J547" s="175">
        <v>-1.0000000000001563E-2</v>
      </c>
      <c r="K547" s="176">
        <v>22.66</v>
      </c>
      <c r="L547" s="171"/>
      <c r="M547" s="169"/>
    </row>
    <row r="548" spans="1:13" s="125" customFormat="1" ht="15.6" x14ac:dyDescent="0.25">
      <c r="A548" s="169"/>
      <c r="B548" s="145">
        <v>52194</v>
      </c>
      <c r="C548" s="170"/>
      <c r="D548" s="169" t="s">
        <v>36</v>
      </c>
      <c r="E548" s="171" t="s">
        <v>39</v>
      </c>
      <c r="F548" s="171"/>
      <c r="G548" s="172">
        <v>4.1999999999999997E-3</v>
      </c>
      <c r="H548" s="173">
        <f t="shared" si="64"/>
        <v>1178.5810642750407</v>
      </c>
      <c r="I548" s="174">
        <f t="shared" si="65"/>
        <v>22.67</v>
      </c>
      <c r="J548" s="175">
        <v>-1.0000000000001563E-2</v>
      </c>
      <c r="K548" s="176">
        <v>22.66</v>
      </c>
      <c r="L548" s="171"/>
      <c r="M548" s="169"/>
    </row>
    <row r="549" spans="1:13" s="125" customFormat="1" ht="15.6" x14ac:dyDescent="0.25">
      <c r="A549" s="169"/>
      <c r="B549" s="145">
        <v>52450</v>
      </c>
      <c r="C549" s="170"/>
      <c r="D549" s="169" t="s">
        <v>36</v>
      </c>
      <c r="E549" s="171" t="s">
        <v>39</v>
      </c>
      <c r="F549" s="171"/>
      <c r="G549" s="172">
        <v>4.1999999999999997E-3</v>
      </c>
      <c r="H549" s="173">
        <f t="shared" si="64"/>
        <v>1178.5810642750407</v>
      </c>
      <c r="I549" s="174">
        <f t="shared" si="65"/>
        <v>22.67</v>
      </c>
      <c r="J549" s="175">
        <v>-1.0000000000001563E-2</v>
      </c>
      <c r="K549" s="176">
        <v>22.66</v>
      </c>
      <c r="L549" s="171"/>
      <c r="M549" s="169"/>
    </row>
    <row r="550" spans="1:13" s="125" customFormat="1" ht="15.6" x14ac:dyDescent="0.25">
      <c r="A550" s="169"/>
      <c r="B550" s="145">
        <v>52486</v>
      </c>
      <c r="C550" s="170"/>
      <c r="D550" s="169" t="s">
        <v>36</v>
      </c>
      <c r="E550" s="171" t="s">
        <v>39</v>
      </c>
      <c r="F550" s="171"/>
      <c r="G550" s="172">
        <v>4.1999999999999997E-3</v>
      </c>
      <c r="H550" s="173">
        <f t="shared" si="64"/>
        <v>1178.5810642750407</v>
      </c>
      <c r="I550" s="174">
        <f t="shared" si="65"/>
        <v>22.67</v>
      </c>
      <c r="J550" s="175">
        <v>-1.0000000000001563E-2</v>
      </c>
      <c r="K550" s="176">
        <v>22.66</v>
      </c>
      <c r="L550" s="171"/>
      <c r="M550" s="169"/>
    </row>
    <row r="551" spans="1:13" s="125" customFormat="1" ht="15.6" x14ac:dyDescent="0.25">
      <c r="A551" s="169"/>
      <c r="B551" s="145">
        <v>52575</v>
      </c>
      <c r="C551" s="170"/>
      <c r="D551" s="169" t="s">
        <v>36</v>
      </c>
      <c r="E551" s="171" t="s">
        <v>39</v>
      </c>
      <c r="F551" s="171"/>
      <c r="G551" s="172">
        <v>4.1999999999999997E-3</v>
      </c>
      <c r="H551" s="173">
        <f t="shared" si="64"/>
        <v>1178.5810642750407</v>
      </c>
      <c r="I551" s="174">
        <f t="shared" si="65"/>
        <v>22.67</v>
      </c>
      <c r="J551" s="175">
        <v>-1.0000000000001563E-2</v>
      </c>
      <c r="K551" s="176">
        <v>22.66</v>
      </c>
      <c r="L551" s="171"/>
      <c r="M551" s="169"/>
    </row>
    <row r="552" spans="1:13" s="125" customFormat="1" ht="15.6" x14ac:dyDescent="0.25">
      <c r="A552" s="169"/>
      <c r="B552" s="145">
        <v>53198</v>
      </c>
      <c r="C552" s="170"/>
      <c r="D552" s="169" t="s">
        <v>36</v>
      </c>
      <c r="E552" s="171" t="s">
        <v>39</v>
      </c>
      <c r="F552" s="171"/>
      <c r="G552" s="172">
        <v>4.1999999999999997E-3</v>
      </c>
      <c r="H552" s="173">
        <f t="shared" si="64"/>
        <v>1178.5810642750407</v>
      </c>
      <c r="I552" s="174">
        <f t="shared" si="65"/>
        <v>22.67</v>
      </c>
      <c r="J552" s="175">
        <v>-1.0000000000001563E-2</v>
      </c>
      <c r="K552" s="176">
        <v>22.66</v>
      </c>
      <c r="L552" s="171"/>
      <c r="M552" s="169"/>
    </row>
    <row r="553" spans="1:13" s="125" customFormat="1" ht="15.6" x14ac:dyDescent="0.25">
      <c r="A553" s="169"/>
      <c r="B553" s="145">
        <v>53577</v>
      </c>
      <c r="C553" s="170"/>
      <c r="D553" s="169" t="s">
        <v>40</v>
      </c>
      <c r="E553" s="171" t="s">
        <v>39</v>
      </c>
      <c r="F553" s="171"/>
      <c r="G553" s="172">
        <v>4.1999999999999997E-3</v>
      </c>
      <c r="H553" s="173">
        <f t="shared" si="64"/>
        <v>1178.5810642750407</v>
      </c>
      <c r="I553" s="174">
        <f t="shared" si="65"/>
        <v>22.67</v>
      </c>
      <c r="J553" s="175">
        <v>-1.0000000000001563E-2</v>
      </c>
      <c r="K553" s="176">
        <v>22.66</v>
      </c>
      <c r="L553" s="171"/>
      <c r="M553" s="169"/>
    </row>
    <row r="554" spans="1:13" s="125" customFormat="1" ht="15.6" x14ac:dyDescent="0.25">
      <c r="A554" s="169"/>
      <c r="B554" s="145">
        <v>53955</v>
      </c>
      <c r="C554" s="170"/>
      <c r="D554" s="169" t="s">
        <v>36</v>
      </c>
      <c r="E554" s="171" t="s">
        <v>39</v>
      </c>
      <c r="F554" s="171"/>
      <c r="G554" s="172">
        <v>4.1999999999999997E-3</v>
      </c>
      <c r="H554" s="173">
        <f t="shared" si="64"/>
        <v>1178.5810642750407</v>
      </c>
      <c r="I554" s="174">
        <f t="shared" si="65"/>
        <v>22.67</v>
      </c>
      <c r="J554" s="175">
        <v>-1.0000000000001563E-2</v>
      </c>
      <c r="K554" s="176">
        <v>22.66</v>
      </c>
      <c r="L554" s="171"/>
      <c r="M554" s="169"/>
    </row>
    <row r="555" spans="1:13" s="125" customFormat="1" ht="15.6" x14ac:dyDescent="0.25">
      <c r="A555" s="169"/>
      <c r="B555" s="145">
        <v>55199</v>
      </c>
      <c r="C555" s="170"/>
      <c r="D555" s="169" t="s">
        <v>36</v>
      </c>
      <c r="E555" s="171" t="s">
        <v>39</v>
      </c>
      <c r="F555" s="171"/>
      <c r="G555" s="172">
        <v>5.3E-3</v>
      </c>
      <c r="H555" s="173">
        <f t="shared" si="64"/>
        <v>1487.2570572994562</v>
      </c>
      <c r="I555" s="174">
        <f t="shared" si="65"/>
        <v>28.6</v>
      </c>
      <c r="J555" s="175">
        <v>9.9999999999980105E-3</v>
      </c>
      <c r="K555" s="176">
        <v>28.61</v>
      </c>
      <c r="L555" s="171"/>
      <c r="M555" s="169"/>
    </row>
    <row r="556" spans="1:13" s="125" customFormat="1" ht="15.6" x14ac:dyDescent="0.25">
      <c r="A556" s="169"/>
      <c r="B556" s="145">
        <v>55575</v>
      </c>
      <c r="C556" s="170"/>
      <c r="D556" s="169" t="s">
        <v>36</v>
      </c>
      <c r="E556" s="171" t="s">
        <v>39</v>
      </c>
      <c r="F556" s="171"/>
      <c r="G556" s="172">
        <v>4.1999999999999997E-3</v>
      </c>
      <c r="H556" s="173">
        <f t="shared" ref="H556:H619" si="66">G556/$G$659*$H$659</f>
        <v>1178.5810642750407</v>
      </c>
      <c r="I556" s="174">
        <f t="shared" ref="I556:I619" si="67">ROUND(H556/52,2)</f>
        <v>22.67</v>
      </c>
      <c r="J556" s="175">
        <v>-1.0000000000001563E-2</v>
      </c>
      <c r="K556" s="176">
        <v>22.66</v>
      </c>
      <c r="L556" s="171"/>
      <c r="M556" s="169"/>
    </row>
    <row r="557" spans="1:13" s="125" customFormat="1" ht="15.6" x14ac:dyDescent="0.25">
      <c r="A557" s="169"/>
      <c r="B557" s="145">
        <v>55709</v>
      </c>
      <c r="C557" s="170"/>
      <c r="D557" s="169" t="s">
        <v>36</v>
      </c>
      <c r="E557" s="171" t="s">
        <v>39</v>
      </c>
      <c r="F557" s="171"/>
      <c r="G557" s="172">
        <v>4.1999999999999997E-3</v>
      </c>
      <c r="H557" s="173">
        <f t="shared" si="66"/>
        <v>1178.5810642750407</v>
      </c>
      <c r="I557" s="174">
        <f t="shared" si="67"/>
        <v>22.67</v>
      </c>
      <c r="J557" s="175">
        <v>-1.0000000000001563E-2</v>
      </c>
      <c r="K557" s="176">
        <v>22.66</v>
      </c>
      <c r="L557" s="171"/>
      <c r="M557" s="169"/>
    </row>
    <row r="558" spans="1:13" s="125" customFormat="1" ht="15.6" x14ac:dyDescent="0.25">
      <c r="A558" s="169"/>
      <c r="B558" s="145">
        <v>55944</v>
      </c>
      <c r="C558" s="170"/>
      <c r="D558" s="169" t="s">
        <v>40</v>
      </c>
      <c r="E558" s="171" t="s">
        <v>39</v>
      </c>
      <c r="F558" s="171"/>
      <c r="G558" s="172">
        <v>4.1999999999999997E-3</v>
      </c>
      <c r="H558" s="173">
        <f t="shared" si="66"/>
        <v>1178.5810642750407</v>
      </c>
      <c r="I558" s="174">
        <f t="shared" si="67"/>
        <v>22.67</v>
      </c>
      <c r="J558" s="175">
        <v>-1.0000000000001563E-2</v>
      </c>
      <c r="K558" s="176">
        <v>22.66</v>
      </c>
      <c r="L558" s="171"/>
      <c r="M558" s="169"/>
    </row>
    <row r="559" spans="1:13" s="125" customFormat="1" ht="15.6" x14ac:dyDescent="0.25">
      <c r="A559" s="169"/>
      <c r="B559" s="145">
        <v>56068</v>
      </c>
      <c r="C559" s="170"/>
      <c r="D559" s="169" t="s">
        <v>36</v>
      </c>
      <c r="E559" s="171" t="s">
        <v>39</v>
      </c>
      <c r="F559" s="171"/>
      <c r="G559" s="172">
        <v>4.1999999999999997E-3</v>
      </c>
      <c r="H559" s="173">
        <f t="shared" si="66"/>
        <v>1178.5810642750407</v>
      </c>
      <c r="I559" s="174">
        <f t="shared" si="67"/>
        <v>22.67</v>
      </c>
      <c r="J559" s="175">
        <v>-1.0000000000001563E-2</v>
      </c>
      <c r="K559" s="176">
        <v>22.66</v>
      </c>
      <c r="L559" s="171"/>
      <c r="M559" s="169"/>
    </row>
    <row r="560" spans="1:13" s="125" customFormat="1" ht="15.6" x14ac:dyDescent="0.25">
      <c r="A560" s="169"/>
      <c r="B560" s="145">
        <v>56126</v>
      </c>
      <c r="C560" s="170"/>
      <c r="D560" s="169" t="s">
        <v>36</v>
      </c>
      <c r="E560" s="171" t="s">
        <v>39</v>
      </c>
      <c r="F560" s="171"/>
      <c r="G560" s="172">
        <v>4.1999999999999997E-3</v>
      </c>
      <c r="H560" s="173">
        <f t="shared" si="66"/>
        <v>1178.5810642750407</v>
      </c>
      <c r="I560" s="174">
        <f t="shared" si="67"/>
        <v>22.67</v>
      </c>
      <c r="J560" s="175">
        <v>-1.0000000000001563E-2</v>
      </c>
      <c r="K560" s="176">
        <v>22.66</v>
      </c>
      <c r="L560" s="171"/>
      <c r="M560" s="169"/>
    </row>
    <row r="561" spans="1:13" s="125" customFormat="1" ht="15.6" x14ac:dyDescent="0.25">
      <c r="A561" s="169"/>
      <c r="B561" s="145">
        <v>56323</v>
      </c>
      <c r="C561" s="170"/>
      <c r="D561" s="169" t="s">
        <v>36</v>
      </c>
      <c r="E561" s="171" t="s">
        <v>39</v>
      </c>
      <c r="F561" s="171"/>
      <c r="G561" s="172">
        <v>4.1999999999999997E-3</v>
      </c>
      <c r="H561" s="173">
        <f t="shared" si="66"/>
        <v>1178.5810642750407</v>
      </c>
      <c r="I561" s="174">
        <f t="shared" si="67"/>
        <v>22.67</v>
      </c>
      <c r="J561" s="175">
        <v>-1.0000000000001563E-2</v>
      </c>
      <c r="K561" s="176">
        <v>22.66</v>
      </c>
      <c r="L561" s="171"/>
      <c r="M561" s="169"/>
    </row>
    <row r="562" spans="1:13" s="125" customFormat="1" ht="15.6" x14ac:dyDescent="0.25">
      <c r="A562" s="169"/>
      <c r="B562" s="145">
        <v>56569</v>
      </c>
      <c r="C562" s="170"/>
      <c r="D562" s="169" t="s">
        <v>40</v>
      </c>
      <c r="E562" s="171" t="s">
        <v>39</v>
      </c>
      <c r="F562" s="171"/>
      <c r="G562" s="172">
        <v>4.1999999999999997E-3</v>
      </c>
      <c r="H562" s="173">
        <f t="shared" si="66"/>
        <v>1178.5810642750407</v>
      </c>
      <c r="I562" s="174">
        <f t="shared" si="67"/>
        <v>22.67</v>
      </c>
      <c r="J562" s="175">
        <v>-1.0000000000001563E-2</v>
      </c>
      <c r="K562" s="176">
        <v>22.66</v>
      </c>
      <c r="L562" s="171"/>
      <c r="M562" s="169"/>
    </row>
    <row r="563" spans="1:13" s="125" customFormat="1" ht="15.6" x14ac:dyDescent="0.25">
      <c r="A563" s="169"/>
      <c r="B563" s="145">
        <v>57363</v>
      </c>
      <c r="C563" s="170"/>
      <c r="D563" s="169" t="s">
        <v>36</v>
      </c>
      <c r="E563" s="171" t="s">
        <v>39</v>
      </c>
      <c r="F563" s="171"/>
      <c r="G563" s="172">
        <v>4.1999999999999997E-3</v>
      </c>
      <c r="H563" s="173">
        <f t="shared" si="66"/>
        <v>1178.5810642750407</v>
      </c>
      <c r="I563" s="174">
        <f t="shared" si="67"/>
        <v>22.67</v>
      </c>
      <c r="J563" s="175">
        <v>-1.0000000000001563E-2</v>
      </c>
      <c r="K563" s="176">
        <v>22.66</v>
      </c>
      <c r="L563" s="171"/>
      <c r="M563" s="169"/>
    </row>
    <row r="564" spans="1:13" s="125" customFormat="1" ht="15.6" x14ac:dyDescent="0.25">
      <c r="A564" s="169"/>
      <c r="B564" s="145">
        <v>57408</v>
      </c>
      <c r="C564" s="170"/>
      <c r="D564" s="169" t="s">
        <v>40</v>
      </c>
      <c r="E564" s="171" t="s">
        <v>39</v>
      </c>
      <c r="F564" s="171"/>
      <c r="G564" s="172">
        <v>4.1999999999999997E-3</v>
      </c>
      <c r="H564" s="173">
        <f t="shared" si="66"/>
        <v>1178.5810642750407</v>
      </c>
      <c r="I564" s="174">
        <f t="shared" si="67"/>
        <v>22.67</v>
      </c>
      <c r="J564" s="175">
        <v>-1.0000000000001563E-2</v>
      </c>
      <c r="K564" s="176">
        <v>22.66</v>
      </c>
      <c r="L564" s="171"/>
      <c r="M564" s="169"/>
    </row>
    <row r="565" spans="1:13" s="125" customFormat="1" ht="15.6" x14ac:dyDescent="0.25">
      <c r="A565" s="169"/>
      <c r="B565" s="145">
        <v>57742</v>
      </c>
      <c r="C565" s="170"/>
      <c r="D565" s="169" t="s">
        <v>36</v>
      </c>
      <c r="E565" s="171" t="s">
        <v>39</v>
      </c>
      <c r="F565" s="171"/>
      <c r="G565" s="172">
        <v>4.1999999999999997E-3</v>
      </c>
      <c r="H565" s="173">
        <f t="shared" si="66"/>
        <v>1178.5810642750407</v>
      </c>
      <c r="I565" s="174">
        <f t="shared" si="67"/>
        <v>22.67</v>
      </c>
      <c r="J565" s="175">
        <v>-1.0000000000001563E-2</v>
      </c>
      <c r="K565" s="176">
        <v>22.66</v>
      </c>
      <c r="L565" s="171"/>
      <c r="M565" s="169"/>
    </row>
    <row r="566" spans="1:13" s="125" customFormat="1" ht="15.6" x14ac:dyDescent="0.25">
      <c r="A566" s="169"/>
      <c r="B566" s="145">
        <v>58055</v>
      </c>
      <c r="C566" s="170"/>
      <c r="D566" s="169" t="s">
        <v>36</v>
      </c>
      <c r="E566" s="171" t="s">
        <v>39</v>
      </c>
      <c r="F566" s="171"/>
      <c r="G566" s="172">
        <v>4.1999999999999997E-3</v>
      </c>
      <c r="H566" s="173">
        <f t="shared" si="66"/>
        <v>1178.5810642750407</v>
      </c>
      <c r="I566" s="174">
        <f t="shared" si="67"/>
        <v>22.67</v>
      </c>
      <c r="J566" s="175">
        <v>-1.0000000000001563E-2</v>
      </c>
      <c r="K566" s="176">
        <v>22.66</v>
      </c>
      <c r="L566" s="171"/>
      <c r="M566" s="169"/>
    </row>
    <row r="567" spans="1:13" s="125" customFormat="1" ht="15.6" x14ac:dyDescent="0.25">
      <c r="A567" s="169"/>
      <c r="B567" s="145">
        <v>59632</v>
      </c>
      <c r="C567" s="170"/>
      <c r="D567" s="169" t="s">
        <v>40</v>
      </c>
      <c r="E567" s="171" t="s">
        <v>39</v>
      </c>
      <c r="F567" s="171"/>
      <c r="G567" s="172">
        <v>5.3E-3</v>
      </c>
      <c r="H567" s="173">
        <f t="shared" si="66"/>
        <v>1487.2570572994562</v>
      </c>
      <c r="I567" s="174">
        <f t="shared" si="67"/>
        <v>28.6</v>
      </c>
      <c r="J567" s="175">
        <v>9.9999999999980105E-3</v>
      </c>
      <c r="K567" s="176">
        <v>28.61</v>
      </c>
      <c r="L567" s="171"/>
      <c r="M567" s="169"/>
    </row>
    <row r="568" spans="1:13" s="125" customFormat="1" ht="15.6" x14ac:dyDescent="0.25">
      <c r="A568" s="169"/>
      <c r="B568" s="145">
        <v>59769</v>
      </c>
      <c r="C568" s="170"/>
      <c r="D568" s="169" t="s">
        <v>36</v>
      </c>
      <c r="E568" s="171" t="s">
        <v>39</v>
      </c>
      <c r="F568" s="171"/>
      <c r="G568" s="172">
        <v>4.1999999999999997E-3</v>
      </c>
      <c r="H568" s="173">
        <f t="shared" si="66"/>
        <v>1178.5810642750407</v>
      </c>
      <c r="I568" s="174">
        <f t="shared" si="67"/>
        <v>22.67</v>
      </c>
      <c r="J568" s="175">
        <v>-1.0000000000001563E-2</v>
      </c>
      <c r="K568" s="176">
        <v>22.66</v>
      </c>
      <c r="L568" s="171"/>
      <c r="M568" s="169"/>
    </row>
    <row r="569" spans="1:13" s="125" customFormat="1" ht="15.6" x14ac:dyDescent="0.25">
      <c r="A569" s="169"/>
      <c r="B569" s="145">
        <v>60316</v>
      </c>
      <c r="C569" s="170"/>
      <c r="D569" s="169" t="s">
        <v>36</v>
      </c>
      <c r="E569" s="171" t="s">
        <v>39</v>
      </c>
      <c r="F569" s="171"/>
      <c r="G569" s="172">
        <v>4.1999999999999997E-3</v>
      </c>
      <c r="H569" s="173">
        <f t="shared" si="66"/>
        <v>1178.5810642750407</v>
      </c>
      <c r="I569" s="174">
        <f t="shared" si="67"/>
        <v>22.67</v>
      </c>
      <c r="J569" s="175">
        <v>-1.0000000000001563E-2</v>
      </c>
      <c r="K569" s="176">
        <v>22.66</v>
      </c>
      <c r="L569" s="171"/>
      <c r="M569" s="169"/>
    </row>
    <row r="570" spans="1:13" s="125" customFormat="1" ht="15.6" x14ac:dyDescent="0.25">
      <c r="A570" s="169"/>
      <c r="B570" s="145">
        <v>60921</v>
      </c>
      <c r="C570" s="170"/>
      <c r="D570" s="169" t="s">
        <v>36</v>
      </c>
      <c r="E570" s="171" t="s">
        <v>39</v>
      </c>
      <c r="F570" s="171"/>
      <c r="G570" s="172">
        <v>4.1999999999999997E-3</v>
      </c>
      <c r="H570" s="173">
        <f t="shared" si="66"/>
        <v>1178.5810642750407</v>
      </c>
      <c r="I570" s="174">
        <f t="shared" si="67"/>
        <v>22.67</v>
      </c>
      <c r="J570" s="175">
        <v>-1.0000000000001563E-2</v>
      </c>
      <c r="K570" s="176">
        <v>22.66</v>
      </c>
      <c r="L570" s="169"/>
      <c r="M570" s="169"/>
    </row>
    <row r="571" spans="1:13" s="125" customFormat="1" ht="15.6" x14ac:dyDescent="0.25">
      <c r="A571" s="169"/>
      <c r="B571" s="145">
        <v>61410</v>
      </c>
      <c r="C571" s="170"/>
      <c r="D571" s="169" t="s">
        <v>40</v>
      </c>
      <c r="E571" s="171" t="s">
        <v>39</v>
      </c>
      <c r="F571" s="171"/>
      <c r="G571" s="172">
        <v>4.1999999999999997E-3</v>
      </c>
      <c r="H571" s="173">
        <f t="shared" si="66"/>
        <v>1178.5810642750407</v>
      </c>
      <c r="I571" s="174">
        <f t="shared" si="67"/>
        <v>22.67</v>
      </c>
      <c r="J571" s="175">
        <v>-1.0000000000001563E-2</v>
      </c>
      <c r="K571" s="176">
        <v>22.66</v>
      </c>
      <c r="L571" s="171"/>
      <c r="M571" s="169"/>
    </row>
    <row r="572" spans="1:13" s="125" customFormat="1" ht="15.6" x14ac:dyDescent="0.25">
      <c r="A572" s="169"/>
      <c r="B572" s="145">
        <v>61444</v>
      </c>
      <c r="C572" s="170"/>
      <c r="D572" s="169" t="s">
        <v>36</v>
      </c>
      <c r="E572" s="171" t="s">
        <v>39</v>
      </c>
      <c r="F572" s="171"/>
      <c r="G572" s="172">
        <v>4.1999999999999997E-3</v>
      </c>
      <c r="H572" s="173">
        <f t="shared" si="66"/>
        <v>1178.5810642750407</v>
      </c>
      <c r="I572" s="174">
        <f t="shared" si="67"/>
        <v>22.67</v>
      </c>
      <c r="J572" s="175">
        <v>-1.0000000000001563E-2</v>
      </c>
      <c r="K572" s="176">
        <v>22.66</v>
      </c>
      <c r="L572" s="171"/>
      <c r="M572" s="169"/>
    </row>
    <row r="573" spans="1:13" s="125" customFormat="1" ht="15.6" x14ac:dyDescent="0.25">
      <c r="A573" s="169"/>
      <c r="B573" s="145">
        <v>62288</v>
      </c>
      <c r="C573" s="170"/>
      <c r="D573" s="169" t="s">
        <v>36</v>
      </c>
      <c r="E573" s="171" t="s">
        <v>39</v>
      </c>
      <c r="F573" s="171"/>
      <c r="G573" s="172">
        <v>4.1999999999999997E-3</v>
      </c>
      <c r="H573" s="173">
        <f t="shared" si="66"/>
        <v>1178.5810642750407</v>
      </c>
      <c r="I573" s="174">
        <f t="shared" si="67"/>
        <v>22.67</v>
      </c>
      <c r="J573" s="175">
        <v>-1.0000000000001563E-2</v>
      </c>
      <c r="K573" s="176">
        <v>22.66</v>
      </c>
      <c r="L573" s="171"/>
      <c r="M573" s="169"/>
    </row>
    <row r="574" spans="1:13" s="125" customFormat="1" ht="15.6" x14ac:dyDescent="0.25">
      <c r="A574" s="169"/>
      <c r="B574" s="145">
        <v>63317</v>
      </c>
      <c r="C574" s="170"/>
      <c r="D574" s="169" t="s">
        <v>36</v>
      </c>
      <c r="E574" s="171" t="s">
        <v>39</v>
      </c>
      <c r="F574" s="171"/>
      <c r="G574" s="172">
        <v>4.1999999999999997E-3</v>
      </c>
      <c r="H574" s="173">
        <f t="shared" si="66"/>
        <v>1178.5810642750407</v>
      </c>
      <c r="I574" s="174">
        <f t="shared" si="67"/>
        <v>22.67</v>
      </c>
      <c r="J574" s="175">
        <v>-1.0000000000001563E-2</v>
      </c>
      <c r="K574" s="176">
        <v>22.66</v>
      </c>
      <c r="L574" s="171"/>
      <c r="M574" s="169"/>
    </row>
    <row r="575" spans="1:13" s="125" customFormat="1" ht="15.6" x14ac:dyDescent="0.25">
      <c r="A575" s="169"/>
      <c r="B575" s="145">
        <v>63555</v>
      </c>
      <c r="C575" s="170"/>
      <c r="D575" s="169" t="s">
        <v>40</v>
      </c>
      <c r="E575" s="171" t="s">
        <v>39</v>
      </c>
      <c r="F575" s="171"/>
      <c r="G575" s="172">
        <v>4.1999999999999997E-3</v>
      </c>
      <c r="H575" s="173">
        <f t="shared" si="66"/>
        <v>1178.5810642750407</v>
      </c>
      <c r="I575" s="174">
        <f t="shared" si="67"/>
        <v>22.67</v>
      </c>
      <c r="J575" s="175">
        <v>-1.0000000000001563E-2</v>
      </c>
      <c r="K575" s="176">
        <v>22.66</v>
      </c>
      <c r="L575" s="171"/>
      <c r="M575" s="169"/>
    </row>
    <row r="576" spans="1:13" s="125" customFormat="1" ht="15.6" x14ac:dyDescent="0.25">
      <c r="A576" s="169"/>
      <c r="B576" s="145">
        <v>64095</v>
      </c>
      <c r="C576" s="170"/>
      <c r="D576" s="169" t="s">
        <v>40</v>
      </c>
      <c r="E576" s="171" t="s">
        <v>39</v>
      </c>
      <c r="F576" s="171"/>
      <c r="G576" s="172">
        <v>4.1999999999999997E-3</v>
      </c>
      <c r="H576" s="173">
        <f t="shared" si="66"/>
        <v>1178.5810642750407</v>
      </c>
      <c r="I576" s="174">
        <f t="shared" si="67"/>
        <v>22.67</v>
      </c>
      <c r="J576" s="175">
        <v>-1.0000000000001563E-2</v>
      </c>
      <c r="K576" s="176">
        <v>22.66</v>
      </c>
      <c r="L576" s="171"/>
      <c r="M576" s="169"/>
    </row>
    <row r="577" spans="1:13" s="125" customFormat="1" ht="15.6" x14ac:dyDescent="0.25">
      <c r="A577" s="169"/>
      <c r="B577" s="145">
        <v>64481</v>
      </c>
      <c r="C577" s="170"/>
      <c r="D577" s="169" t="s">
        <v>36</v>
      </c>
      <c r="E577" s="171" t="s">
        <v>39</v>
      </c>
      <c r="F577" s="171"/>
      <c r="G577" s="172">
        <v>4.1999999999999997E-3</v>
      </c>
      <c r="H577" s="173">
        <f t="shared" si="66"/>
        <v>1178.5810642750407</v>
      </c>
      <c r="I577" s="174">
        <f t="shared" si="67"/>
        <v>22.67</v>
      </c>
      <c r="J577" s="175">
        <v>-1.0000000000001563E-2</v>
      </c>
      <c r="K577" s="176">
        <v>22.66</v>
      </c>
      <c r="L577" s="171"/>
      <c r="M577" s="169"/>
    </row>
    <row r="578" spans="1:13" s="125" customFormat="1" ht="15.6" x14ac:dyDescent="0.25">
      <c r="A578" s="169"/>
      <c r="B578" s="145">
        <v>65428</v>
      </c>
      <c r="C578" s="170"/>
      <c r="D578" s="169" t="s">
        <v>40</v>
      </c>
      <c r="E578" s="171" t="s">
        <v>39</v>
      </c>
      <c r="F578" s="171"/>
      <c r="G578" s="172">
        <v>4.1999999999999997E-3</v>
      </c>
      <c r="H578" s="173">
        <f t="shared" si="66"/>
        <v>1178.5810642750407</v>
      </c>
      <c r="I578" s="174">
        <f t="shared" si="67"/>
        <v>22.67</v>
      </c>
      <c r="J578" s="175">
        <v>-1.0000000000001563E-2</v>
      </c>
      <c r="K578" s="176">
        <v>22.66</v>
      </c>
      <c r="L578" s="171"/>
      <c r="M578" s="169"/>
    </row>
    <row r="579" spans="1:13" s="125" customFormat="1" ht="15.6" x14ac:dyDescent="0.25">
      <c r="A579" s="169"/>
      <c r="B579" s="145">
        <v>65503</v>
      </c>
      <c r="C579" s="170"/>
      <c r="D579" s="169" t="s">
        <v>36</v>
      </c>
      <c r="E579" s="171" t="s">
        <v>39</v>
      </c>
      <c r="F579" s="171"/>
      <c r="G579" s="172">
        <v>4.1999999999999997E-3</v>
      </c>
      <c r="H579" s="173">
        <f t="shared" si="66"/>
        <v>1178.5810642750407</v>
      </c>
      <c r="I579" s="174">
        <f t="shared" si="67"/>
        <v>22.67</v>
      </c>
      <c r="J579" s="175">
        <v>-1.0000000000001563E-2</v>
      </c>
      <c r="K579" s="176">
        <v>22.66</v>
      </c>
      <c r="L579" s="171"/>
      <c r="M579" s="169"/>
    </row>
    <row r="580" spans="1:13" s="125" customFormat="1" ht="15.6" x14ac:dyDescent="0.25">
      <c r="A580" s="169"/>
      <c r="B580" s="145">
        <v>65908</v>
      </c>
      <c r="C580" s="170"/>
      <c r="D580" s="169" t="s">
        <v>36</v>
      </c>
      <c r="E580" s="171" t="s">
        <v>39</v>
      </c>
      <c r="F580" s="171"/>
      <c r="G580" s="172">
        <v>4.1999999999999997E-3</v>
      </c>
      <c r="H580" s="173">
        <f t="shared" si="66"/>
        <v>1178.5810642750407</v>
      </c>
      <c r="I580" s="174">
        <f t="shared" si="67"/>
        <v>22.67</v>
      </c>
      <c r="J580" s="175">
        <v>-1.0000000000001563E-2</v>
      </c>
      <c r="K580" s="176">
        <v>22.66</v>
      </c>
      <c r="L580" s="171"/>
      <c r="M580" s="169"/>
    </row>
    <row r="581" spans="1:13" s="125" customFormat="1" ht="15.6" x14ac:dyDescent="0.25">
      <c r="A581" s="169"/>
      <c r="B581" s="145">
        <v>66427</v>
      </c>
      <c r="C581" s="170"/>
      <c r="D581" s="169" t="s">
        <v>36</v>
      </c>
      <c r="E581" s="171" t="s">
        <v>39</v>
      </c>
      <c r="F581" s="171"/>
      <c r="G581" s="172">
        <v>4.1999999999999997E-3</v>
      </c>
      <c r="H581" s="173">
        <f t="shared" si="66"/>
        <v>1178.5810642750407</v>
      </c>
      <c r="I581" s="174">
        <f t="shared" si="67"/>
        <v>22.67</v>
      </c>
      <c r="J581" s="175">
        <v>-1.0000000000001563E-2</v>
      </c>
      <c r="K581" s="176">
        <v>22.66</v>
      </c>
      <c r="L581" s="171"/>
      <c r="M581" s="169"/>
    </row>
    <row r="582" spans="1:13" s="125" customFormat="1" ht="15.6" x14ac:dyDescent="0.25">
      <c r="A582" s="169"/>
      <c r="B582" s="145">
        <v>67313</v>
      </c>
      <c r="C582" s="170"/>
      <c r="D582" s="169" t="s">
        <v>36</v>
      </c>
      <c r="E582" s="171" t="s">
        <v>39</v>
      </c>
      <c r="F582" s="171"/>
      <c r="G582" s="172">
        <v>4.1999999999999997E-3</v>
      </c>
      <c r="H582" s="173">
        <f t="shared" si="66"/>
        <v>1178.5810642750407</v>
      </c>
      <c r="I582" s="174">
        <f t="shared" si="67"/>
        <v>22.67</v>
      </c>
      <c r="J582" s="175">
        <v>-1.0000000000001563E-2</v>
      </c>
      <c r="K582" s="176">
        <v>22.66</v>
      </c>
      <c r="L582" s="171"/>
      <c r="M582" s="169"/>
    </row>
    <row r="583" spans="1:13" s="125" customFormat="1" ht="15.6" x14ac:dyDescent="0.25">
      <c r="A583" s="169"/>
      <c r="B583" s="145">
        <v>68646</v>
      </c>
      <c r="C583" s="170"/>
      <c r="D583" s="169" t="s">
        <v>36</v>
      </c>
      <c r="E583" s="171" t="s">
        <v>39</v>
      </c>
      <c r="F583" s="171"/>
      <c r="G583" s="172">
        <v>4.1999999999999997E-3</v>
      </c>
      <c r="H583" s="173">
        <f t="shared" si="66"/>
        <v>1178.5810642750407</v>
      </c>
      <c r="I583" s="174">
        <f t="shared" si="67"/>
        <v>22.67</v>
      </c>
      <c r="J583" s="175">
        <v>-1.0000000000001563E-2</v>
      </c>
      <c r="K583" s="176">
        <v>22.66</v>
      </c>
      <c r="L583" s="171"/>
      <c r="M583" s="169"/>
    </row>
    <row r="584" spans="1:13" s="125" customFormat="1" ht="15.6" x14ac:dyDescent="0.25">
      <c r="A584" s="169"/>
      <c r="B584" s="145">
        <v>68815</v>
      </c>
      <c r="C584" s="170"/>
      <c r="D584" s="169" t="s">
        <v>36</v>
      </c>
      <c r="E584" s="171" t="s">
        <v>39</v>
      </c>
      <c r="F584" s="171"/>
      <c r="G584" s="172">
        <v>4.1999999999999997E-3</v>
      </c>
      <c r="H584" s="173">
        <f t="shared" si="66"/>
        <v>1178.5810642750407</v>
      </c>
      <c r="I584" s="174">
        <f t="shared" si="67"/>
        <v>22.67</v>
      </c>
      <c r="J584" s="175">
        <v>-1.0000000000001563E-2</v>
      </c>
      <c r="K584" s="176">
        <v>22.66</v>
      </c>
      <c r="L584" s="171"/>
      <c r="M584" s="169"/>
    </row>
    <row r="585" spans="1:13" s="125" customFormat="1" ht="15.6" x14ac:dyDescent="0.25">
      <c r="A585" s="169"/>
      <c r="B585" s="145">
        <v>68885</v>
      </c>
      <c r="C585" s="170"/>
      <c r="D585" s="169" t="s">
        <v>36</v>
      </c>
      <c r="E585" s="171" t="s">
        <v>39</v>
      </c>
      <c r="F585" s="171"/>
      <c r="G585" s="172">
        <v>4.1999999999999997E-3</v>
      </c>
      <c r="H585" s="173">
        <f t="shared" si="66"/>
        <v>1178.5810642750407</v>
      </c>
      <c r="I585" s="174">
        <f t="shared" si="67"/>
        <v>22.67</v>
      </c>
      <c r="J585" s="175">
        <v>-1.0000000000001563E-2</v>
      </c>
      <c r="K585" s="176">
        <v>22.66</v>
      </c>
      <c r="L585" s="171"/>
      <c r="M585" s="169"/>
    </row>
    <row r="586" spans="1:13" s="125" customFormat="1" ht="15.6" x14ac:dyDescent="0.25">
      <c r="A586" s="169"/>
      <c r="B586" s="145">
        <v>69206</v>
      </c>
      <c r="C586" s="170"/>
      <c r="D586" s="169" t="s">
        <v>40</v>
      </c>
      <c r="E586" s="171" t="s">
        <v>39</v>
      </c>
      <c r="F586" s="171"/>
      <c r="G586" s="172">
        <v>4.1999999999999997E-3</v>
      </c>
      <c r="H586" s="173">
        <f t="shared" si="66"/>
        <v>1178.5810642750407</v>
      </c>
      <c r="I586" s="174">
        <f t="shared" si="67"/>
        <v>22.67</v>
      </c>
      <c r="J586" s="175">
        <v>-1.0000000000001563E-2</v>
      </c>
      <c r="K586" s="176">
        <v>22.66</v>
      </c>
      <c r="L586" s="171"/>
      <c r="M586" s="169"/>
    </row>
    <row r="587" spans="1:13" s="125" customFormat="1" ht="15.6" x14ac:dyDescent="0.25">
      <c r="A587" s="169"/>
      <c r="B587" s="145">
        <v>69246</v>
      </c>
      <c r="C587" s="170"/>
      <c r="D587" s="169" t="s">
        <v>36</v>
      </c>
      <c r="E587" s="171" t="s">
        <v>39</v>
      </c>
      <c r="F587" s="171"/>
      <c r="G587" s="172">
        <v>4.1999999999999997E-3</v>
      </c>
      <c r="H587" s="173">
        <f t="shared" si="66"/>
        <v>1178.5810642750407</v>
      </c>
      <c r="I587" s="174">
        <f t="shared" si="67"/>
        <v>22.67</v>
      </c>
      <c r="J587" s="175">
        <v>-1.0000000000001563E-2</v>
      </c>
      <c r="K587" s="176">
        <v>22.66</v>
      </c>
      <c r="L587" s="171"/>
      <c r="M587" s="169"/>
    </row>
    <row r="588" spans="1:13" s="125" customFormat="1" ht="15.6" x14ac:dyDescent="0.25">
      <c r="A588" s="169"/>
      <c r="B588" s="145">
        <v>69817</v>
      </c>
      <c r="C588" s="170"/>
      <c r="D588" s="169" t="s">
        <v>36</v>
      </c>
      <c r="E588" s="171" t="s">
        <v>39</v>
      </c>
      <c r="F588" s="171"/>
      <c r="G588" s="172">
        <v>5.3E-3</v>
      </c>
      <c r="H588" s="173">
        <f t="shared" si="66"/>
        <v>1487.2570572994562</v>
      </c>
      <c r="I588" s="174">
        <f t="shared" si="67"/>
        <v>28.6</v>
      </c>
      <c r="J588" s="175">
        <v>9.9999999999980105E-3</v>
      </c>
      <c r="K588" s="176">
        <v>28.61</v>
      </c>
      <c r="L588" s="171"/>
      <c r="M588" s="169"/>
    </row>
    <row r="589" spans="1:13" s="125" customFormat="1" ht="15.6" x14ac:dyDescent="0.25">
      <c r="A589" s="169"/>
      <c r="B589" s="145">
        <v>70330</v>
      </c>
      <c r="C589" s="170"/>
      <c r="D589" s="169" t="s">
        <v>36</v>
      </c>
      <c r="E589" s="171" t="s">
        <v>39</v>
      </c>
      <c r="F589" s="171"/>
      <c r="G589" s="172">
        <v>4.1999999999999997E-3</v>
      </c>
      <c r="H589" s="173">
        <f t="shared" si="66"/>
        <v>1178.5810642750407</v>
      </c>
      <c r="I589" s="174">
        <f t="shared" si="67"/>
        <v>22.67</v>
      </c>
      <c r="J589" s="175">
        <v>-1.0000000000001563E-2</v>
      </c>
      <c r="K589" s="176">
        <v>22.66</v>
      </c>
      <c r="L589" s="171"/>
      <c r="M589" s="169"/>
    </row>
    <row r="590" spans="1:13" s="125" customFormat="1" ht="15.6" x14ac:dyDescent="0.25">
      <c r="A590" s="169"/>
      <c r="B590" s="145">
        <v>70398</v>
      </c>
      <c r="C590" s="170"/>
      <c r="D590" s="169" t="s">
        <v>36</v>
      </c>
      <c r="E590" s="171" t="s">
        <v>39</v>
      </c>
      <c r="F590" s="171"/>
      <c r="G590" s="172">
        <v>4.1999999999999997E-3</v>
      </c>
      <c r="H590" s="173">
        <f t="shared" si="66"/>
        <v>1178.5810642750407</v>
      </c>
      <c r="I590" s="174">
        <f t="shared" si="67"/>
        <v>22.67</v>
      </c>
      <c r="J590" s="175">
        <v>-1.0000000000001563E-2</v>
      </c>
      <c r="K590" s="176">
        <v>22.66</v>
      </c>
      <c r="L590" s="171"/>
      <c r="M590" s="169"/>
    </row>
    <row r="591" spans="1:13" s="125" customFormat="1" ht="15.6" x14ac:dyDescent="0.25">
      <c r="A591" s="169"/>
      <c r="B591" s="145">
        <v>70846</v>
      </c>
      <c r="C591" s="170"/>
      <c r="D591" s="169" t="s">
        <v>40</v>
      </c>
      <c r="E591" s="171" t="s">
        <v>39</v>
      </c>
      <c r="F591" s="171"/>
      <c r="G591" s="172">
        <v>4.1999999999999997E-3</v>
      </c>
      <c r="H591" s="173">
        <f t="shared" si="66"/>
        <v>1178.5810642750407</v>
      </c>
      <c r="I591" s="174">
        <f t="shared" si="67"/>
        <v>22.67</v>
      </c>
      <c r="J591" s="175">
        <v>-1.0000000000001563E-2</v>
      </c>
      <c r="K591" s="176">
        <v>22.66</v>
      </c>
      <c r="L591" s="171"/>
      <c r="M591" s="169"/>
    </row>
    <row r="592" spans="1:13" s="125" customFormat="1" ht="15.6" x14ac:dyDescent="0.25">
      <c r="A592" s="169"/>
      <c r="B592" s="145">
        <v>71224</v>
      </c>
      <c r="C592" s="170"/>
      <c r="D592" s="169" t="s">
        <v>36</v>
      </c>
      <c r="E592" s="171" t="s">
        <v>39</v>
      </c>
      <c r="F592" s="171"/>
      <c r="G592" s="172">
        <v>4.1999999999999997E-3</v>
      </c>
      <c r="H592" s="173">
        <f t="shared" si="66"/>
        <v>1178.5810642750407</v>
      </c>
      <c r="I592" s="174">
        <f t="shared" si="67"/>
        <v>22.67</v>
      </c>
      <c r="J592" s="175">
        <v>-1.0000000000001563E-2</v>
      </c>
      <c r="K592" s="176">
        <v>22.66</v>
      </c>
      <c r="L592" s="171"/>
      <c r="M592" s="169"/>
    </row>
    <row r="593" spans="1:13" s="125" customFormat="1" ht="15.6" x14ac:dyDescent="0.25">
      <c r="A593" s="169"/>
      <c r="B593" s="145">
        <v>71474</v>
      </c>
      <c r="C593" s="170"/>
      <c r="D593" s="169" t="s">
        <v>36</v>
      </c>
      <c r="E593" s="171" t="s">
        <v>39</v>
      </c>
      <c r="F593" s="171"/>
      <c r="G593" s="172">
        <v>4.1999999999999997E-3</v>
      </c>
      <c r="H593" s="173">
        <f t="shared" si="66"/>
        <v>1178.5810642750407</v>
      </c>
      <c r="I593" s="174">
        <f t="shared" si="67"/>
        <v>22.67</v>
      </c>
      <c r="J593" s="175">
        <v>-1.0000000000001563E-2</v>
      </c>
      <c r="K593" s="176">
        <v>22.66</v>
      </c>
      <c r="L593" s="171"/>
      <c r="M593" s="169"/>
    </row>
    <row r="594" spans="1:13" s="125" customFormat="1" ht="15.6" x14ac:dyDescent="0.25">
      <c r="A594" s="169"/>
      <c r="B594" s="145">
        <v>71933</v>
      </c>
      <c r="C594" s="170"/>
      <c r="D594" s="169" t="s">
        <v>36</v>
      </c>
      <c r="E594" s="171" t="s">
        <v>39</v>
      </c>
      <c r="F594" s="171"/>
      <c r="G594" s="172">
        <v>4.1999999999999997E-3</v>
      </c>
      <c r="H594" s="173">
        <f t="shared" si="66"/>
        <v>1178.5810642750407</v>
      </c>
      <c r="I594" s="174">
        <f t="shared" si="67"/>
        <v>22.67</v>
      </c>
      <c r="J594" s="175">
        <v>-1.0000000000001563E-2</v>
      </c>
      <c r="K594" s="176">
        <v>22.66</v>
      </c>
      <c r="L594" s="171"/>
      <c r="M594" s="169"/>
    </row>
    <row r="595" spans="1:13" s="125" customFormat="1" ht="15.6" x14ac:dyDescent="0.25">
      <c r="A595" s="169"/>
      <c r="B595" s="145">
        <v>72225</v>
      </c>
      <c r="C595" s="170"/>
      <c r="D595" s="169" t="s">
        <v>40</v>
      </c>
      <c r="E595" s="171" t="s">
        <v>39</v>
      </c>
      <c r="F595" s="171"/>
      <c r="G595" s="172">
        <v>4.1999999999999997E-3</v>
      </c>
      <c r="H595" s="173">
        <f t="shared" si="66"/>
        <v>1178.5810642750407</v>
      </c>
      <c r="I595" s="174">
        <f t="shared" si="67"/>
        <v>22.67</v>
      </c>
      <c r="J595" s="175">
        <v>-1.0000000000001563E-2</v>
      </c>
      <c r="K595" s="176">
        <v>22.66</v>
      </c>
      <c r="L595" s="171"/>
      <c r="M595" s="169"/>
    </row>
    <row r="596" spans="1:13" s="125" customFormat="1" ht="15.6" x14ac:dyDescent="0.25">
      <c r="A596" s="169"/>
      <c r="B596" s="145">
        <v>72252</v>
      </c>
      <c r="C596" s="170"/>
      <c r="D596" s="169" t="s">
        <v>36</v>
      </c>
      <c r="E596" s="171" t="s">
        <v>39</v>
      </c>
      <c r="F596" s="171"/>
      <c r="G596" s="172">
        <v>4.1999999999999997E-3</v>
      </c>
      <c r="H596" s="173">
        <f t="shared" si="66"/>
        <v>1178.5810642750407</v>
      </c>
      <c r="I596" s="174">
        <f t="shared" si="67"/>
        <v>22.67</v>
      </c>
      <c r="J596" s="175">
        <v>-1.0000000000001563E-2</v>
      </c>
      <c r="K596" s="176">
        <v>22.66</v>
      </c>
      <c r="L596" s="171"/>
      <c r="M596" s="169"/>
    </row>
    <row r="597" spans="1:13" s="125" customFormat="1" ht="15.6" x14ac:dyDescent="0.25">
      <c r="A597" s="169"/>
      <c r="B597" s="145">
        <v>72298</v>
      </c>
      <c r="C597" s="170"/>
      <c r="D597" s="169" t="s">
        <v>40</v>
      </c>
      <c r="E597" s="171" t="s">
        <v>39</v>
      </c>
      <c r="F597" s="171"/>
      <c r="G597" s="172">
        <v>4.1999999999999997E-3</v>
      </c>
      <c r="H597" s="173">
        <f t="shared" si="66"/>
        <v>1178.5810642750407</v>
      </c>
      <c r="I597" s="174">
        <f t="shared" si="67"/>
        <v>22.67</v>
      </c>
      <c r="J597" s="175">
        <v>-1.0000000000001563E-2</v>
      </c>
      <c r="K597" s="176">
        <v>22.66</v>
      </c>
      <c r="L597" s="171"/>
      <c r="M597" s="169"/>
    </row>
    <row r="598" spans="1:13" s="125" customFormat="1" ht="15.6" x14ac:dyDescent="0.25">
      <c r="A598" s="169"/>
      <c r="B598" s="145">
        <v>72853</v>
      </c>
      <c r="C598" s="170"/>
      <c r="D598" s="169" t="s">
        <v>40</v>
      </c>
      <c r="E598" s="171" t="s">
        <v>39</v>
      </c>
      <c r="F598" s="171"/>
      <c r="G598" s="172">
        <v>4.1999999999999997E-3</v>
      </c>
      <c r="H598" s="173">
        <f t="shared" si="66"/>
        <v>1178.5810642750407</v>
      </c>
      <c r="I598" s="174">
        <f t="shared" si="67"/>
        <v>22.67</v>
      </c>
      <c r="J598" s="175">
        <v>-1.0000000000001563E-2</v>
      </c>
      <c r="K598" s="176">
        <v>22.66</v>
      </c>
      <c r="L598" s="171"/>
      <c r="M598" s="169"/>
    </row>
    <row r="599" spans="1:13" s="125" customFormat="1" ht="15.6" x14ac:dyDescent="0.25">
      <c r="A599" s="169"/>
      <c r="B599" s="145">
        <v>73417</v>
      </c>
      <c r="C599" s="170"/>
      <c r="D599" s="169" t="s">
        <v>36</v>
      </c>
      <c r="E599" s="171" t="s">
        <v>39</v>
      </c>
      <c r="F599" s="171"/>
      <c r="G599" s="172">
        <v>4.1999999999999997E-3</v>
      </c>
      <c r="H599" s="173">
        <f t="shared" si="66"/>
        <v>1178.5810642750407</v>
      </c>
      <c r="I599" s="174">
        <f t="shared" si="67"/>
        <v>22.67</v>
      </c>
      <c r="J599" s="175">
        <v>-1.0000000000001563E-2</v>
      </c>
      <c r="K599" s="176">
        <v>22.66</v>
      </c>
      <c r="L599" s="171"/>
      <c r="M599" s="169"/>
    </row>
    <row r="600" spans="1:13" s="125" customFormat="1" ht="15.6" x14ac:dyDescent="0.25">
      <c r="A600" s="169"/>
      <c r="B600" s="145">
        <v>73436</v>
      </c>
      <c r="C600" s="170"/>
      <c r="D600" s="169" t="s">
        <v>36</v>
      </c>
      <c r="E600" s="171" t="s">
        <v>39</v>
      </c>
      <c r="F600" s="171"/>
      <c r="G600" s="172">
        <v>4.1999999999999997E-3</v>
      </c>
      <c r="H600" s="173">
        <f t="shared" si="66"/>
        <v>1178.5810642750407</v>
      </c>
      <c r="I600" s="174">
        <f t="shared" si="67"/>
        <v>22.67</v>
      </c>
      <c r="J600" s="175">
        <v>-1.0000000000001563E-2</v>
      </c>
      <c r="K600" s="176">
        <v>22.66</v>
      </c>
      <c r="L600" s="171"/>
      <c r="M600" s="169"/>
    </row>
    <row r="601" spans="1:13" s="125" customFormat="1" ht="15.6" x14ac:dyDescent="0.25">
      <c r="A601" s="169"/>
      <c r="B601" s="145">
        <v>74222</v>
      </c>
      <c r="C601" s="170"/>
      <c r="D601" s="169" t="s">
        <v>36</v>
      </c>
      <c r="E601" s="171" t="s">
        <v>39</v>
      </c>
      <c r="F601" s="171"/>
      <c r="G601" s="172">
        <v>4.1999999999999997E-3</v>
      </c>
      <c r="H601" s="173">
        <f t="shared" si="66"/>
        <v>1178.5810642750407</v>
      </c>
      <c r="I601" s="174">
        <f t="shared" si="67"/>
        <v>22.67</v>
      </c>
      <c r="J601" s="175">
        <v>-1.0000000000001563E-2</v>
      </c>
      <c r="K601" s="176">
        <v>22.66</v>
      </c>
      <c r="L601" s="171"/>
      <c r="M601" s="169"/>
    </row>
    <row r="602" spans="1:13" s="125" customFormat="1" ht="15.6" x14ac:dyDescent="0.25">
      <c r="A602" s="169"/>
      <c r="B602" s="145">
        <v>74287</v>
      </c>
      <c r="C602" s="170"/>
      <c r="D602" s="169" t="s">
        <v>40</v>
      </c>
      <c r="E602" s="171" t="s">
        <v>39</v>
      </c>
      <c r="F602" s="171"/>
      <c r="G602" s="172">
        <v>4.1999999999999997E-3</v>
      </c>
      <c r="H602" s="173">
        <f t="shared" si="66"/>
        <v>1178.5810642750407</v>
      </c>
      <c r="I602" s="174">
        <f t="shared" si="67"/>
        <v>22.67</v>
      </c>
      <c r="J602" s="175">
        <v>-1.0000000000001563E-2</v>
      </c>
      <c r="K602" s="176">
        <v>22.66</v>
      </c>
      <c r="L602" s="171"/>
      <c r="M602" s="169"/>
    </row>
    <row r="603" spans="1:13" s="125" customFormat="1" ht="15.6" x14ac:dyDescent="0.25">
      <c r="A603" s="169"/>
      <c r="B603" s="145">
        <v>75267</v>
      </c>
      <c r="C603" s="170"/>
      <c r="D603" s="169" t="s">
        <v>36</v>
      </c>
      <c r="E603" s="171" t="s">
        <v>39</v>
      </c>
      <c r="F603" s="171"/>
      <c r="G603" s="172">
        <v>4.1999999999999997E-3</v>
      </c>
      <c r="H603" s="173">
        <f t="shared" si="66"/>
        <v>1178.5810642750407</v>
      </c>
      <c r="I603" s="174">
        <f t="shared" si="67"/>
        <v>22.67</v>
      </c>
      <c r="J603" s="175">
        <v>-1.0000000000001563E-2</v>
      </c>
      <c r="K603" s="176">
        <v>22.66</v>
      </c>
      <c r="L603" s="171"/>
      <c r="M603" s="169"/>
    </row>
    <row r="604" spans="1:13" s="125" customFormat="1" ht="15.6" x14ac:dyDescent="0.25">
      <c r="A604" s="169"/>
      <c r="B604" s="145">
        <v>76604</v>
      </c>
      <c r="C604" s="170"/>
      <c r="D604" s="169" t="s">
        <v>40</v>
      </c>
      <c r="E604" s="171" t="s">
        <v>39</v>
      </c>
      <c r="F604" s="171"/>
      <c r="G604" s="172">
        <v>4.1999999999999997E-3</v>
      </c>
      <c r="H604" s="173">
        <f t="shared" si="66"/>
        <v>1178.5810642750407</v>
      </c>
      <c r="I604" s="174">
        <f t="shared" si="67"/>
        <v>22.67</v>
      </c>
      <c r="J604" s="175">
        <v>-1.0000000000001563E-2</v>
      </c>
      <c r="K604" s="176">
        <v>22.66</v>
      </c>
      <c r="L604" s="171"/>
      <c r="M604" s="169"/>
    </row>
    <row r="605" spans="1:13" s="125" customFormat="1" ht="15.6" x14ac:dyDescent="0.25">
      <c r="A605" s="169"/>
      <c r="B605" s="145">
        <v>77330</v>
      </c>
      <c r="C605" s="170"/>
      <c r="D605" s="169" t="s">
        <v>36</v>
      </c>
      <c r="E605" s="171" t="s">
        <v>39</v>
      </c>
      <c r="F605" s="171"/>
      <c r="G605" s="172">
        <v>4.1999999999999997E-3</v>
      </c>
      <c r="H605" s="173">
        <f t="shared" si="66"/>
        <v>1178.5810642750407</v>
      </c>
      <c r="I605" s="174">
        <f t="shared" si="67"/>
        <v>22.67</v>
      </c>
      <c r="J605" s="175">
        <v>-1.0000000000001563E-2</v>
      </c>
      <c r="K605" s="176">
        <v>22.66</v>
      </c>
      <c r="L605" s="171"/>
      <c r="M605" s="169"/>
    </row>
    <row r="606" spans="1:13" s="125" customFormat="1" ht="15.6" x14ac:dyDescent="0.25">
      <c r="A606" s="169"/>
      <c r="B606" s="145">
        <v>77366</v>
      </c>
      <c r="C606" s="170"/>
      <c r="D606" s="169" t="s">
        <v>36</v>
      </c>
      <c r="E606" s="171" t="s">
        <v>39</v>
      </c>
      <c r="F606" s="171"/>
      <c r="G606" s="172">
        <v>4.1999999999999997E-3</v>
      </c>
      <c r="H606" s="173">
        <f t="shared" si="66"/>
        <v>1178.5810642750407</v>
      </c>
      <c r="I606" s="174">
        <f t="shared" si="67"/>
        <v>22.67</v>
      </c>
      <c r="J606" s="175">
        <v>-1.0000000000001563E-2</v>
      </c>
      <c r="K606" s="176">
        <v>22.66</v>
      </c>
      <c r="L606" s="171"/>
      <c r="M606" s="169"/>
    </row>
    <row r="607" spans="1:13" s="125" customFormat="1" ht="15.6" x14ac:dyDescent="0.25">
      <c r="A607" s="169"/>
      <c r="B607" s="145">
        <v>78451</v>
      </c>
      <c r="C607" s="170"/>
      <c r="D607" s="169" t="s">
        <v>36</v>
      </c>
      <c r="E607" s="171" t="s">
        <v>39</v>
      </c>
      <c r="F607" s="171"/>
      <c r="G607" s="172">
        <v>4.1999999999999997E-3</v>
      </c>
      <c r="H607" s="173">
        <f t="shared" si="66"/>
        <v>1178.5810642750407</v>
      </c>
      <c r="I607" s="174">
        <f t="shared" si="67"/>
        <v>22.67</v>
      </c>
      <c r="J607" s="175">
        <v>-1.0000000000001563E-2</v>
      </c>
      <c r="K607" s="176">
        <v>22.66</v>
      </c>
      <c r="L607" s="171"/>
      <c r="M607" s="169"/>
    </row>
    <row r="608" spans="1:13" s="125" customFormat="1" ht="15.6" x14ac:dyDescent="0.25">
      <c r="A608" s="169"/>
      <c r="B608" s="145">
        <v>79759</v>
      </c>
      <c r="C608" s="170"/>
      <c r="D608" s="169" t="s">
        <v>36</v>
      </c>
      <c r="E608" s="171" t="s">
        <v>39</v>
      </c>
      <c r="F608" s="171"/>
      <c r="G608" s="172">
        <v>4.1999999999999997E-3</v>
      </c>
      <c r="H608" s="173">
        <f t="shared" si="66"/>
        <v>1178.5810642750407</v>
      </c>
      <c r="I608" s="174">
        <f t="shared" si="67"/>
        <v>22.67</v>
      </c>
      <c r="J608" s="175">
        <v>-1.0000000000001563E-2</v>
      </c>
      <c r="K608" s="176">
        <v>22.66</v>
      </c>
      <c r="L608" s="171"/>
      <c r="M608" s="169"/>
    </row>
    <row r="609" spans="1:13" s="125" customFormat="1" ht="15.6" x14ac:dyDescent="0.25">
      <c r="A609" s="169"/>
      <c r="B609" s="145">
        <v>79954</v>
      </c>
      <c r="C609" s="170"/>
      <c r="D609" s="169" t="s">
        <v>40</v>
      </c>
      <c r="E609" s="171" t="s">
        <v>39</v>
      </c>
      <c r="F609" s="171"/>
      <c r="G609" s="172">
        <v>4.1999999999999997E-3</v>
      </c>
      <c r="H609" s="173">
        <f t="shared" si="66"/>
        <v>1178.5810642750407</v>
      </c>
      <c r="I609" s="174">
        <f t="shared" si="67"/>
        <v>22.67</v>
      </c>
      <c r="J609" s="175">
        <v>-1.0000000000001563E-2</v>
      </c>
      <c r="K609" s="176">
        <v>22.66</v>
      </c>
      <c r="L609" s="171"/>
      <c r="M609" s="169"/>
    </row>
    <row r="610" spans="1:13" s="125" customFormat="1" ht="15.6" x14ac:dyDescent="0.25">
      <c r="A610" s="169"/>
      <c r="B610" s="145">
        <v>80359</v>
      </c>
      <c r="C610" s="170"/>
      <c r="D610" s="169" t="s">
        <v>36</v>
      </c>
      <c r="E610" s="171" t="s">
        <v>39</v>
      </c>
      <c r="F610" s="171"/>
      <c r="G610" s="172">
        <v>4.1999999999999997E-3</v>
      </c>
      <c r="H610" s="173">
        <f t="shared" si="66"/>
        <v>1178.5810642750407</v>
      </c>
      <c r="I610" s="174">
        <f t="shared" si="67"/>
        <v>22.67</v>
      </c>
      <c r="J610" s="175">
        <v>-1.0000000000001563E-2</v>
      </c>
      <c r="K610" s="176">
        <v>22.66</v>
      </c>
      <c r="L610" s="171"/>
      <c r="M610" s="169"/>
    </row>
    <row r="611" spans="1:13" s="125" customFormat="1" ht="15.6" x14ac:dyDescent="0.25">
      <c r="A611" s="169"/>
      <c r="B611" s="145">
        <v>80938</v>
      </c>
      <c r="C611" s="170"/>
      <c r="D611" s="169" t="s">
        <v>40</v>
      </c>
      <c r="E611" s="171" t="s">
        <v>39</v>
      </c>
      <c r="F611" s="171"/>
      <c r="G611" s="172">
        <v>4.1999999999999997E-3</v>
      </c>
      <c r="H611" s="173">
        <f t="shared" si="66"/>
        <v>1178.5810642750407</v>
      </c>
      <c r="I611" s="174">
        <f t="shared" si="67"/>
        <v>22.67</v>
      </c>
      <c r="J611" s="175">
        <v>-1.0000000000001563E-2</v>
      </c>
      <c r="K611" s="176">
        <v>22.66</v>
      </c>
      <c r="L611" s="171"/>
      <c r="M611" s="169"/>
    </row>
    <row r="612" spans="1:13" s="125" customFormat="1" ht="15.6" x14ac:dyDescent="0.25">
      <c r="A612" s="169"/>
      <c r="B612" s="145">
        <v>81138</v>
      </c>
      <c r="C612" s="170"/>
      <c r="D612" s="169" t="s">
        <v>36</v>
      </c>
      <c r="E612" s="171" t="s">
        <v>39</v>
      </c>
      <c r="F612" s="171"/>
      <c r="G612" s="172">
        <v>4.1999999999999997E-3</v>
      </c>
      <c r="H612" s="173">
        <f t="shared" si="66"/>
        <v>1178.5810642750407</v>
      </c>
      <c r="I612" s="174">
        <f t="shared" si="67"/>
        <v>22.67</v>
      </c>
      <c r="J612" s="175">
        <v>-1.0000000000001563E-2</v>
      </c>
      <c r="K612" s="176">
        <v>22.66</v>
      </c>
      <c r="L612" s="171"/>
      <c r="M612" s="169"/>
    </row>
    <row r="613" spans="1:13" s="125" customFormat="1" ht="15.6" x14ac:dyDescent="0.25">
      <c r="A613" s="169"/>
      <c r="B613" s="145">
        <v>81473</v>
      </c>
      <c r="C613" s="170"/>
      <c r="D613" s="169" t="s">
        <v>36</v>
      </c>
      <c r="E613" s="171" t="s">
        <v>39</v>
      </c>
      <c r="F613" s="171"/>
      <c r="G613" s="172">
        <v>4.1999999999999997E-3</v>
      </c>
      <c r="H613" s="173">
        <f t="shared" si="66"/>
        <v>1178.5810642750407</v>
      </c>
      <c r="I613" s="174">
        <f t="shared" si="67"/>
        <v>22.67</v>
      </c>
      <c r="J613" s="175">
        <v>-1.0000000000001563E-2</v>
      </c>
      <c r="K613" s="176">
        <v>22.66</v>
      </c>
      <c r="L613" s="171"/>
      <c r="M613" s="169"/>
    </row>
    <row r="614" spans="1:13" s="125" customFormat="1" ht="15.6" x14ac:dyDescent="0.25">
      <c r="A614" s="169"/>
      <c r="B614" s="145">
        <v>82639</v>
      </c>
      <c r="C614" s="170"/>
      <c r="D614" s="169" t="s">
        <v>36</v>
      </c>
      <c r="E614" s="171" t="s">
        <v>39</v>
      </c>
      <c r="F614" s="171"/>
      <c r="G614" s="172">
        <v>5.3E-3</v>
      </c>
      <c r="H614" s="173">
        <f t="shared" si="66"/>
        <v>1487.2570572994562</v>
      </c>
      <c r="I614" s="174">
        <f t="shared" si="67"/>
        <v>28.6</v>
      </c>
      <c r="J614" s="175">
        <v>9.9999999999980105E-3</v>
      </c>
      <c r="K614" s="176">
        <v>28.61</v>
      </c>
      <c r="L614" s="171"/>
      <c r="M614" s="169"/>
    </row>
    <row r="615" spans="1:13" s="125" customFormat="1" ht="15.6" x14ac:dyDescent="0.25">
      <c r="A615" s="169"/>
      <c r="B615" s="145">
        <v>82844</v>
      </c>
      <c r="C615" s="170"/>
      <c r="D615" s="169" t="s">
        <v>36</v>
      </c>
      <c r="E615" s="171" t="s">
        <v>39</v>
      </c>
      <c r="F615" s="171"/>
      <c r="G615" s="172">
        <v>4.1999999999999997E-3</v>
      </c>
      <c r="H615" s="173">
        <f t="shared" si="66"/>
        <v>1178.5810642750407</v>
      </c>
      <c r="I615" s="174">
        <f t="shared" si="67"/>
        <v>22.67</v>
      </c>
      <c r="J615" s="175">
        <v>-1.0000000000001563E-2</v>
      </c>
      <c r="K615" s="176">
        <v>22.66</v>
      </c>
      <c r="L615" s="171"/>
      <c r="M615" s="169"/>
    </row>
    <row r="616" spans="1:13" s="125" customFormat="1" ht="15.6" x14ac:dyDescent="0.25">
      <c r="A616" s="169"/>
      <c r="B616" s="145">
        <v>82861</v>
      </c>
      <c r="C616" s="170"/>
      <c r="D616" s="169" t="s">
        <v>36</v>
      </c>
      <c r="E616" s="171" t="s">
        <v>39</v>
      </c>
      <c r="F616" s="171"/>
      <c r="G616" s="172">
        <v>4.1999999999999997E-3</v>
      </c>
      <c r="H616" s="173">
        <f t="shared" si="66"/>
        <v>1178.5810642750407</v>
      </c>
      <c r="I616" s="174">
        <f t="shared" si="67"/>
        <v>22.67</v>
      </c>
      <c r="J616" s="175">
        <v>-1.0000000000001563E-2</v>
      </c>
      <c r="K616" s="176">
        <v>22.66</v>
      </c>
      <c r="L616" s="171"/>
      <c r="M616" s="169"/>
    </row>
    <row r="617" spans="1:13" s="125" customFormat="1" ht="15.6" x14ac:dyDescent="0.25">
      <c r="A617" s="169"/>
      <c r="B617" s="145">
        <v>83953</v>
      </c>
      <c r="C617" s="170"/>
      <c r="D617" s="169" t="s">
        <v>36</v>
      </c>
      <c r="E617" s="171" t="s">
        <v>39</v>
      </c>
      <c r="F617" s="171"/>
      <c r="G617" s="172">
        <v>4.1999999999999997E-3</v>
      </c>
      <c r="H617" s="173">
        <f t="shared" si="66"/>
        <v>1178.5810642750407</v>
      </c>
      <c r="I617" s="174">
        <f t="shared" si="67"/>
        <v>22.67</v>
      </c>
      <c r="J617" s="175">
        <v>-1.0000000000001563E-2</v>
      </c>
      <c r="K617" s="176">
        <v>22.66</v>
      </c>
      <c r="L617" s="171"/>
      <c r="M617" s="169"/>
    </row>
    <row r="618" spans="1:13" s="125" customFormat="1" ht="15.6" x14ac:dyDescent="0.25">
      <c r="A618" s="169"/>
      <c r="B618" s="145">
        <v>84331</v>
      </c>
      <c r="C618" s="170"/>
      <c r="D618" s="169" t="s">
        <v>40</v>
      </c>
      <c r="E618" s="171" t="s">
        <v>39</v>
      </c>
      <c r="F618" s="171"/>
      <c r="G618" s="172">
        <v>4.1999999999999997E-3</v>
      </c>
      <c r="H618" s="173">
        <f t="shared" si="66"/>
        <v>1178.5810642750407</v>
      </c>
      <c r="I618" s="174">
        <f t="shared" si="67"/>
        <v>22.67</v>
      </c>
      <c r="J618" s="175">
        <v>-1.0000000000001563E-2</v>
      </c>
      <c r="K618" s="176">
        <v>22.66</v>
      </c>
      <c r="L618" s="171"/>
      <c r="M618" s="169"/>
    </row>
    <row r="619" spans="1:13" s="125" customFormat="1" ht="15.6" x14ac:dyDescent="0.25">
      <c r="A619" s="169"/>
      <c r="B619" s="145">
        <v>85377</v>
      </c>
      <c r="C619" s="170"/>
      <c r="D619" s="169" t="s">
        <v>36</v>
      </c>
      <c r="E619" s="171" t="s">
        <v>39</v>
      </c>
      <c r="F619" s="171"/>
      <c r="G619" s="172">
        <v>4.1999999999999997E-3</v>
      </c>
      <c r="H619" s="173">
        <f t="shared" si="66"/>
        <v>1178.5810642750407</v>
      </c>
      <c r="I619" s="174">
        <f t="shared" si="67"/>
        <v>22.67</v>
      </c>
      <c r="J619" s="175">
        <v>-1.0000000000001563E-2</v>
      </c>
      <c r="K619" s="176">
        <v>22.66</v>
      </c>
      <c r="L619" s="171"/>
      <c r="M619" s="169"/>
    </row>
    <row r="620" spans="1:13" s="125" customFormat="1" ht="15.6" x14ac:dyDescent="0.25">
      <c r="A620" s="169"/>
      <c r="B620" s="145">
        <v>86248</v>
      </c>
      <c r="C620" s="170"/>
      <c r="D620" s="169" t="s">
        <v>40</v>
      </c>
      <c r="E620" s="171" t="s">
        <v>39</v>
      </c>
      <c r="F620" s="171"/>
      <c r="G620" s="172">
        <v>5.5999999999999999E-3</v>
      </c>
      <c r="H620" s="173">
        <f t="shared" ref="H620:H658" si="68">G620/$G$659*$H$659</f>
        <v>1571.4414190333875</v>
      </c>
      <c r="I620" s="174">
        <f t="shared" ref="I620:I658" si="69">ROUND(H620/52,2)</f>
        <v>30.22</v>
      </c>
      <c r="J620" s="175">
        <v>0</v>
      </c>
      <c r="K620" s="176">
        <v>30.22</v>
      </c>
      <c r="L620" s="171"/>
      <c r="M620" s="169"/>
    </row>
    <row r="621" spans="1:13" s="125" customFormat="1" ht="15.6" x14ac:dyDescent="0.25">
      <c r="A621" s="169"/>
      <c r="B621" s="145">
        <v>86701</v>
      </c>
      <c r="C621" s="170"/>
      <c r="D621" s="169" t="s">
        <v>36</v>
      </c>
      <c r="E621" s="171" t="s">
        <v>39</v>
      </c>
      <c r="F621" s="171"/>
      <c r="G621" s="172">
        <v>4.1999999999999997E-3</v>
      </c>
      <c r="H621" s="173">
        <f t="shared" si="68"/>
        <v>1178.5810642750407</v>
      </c>
      <c r="I621" s="174">
        <f t="shared" si="69"/>
        <v>22.67</v>
      </c>
      <c r="J621" s="175">
        <v>-1.0000000000001563E-2</v>
      </c>
      <c r="K621" s="176">
        <v>22.66</v>
      </c>
      <c r="L621" s="171"/>
      <c r="M621" s="169"/>
    </row>
    <row r="622" spans="1:13" s="125" customFormat="1" ht="15.6" x14ac:dyDescent="0.25">
      <c r="A622" s="169"/>
      <c r="B622" s="145">
        <v>88120</v>
      </c>
      <c r="C622" s="170"/>
      <c r="D622" s="169" t="s">
        <v>36</v>
      </c>
      <c r="E622" s="171" t="s">
        <v>39</v>
      </c>
      <c r="F622" s="171"/>
      <c r="G622" s="172">
        <v>4.1999999999999997E-3</v>
      </c>
      <c r="H622" s="173">
        <f t="shared" si="68"/>
        <v>1178.5810642750407</v>
      </c>
      <c r="I622" s="174">
        <f t="shared" si="69"/>
        <v>22.67</v>
      </c>
      <c r="J622" s="175">
        <v>-1.0000000000001563E-2</v>
      </c>
      <c r="K622" s="176">
        <v>22.66</v>
      </c>
      <c r="L622" s="171"/>
      <c r="M622" s="169"/>
    </row>
    <row r="623" spans="1:13" s="125" customFormat="1" ht="15.6" x14ac:dyDescent="0.25">
      <c r="A623" s="169"/>
      <c r="B623" s="145">
        <v>88232</v>
      </c>
      <c r="C623" s="170"/>
      <c r="D623" s="169" t="s">
        <v>36</v>
      </c>
      <c r="E623" s="171" t="s">
        <v>39</v>
      </c>
      <c r="F623" s="171"/>
      <c r="G623" s="172">
        <v>4.1999999999999997E-3</v>
      </c>
      <c r="H623" s="173">
        <f t="shared" si="68"/>
        <v>1178.5810642750407</v>
      </c>
      <c r="I623" s="174">
        <f t="shared" si="69"/>
        <v>22.67</v>
      </c>
      <c r="J623" s="175">
        <v>-1.0000000000001563E-2</v>
      </c>
      <c r="K623" s="176">
        <v>22.66</v>
      </c>
      <c r="L623" s="188"/>
      <c r="M623" s="169"/>
    </row>
    <row r="624" spans="1:13" s="125" customFormat="1" ht="15.6" x14ac:dyDescent="0.25">
      <c r="A624" s="169"/>
      <c r="B624" s="145">
        <v>88523</v>
      </c>
      <c r="C624" s="170"/>
      <c r="D624" s="169" t="s">
        <v>40</v>
      </c>
      <c r="E624" s="171" t="s">
        <v>39</v>
      </c>
      <c r="F624" s="171"/>
      <c r="G624" s="172">
        <v>4.1999999999999997E-3</v>
      </c>
      <c r="H624" s="173">
        <f t="shared" si="68"/>
        <v>1178.5810642750407</v>
      </c>
      <c r="I624" s="174">
        <f t="shared" si="69"/>
        <v>22.67</v>
      </c>
      <c r="J624" s="175">
        <v>-1.0000000000001563E-2</v>
      </c>
      <c r="K624" s="176">
        <v>22.66</v>
      </c>
      <c r="L624" s="171"/>
      <c r="M624" s="169"/>
    </row>
    <row r="625" spans="1:13" s="125" customFormat="1" ht="15.6" x14ac:dyDescent="0.25">
      <c r="A625" s="169"/>
      <c r="B625" s="145">
        <v>88902</v>
      </c>
      <c r="C625" s="170"/>
      <c r="D625" s="169" t="s">
        <v>40</v>
      </c>
      <c r="E625" s="171" t="s">
        <v>39</v>
      </c>
      <c r="F625" s="171"/>
      <c r="G625" s="172">
        <v>4.1999999999999997E-3</v>
      </c>
      <c r="H625" s="173">
        <f t="shared" si="68"/>
        <v>1178.5810642750407</v>
      </c>
      <c r="I625" s="174">
        <f t="shared" si="69"/>
        <v>22.67</v>
      </c>
      <c r="J625" s="175">
        <v>-1.0000000000001563E-2</v>
      </c>
      <c r="K625" s="176">
        <v>22.66</v>
      </c>
      <c r="L625" s="171"/>
      <c r="M625" s="169"/>
    </row>
    <row r="626" spans="1:13" s="125" customFormat="1" ht="15.6" x14ac:dyDescent="0.25">
      <c r="A626" s="169"/>
      <c r="B626" s="145">
        <v>89400</v>
      </c>
      <c r="C626" s="170"/>
      <c r="D626" s="169" t="s">
        <v>40</v>
      </c>
      <c r="E626" s="171" t="s">
        <v>39</v>
      </c>
      <c r="F626" s="171"/>
      <c r="G626" s="172">
        <v>5.3E-3</v>
      </c>
      <c r="H626" s="173">
        <f t="shared" si="68"/>
        <v>1487.2570572994562</v>
      </c>
      <c r="I626" s="174">
        <f t="shared" si="69"/>
        <v>28.6</v>
      </c>
      <c r="J626" s="175">
        <v>9.9999999999980105E-3</v>
      </c>
      <c r="K626" s="176">
        <v>28.61</v>
      </c>
      <c r="L626" s="171"/>
      <c r="M626" s="169"/>
    </row>
    <row r="627" spans="1:13" s="125" customFormat="1" ht="15.6" x14ac:dyDescent="0.25">
      <c r="A627" s="169"/>
      <c r="B627" s="145">
        <v>89550</v>
      </c>
      <c r="C627" s="170"/>
      <c r="D627" s="169" t="s">
        <v>36</v>
      </c>
      <c r="E627" s="171" t="s">
        <v>39</v>
      </c>
      <c r="F627" s="171"/>
      <c r="G627" s="172">
        <v>4.1999999999999997E-3</v>
      </c>
      <c r="H627" s="173">
        <f t="shared" si="68"/>
        <v>1178.5810642750407</v>
      </c>
      <c r="I627" s="174">
        <f t="shared" si="69"/>
        <v>22.67</v>
      </c>
      <c r="J627" s="175">
        <v>-1.0000000000001563E-2</v>
      </c>
      <c r="K627" s="176">
        <v>22.66</v>
      </c>
      <c r="L627" s="171"/>
      <c r="M627" s="169"/>
    </row>
    <row r="628" spans="1:13" s="125" customFormat="1" ht="15.6" x14ac:dyDescent="0.25">
      <c r="A628" s="169"/>
      <c r="B628" s="145">
        <v>90014</v>
      </c>
      <c r="C628" s="170"/>
      <c r="D628" s="169" t="s">
        <v>40</v>
      </c>
      <c r="E628" s="171" t="s">
        <v>39</v>
      </c>
      <c r="F628" s="171"/>
      <c r="G628" s="172">
        <v>4.1999999999999997E-3</v>
      </c>
      <c r="H628" s="173">
        <f t="shared" si="68"/>
        <v>1178.5810642750407</v>
      </c>
      <c r="I628" s="174">
        <f t="shared" si="69"/>
        <v>22.67</v>
      </c>
      <c r="J628" s="175">
        <v>-1.0000000000001563E-2</v>
      </c>
      <c r="K628" s="176">
        <v>22.66</v>
      </c>
      <c r="L628" s="171"/>
      <c r="M628" s="169"/>
    </row>
    <row r="629" spans="1:13" s="125" customFormat="1" ht="15.6" x14ac:dyDescent="0.25">
      <c r="A629" s="169"/>
      <c r="B629" s="145">
        <v>90046</v>
      </c>
      <c r="C629" s="170"/>
      <c r="D629" s="169" t="s">
        <v>36</v>
      </c>
      <c r="E629" s="171" t="s">
        <v>39</v>
      </c>
      <c r="F629" s="171"/>
      <c r="G629" s="172">
        <v>4.1999999999999997E-3</v>
      </c>
      <c r="H629" s="173">
        <f t="shared" si="68"/>
        <v>1178.5810642750407</v>
      </c>
      <c r="I629" s="174">
        <f t="shared" si="69"/>
        <v>22.67</v>
      </c>
      <c r="J629" s="175">
        <v>-1.0000000000001563E-2</v>
      </c>
      <c r="K629" s="176">
        <v>22.66</v>
      </c>
      <c r="L629" s="171"/>
      <c r="M629" s="169"/>
    </row>
    <row r="630" spans="1:13" s="125" customFormat="1" ht="15.6" x14ac:dyDescent="0.25">
      <c r="A630" s="169"/>
      <c r="B630" s="145">
        <v>90234</v>
      </c>
      <c r="C630" s="170"/>
      <c r="D630" s="169" t="s">
        <v>40</v>
      </c>
      <c r="E630" s="171" t="s">
        <v>39</v>
      </c>
      <c r="F630" s="171"/>
      <c r="G630" s="172">
        <v>4.1999999999999997E-3</v>
      </c>
      <c r="H630" s="173">
        <f t="shared" si="68"/>
        <v>1178.5810642750407</v>
      </c>
      <c r="I630" s="174">
        <f t="shared" si="69"/>
        <v>22.67</v>
      </c>
      <c r="J630" s="175">
        <v>-1.0000000000001563E-2</v>
      </c>
      <c r="K630" s="176">
        <v>22.66</v>
      </c>
      <c r="L630" s="171"/>
      <c r="M630" s="169"/>
    </row>
    <row r="631" spans="1:13" s="125" customFormat="1" ht="15.6" x14ac:dyDescent="0.25">
      <c r="A631" s="169"/>
      <c r="B631" s="145">
        <v>90840</v>
      </c>
      <c r="C631" s="170"/>
      <c r="D631" s="169" t="s">
        <v>36</v>
      </c>
      <c r="E631" s="171" t="s">
        <v>39</v>
      </c>
      <c r="F631" s="171"/>
      <c r="G631" s="172">
        <v>6.4999999999999997E-3</v>
      </c>
      <c r="H631" s="173">
        <f t="shared" si="68"/>
        <v>1823.9945042351819</v>
      </c>
      <c r="I631" s="174">
        <f t="shared" si="69"/>
        <v>35.08</v>
      </c>
      <c r="J631" s="175">
        <v>0</v>
      </c>
      <c r="K631" s="176">
        <v>35.08</v>
      </c>
      <c r="L631" s="171"/>
      <c r="M631" s="169"/>
    </row>
    <row r="632" spans="1:13" s="125" customFormat="1" ht="15.6" x14ac:dyDescent="0.25">
      <c r="A632" s="169"/>
      <c r="B632" s="145">
        <v>91106</v>
      </c>
      <c r="C632" s="170"/>
      <c r="D632" s="169" t="s">
        <v>36</v>
      </c>
      <c r="E632" s="171" t="s">
        <v>39</v>
      </c>
      <c r="F632" s="171"/>
      <c r="G632" s="172">
        <v>4.1999999999999997E-3</v>
      </c>
      <c r="H632" s="173">
        <f t="shared" si="68"/>
        <v>1178.5810642750407</v>
      </c>
      <c r="I632" s="174">
        <f t="shared" si="69"/>
        <v>22.67</v>
      </c>
      <c r="J632" s="175">
        <v>-1.0000000000001563E-2</v>
      </c>
      <c r="K632" s="176">
        <v>22.66</v>
      </c>
      <c r="L632" s="171"/>
      <c r="M632" s="169"/>
    </row>
    <row r="633" spans="1:13" s="125" customFormat="1" ht="15.6" x14ac:dyDescent="0.25">
      <c r="A633" s="169"/>
      <c r="B633" s="145">
        <v>91158</v>
      </c>
      <c r="C633" s="170"/>
      <c r="D633" s="169" t="s">
        <v>40</v>
      </c>
      <c r="E633" s="171" t="s">
        <v>39</v>
      </c>
      <c r="F633" s="171"/>
      <c r="G633" s="172">
        <v>4.1999999999999997E-3</v>
      </c>
      <c r="H633" s="173">
        <f t="shared" si="68"/>
        <v>1178.5810642750407</v>
      </c>
      <c r="I633" s="174">
        <f t="shared" si="69"/>
        <v>22.67</v>
      </c>
      <c r="J633" s="175">
        <v>-1.0000000000001563E-2</v>
      </c>
      <c r="K633" s="176">
        <v>22.66</v>
      </c>
      <c r="L633" s="171"/>
      <c r="M633" s="169"/>
    </row>
    <row r="634" spans="1:13" s="125" customFormat="1" ht="15.6" x14ac:dyDescent="0.25">
      <c r="A634" s="169"/>
      <c r="B634" s="145">
        <v>91239</v>
      </c>
      <c r="C634" s="170"/>
      <c r="D634" s="169" t="s">
        <v>36</v>
      </c>
      <c r="E634" s="171" t="s">
        <v>39</v>
      </c>
      <c r="F634" s="171"/>
      <c r="G634" s="172">
        <v>4.1999999999999997E-3</v>
      </c>
      <c r="H634" s="173">
        <f t="shared" si="68"/>
        <v>1178.5810642750407</v>
      </c>
      <c r="I634" s="174">
        <f t="shared" si="69"/>
        <v>22.67</v>
      </c>
      <c r="J634" s="175">
        <v>-1.0000000000001563E-2</v>
      </c>
      <c r="K634" s="176">
        <v>22.66</v>
      </c>
      <c r="L634" s="171"/>
      <c r="M634" s="169"/>
    </row>
    <row r="635" spans="1:13" s="125" customFormat="1" ht="15.6" x14ac:dyDescent="0.25">
      <c r="A635" s="169"/>
      <c r="B635" s="145">
        <v>91255</v>
      </c>
      <c r="C635" s="170"/>
      <c r="D635" s="169" t="s">
        <v>36</v>
      </c>
      <c r="E635" s="171" t="s">
        <v>39</v>
      </c>
      <c r="F635" s="171"/>
      <c r="G635" s="172">
        <v>5.5999999999999999E-3</v>
      </c>
      <c r="H635" s="173">
        <f t="shared" si="68"/>
        <v>1571.4414190333875</v>
      </c>
      <c r="I635" s="174">
        <f t="shared" si="69"/>
        <v>30.22</v>
      </c>
      <c r="J635" s="175">
        <v>0</v>
      </c>
      <c r="K635" s="176">
        <v>30.22</v>
      </c>
      <c r="L635" s="171"/>
      <c r="M635" s="169"/>
    </row>
    <row r="636" spans="1:13" s="125" customFormat="1" ht="15.6" x14ac:dyDescent="0.25">
      <c r="A636" s="169"/>
      <c r="B636" s="145">
        <v>91320</v>
      </c>
      <c r="C636" s="170"/>
      <c r="D636" s="169" t="s">
        <v>40</v>
      </c>
      <c r="E636" s="171" t="s">
        <v>39</v>
      </c>
      <c r="F636" s="171"/>
      <c r="G636" s="172">
        <v>5.3E-3</v>
      </c>
      <c r="H636" s="173">
        <f t="shared" si="68"/>
        <v>1487.2570572994562</v>
      </c>
      <c r="I636" s="174">
        <f t="shared" si="69"/>
        <v>28.6</v>
      </c>
      <c r="J636" s="175">
        <v>9.9999999999980105E-3</v>
      </c>
      <c r="K636" s="176">
        <v>28.61</v>
      </c>
      <c r="L636" s="171"/>
      <c r="M636" s="169"/>
    </row>
    <row r="637" spans="1:13" s="125" customFormat="1" ht="15.6" x14ac:dyDescent="0.25">
      <c r="A637" s="169"/>
      <c r="B637" s="145">
        <v>92705</v>
      </c>
      <c r="C637" s="170"/>
      <c r="D637" s="169" t="s">
        <v>36</v>
      </c>
      <c r="E637" s="171" t="s">
        <v>39</v>
      </c>
      <c r="F637" s="171"/>
      <c r="G637" s="172">
        <v>4.1999999999999997E-3</v>
      </c>
      <c r="H637" s="173">
        <f t="shared" si="68"/>
        <v>1178.5810642750407</v>
      </c>
      <c r="I637" s="174">
        <f t="shared" si="69"/>
        <v>22.67</v>
      </c>
      <c r="J637" s="175">
        <v>-1.0000000000001563E-2</v>
      </c>
      <c r="K637" s="176">
        <v>22.66</v>
      </c>
      <c r="L637" s="171"/>
      <c r="M637" s="169"/>
    </row>
    <row r="638" spans="1:13" s="125" customFormat="1" ht="15.6" x14ac:dyDescent="0.25">
      <c r="A638" s="169"/>
      <c r="B638" s="145">
        <v>93056</v>
      </c>
      <c r="C638" s="170"/>
      <c r="D638" s="169" t="s">
        <v>40</v>
      </c>
      <c r="E638" s="171" t="s">
        <v>39</v>
      </c>
      <c r="F638" s="171"/>
      <c r="G638" s="172">
        <v>4.1999999999999997E-3</v>
      </c>
      <c r="H638" s="173">
        <f t="shared" si="68"/>
        <v>1178.5810642750407</v>
      </c>
      <c r="I638" s="174">
        <f t="shared" si="69"/>
        <v>22.67</v>
      </c>
      <c r="J638" s="175">
        <v>-1.0000000000001563E-2</v>
      </c>
      <c r="K638" s="176">
        <v>22.66</v>
      </c>
      <c r="L638" s="171"/>
      <c r="M638" s="169"/>
    </row>
    <row r="639" spans="1:13" s="125" customFormat="1" ht="15.6" x14ac:dyDescent="0.25">
      <c r="A639" s="169"/>
      <c r="B639" s="145">
        <v>93393</v>
      </c>
      <c r="C639" s="170"/>
      <c r="D639" s="169" t="s">
        <v>36</v>
      </c>
      <c r="E639" s="171" t="s">
        <v>39</v>
      </c>
      <c r="F639" s="171"/>
      <c r="G639" s="172">
        <v>4.1999999999999997E-3</v>
      </c>
      <c r="H639" s="173">
        <f t="shared" si="68"/>
        <v>1178.5810642750407</v>
      </c>
      <c r="I639" s="174">
        <f t="shared" si="69"/>
        <v>22.67</v>
      </c>
      <c r="J639" s="175">
        <v>-1.0000000000001563E-2</v>
      </c>
      <c r="K639" s="176">
        <v>22.66</v>
      </c>
      <c r="L639" s="171"/>
      <c r="M639" s="169"/>
    </row>
    <row r="640" spans="1:13" s="125" customFormat="1" ht="15.6" x14ac:dyDescent="0.25">
      <c r="A640" s="169"/>
      <c r="B640" s="145">
        <v>93433</v>
      </c>
      <c r="C640" s="170"/>
      <c r="D640" s="169" t="s">
        <v>36</v>
      </c>
      <c r="E640" s="171" t="s">
        <v>39</v>
      </c>
      <c r="F640" s="171"/>
      <c r="G640" s="172">
        <v>4.1999999999999997E-3</v>
      </c>
      <c r="H640" s="173">
        <f t="shared" si="68"/>
        <v>1178.5810642750407</v>
      </c>
      <c r="I640" s="174">
        <f t="shared" si="69"/>
        <v>22.67</v>
      </c>
      <c r="J640" s="175">
        <v>-1.0000000000001563E-2</v>
      </c>
      <c r="K640" s="176">
        <v>22.66</v>
      </c>
      <c r="L640" s="171"/>
      <c r="M640" s="169"/>
    </row>
    <row r="641" spans="1:13" s="125" customFormat="1" ht="15.6" x14ac:dyDescent="0.25">
      <c r="A641" s="169"/>
      <c r="B641" s="145">
        <v>93624</v>
      </c>
      <c r="C641" s="170"/>
      <c r="D641" s="169" t="s">
        <v>36</v>
      </c>
      <c r="E641" s="171" t="s">
        <v>39</v>
      </c>
      <c r="F641" s="171"/>
      <c r="G641" s="172">
        <v>4.1999999999999997E-3</v>
      </c>
      <c r="H641" s="173">
        <f t="shared" si="68"/>
        <v>1178.5810642750407</v>
      </c>
      <c r="I641" s="174">
        <f t="shared" si="69"/>
        <v>22.67</v>
      </c>
      <c r="J641" s="175">
        <v>-1.0000000000001563E-2</v>
      </c>
      <c r="K641" s="176">
        <v>22.66</v>
      </c>
      <c r="L641" s="171"/>
      <c r="M641" s="169"/>
    </row>
    <row r="642" spans="1:13" s="125" customFormat="1" ht="15.6" x14ac:dyDescent="0.25">
      <c r="A642" s="169"/>
      <c r="B642" s="145">
        <v>93631</v>
      </c>
      <c r="C642" s="170"/>
      <c r="D642" s="169" t="s">
        <v>40</v>
      </c>
      <c r="E642" s="171" t="s">
        <v>39</v>
      </c>
      <c r="F642" s="171"/>
      <c r="G642" s="172">
        <v>4.1999999999999997E-3</v>
      </c>
      <c r="H642" s="173">
        <f t="shared" si="68"/>
        <v>1178.5810642750407</v>
      </c>
      <c r="I642" s="174">
        <f t="shared" si="69"/>
        <v>22.67</v>
      </c>
      <c r="J642" s="175">
        <v>-1.0000000000001563E-2</v>
      </c>
      <c r="K642" s="176">
        <v>22.66</v>
      </c>
      <c r="L642" s="171"/>
      <c r="M642" s="169"/>
    </row>
    <row r="643" spans="1:13" s="125" customFormat="1" ht="15.6" x14ac:dyDescent="0.25">
      <c r="A643" s="169"/>
      <c r="B643" s="145">
        <v>94022</v>
      </c>
      <c r="C643" s="170"/>
      <c r="D643" s="169" t="s">
        <v>36</v>
      </c>
      <c r="E643" s="171" t="s">
        <v>39</v>
      </c>
      <c r="F643" s="171"/>
      <c r="G643" s="172">
        <v>4.1999999999999997E-3</v>
      </c>
      <c r="H643" s="173">
        <f t="shared" si="68"/>
        <v>1178.5810642750407</v>
      </c>
      <c r="I643" s="174">
        <f t="shared" si="69"/>
        <v>22.67</v>
      </c>
      <c r="J643" s="175">
        <v>-1.0000000000001563E-2</v>
      </c>
      <c r="K643" s="176">
        <v>22.66</v>
      </c>
      <c r="L643" s="171"/>
      <c r="M643" s="169"/>
    </row>
    <row r="644" spans="1:13" s="125" customFormat="1" ht="15.6" x14ac:dyDescent="0.25">
      <c r="A644" s="169"/>
      <c r="B644" s="145">
        <v>94180</v>
      </c>
      <c r="C644" s="170"/>
      <c r="D644" s="169" t="s">
        <v>36</v>
      </c>
      <c r="E644" s="171" t="s">
        <v>39</v>
      </c>
      <c r="F644" s="171"/>
      <c r="G644" s="172">
        <v>4.1999999999999997E-3</v>
      </c>
      <c r="H644" s="173">
        <f t="shared" si="68"/>
        <v>1178.5810642750407</v>
      </c>
      <c r="I644" s="174">
        <f t="shared" si="69"/>
        <v>22.67</v>
      </c>
      <c r="J644" s="175">
        <v>-1.0000000000001563E-2</v>
      </c>
      <c r="K644" s="176">
        <v>22.66</v>
      </c>
      <c r="L644" s="171"/>
      <c r="M644" s="169"/>
    </row>
    <row r="645" spans="1:13" s="125" customFormat="1" ht="15.6" x14ac:dyDescent="0.25">
      <c r="A645" s="169"/>
      <c r="B645" s="145">
        <v>94523</v>
      </c>
      <c r="C645" s="170"/>
      <c r="D645" s="169" t="s">
        <v>40</v>
      </c>
      <c r="E645" s="171" t="s">
        <v>39</v>
      </c>
      <c r="F645" s="171"/>
      <c r="G645" s="172">
        <v>5.3E-3</v>
      </c>
      <c r="H645" s="173">
        <f t="shared" si="68"/>
        <v>1487.2570572994562</v>
      </c>
      <c r="I645" s="174">
        <f t="shared" si="69"/>
        <v>28.6</v>
      </c>
      <c r="J645" s="175">
        <v>9.9999999999980105E-3</v>
      </c>
      <c r="K645" s="176">
        <v>28.61</v>
      </c>
      <c r="L645" s="171"/>
      <c r="M645" s="169"/>
    </row>
    <row r="646" spans="1:13" s="125" customFormat="1" ht="15.6" x14ac:dyDescent="0.25">
      <c r="A646" s="169"/>
      <c r="B646" s="145">
        <v>94730</v>
      </c>
      <c r="C646" s="170"/>
      <c r="D646" s="169" t="s">
        <v>40</v>
      </c>
      <c r="E646" s="171" t="s">
        <v>39</v>
      </c>
      <c r="F646" s="171"/>
      <c r="G646" s="172">
        <v>4.1999999999999997E-3</v>
      </c>
      <c r="H646" s="173">
        <f t="shared" si="68"/>
        <v>1178.5810642750407</v>
      </c>
      <c r="I646" s="174">
        <f t="shared" si="69"/>
        <v>22.67</v>
      </c>
      <c r="J646" s="175">
        <v>-1.0000000000001563E-2</v>
      </c>
      <c r="K646" s="176">
        <v>22.66</v>
      </c>
      <c r="L646" s="171"/>
      <c r="M646" s="169"/>
    </row>
    <row r="647" spans="1:13" s="125" customFormat="1" ht="15.6" x14ac:dyDescent="0.25">
      <c r="A647" s="169"/>
      <c r="B647" s="145">
        <v>95056</v>
      </c>
      <c r="C647" s="170"/>
      <c r="D647" s="169" t="s">
        <v>36</v>
      </c>
      <c r="E647" s="171" t="s">
        <v>39</v>
      </c>
      <c r="F647" s="171"/>
      <c r="G647" s="172">
        <v>5.3E-3</v>
      </c>
      <c r="H647" s="173">
        <f t="shared" si="68"/>
        <v>1487.2570572994562</v>
      </c>
      <c r="I647" s="174">
        <f t="shared" si="69"/>
        <v>28.6</v>
      </c>
      <c r="J647" s="175">
        <v>9.9999999999980105E-3</v>
      </c>
      <c r="K647" s="176">
        <v>28.61</v>
      </c>
      <c r="L647" s="171"/>
      <c r="M647" s="169"/>
    </row>
    <row r="648" spans="1:13" s="125" customFormat="1" ht="15.6" x14ac:dyDescent="0.25">
      <c r="A648" s="169"/>
      <c r="B648" s="145">
        <v>95298</v>
      </c>
      <c r="C648" s="170"/>
      <c r="D648" s="169" t="s">
        <v>36</v>
      </c>
      <c r="E648" s="171" t="s">
        <v>39</v>
      </c>
      <c r="F648" s="171"/>
      <c r="G648" s="172">
        <v>4.1999999999999997E-3</v>
      </c>
      <c r="H648" s="173">
        <f t="shared" si="68"/>
        <v>1178.5810642750407</v>
      </c>
      <c r="I648" s="174">
        <f t="shared" si="69"/>
        <v>22.67</v>
      </c>
      <c r="J648" s="175">
        <v>-1.0000000000001563E-2</v>
      </c>
      <c r="K648" s="176">
        <v>22.66</v>
      </c>
      <c r="L648" s="171"/>
      <c r="M648" s="169"/>
    </row>
    <row r="649" spans="1:13" s="125" customFormat="1" ht="15.6" x14ac:dyDescent="0.25">
      <c r="A649" s="169"/>
      <c r="B649" s="145">
        <v>95754</v>
      </c>
      <c r="C649" s="170"/>
      <c r="D649" s="169" t="s">
        <v>40</v>
      </c>
      <c r="E649" s="171" t="s">
        <v>39</v>
      </c>
      <c r="F649" s="171"/>
      <c r="G649" s="172">
        <v>4.1999999999999997E-3</v>
      </c>
      <c r="H649" s="173">
        <f t="shared" si="68"/>
        <v>1178.5810642750407</v>
      </c>
      <c r="I649" s="174">
        <f t="shared" si="69"/>
        <v>22.67</v>
      </c>
      <c r="J649" s="175">
        <v>-1.0000000000001563E-2</v>
      </c>
      <c r="K649" s="176">
        <v>22.66</v>
      </c>
      <c r="L649" s="171"/>
      <c r="M649" s="169"/>
    </row>
    <row r="650" spans="1:13" s="125" customFormat="1" ht="15.6" x14ac:dyDescent="0.25">
      <c r="A650" s="169"/>
      <c r="B650" s="145">
        <v>95993</v>
      </c>
      <c r="C650" s="170"/>
      <c r="D650" s="169" t="s">
        <v>36</v>
      </c>
      <c r="E650" s="171" t="s">
        <v>39</v>
      </c>
      <c r="F650" s="171"/>
      <c r="G650" s="172">
        <v>4.1999999999999997E-3</v>
      </c>
      <c r="H650" s="173">
        <f t="shared" si="68"/>
        <v>1178.5810642750407</v>
      </c>
      <c r="I650" s="174">
        <f t="shared" si="69"/>
        <v>22.67</v>
      </c>
      <c r="J650" s="175">
        <v>-1.0000000000001563E-2</v>
      </c>
      <c r="K650" s="176">
        <v>22.66</v>
      </c>
      <c r="L650" s="171"/>
      <c r="M650" s="169"/>
    </row>
    <row r="651" spans="1:13" s="125" customFormat="1" ht="15.6" x14ac:dyDescent="0.25">
      <c r="A651" s="169"/>
      <c r="B651" s="145">
        <v>96381</v>
      </c>
      <c r="C651" s="170"/>
      <c r="D651" s="169" t="s">
        <v>36</v>
      </c>
      <c r="E651" s="171" t="s">
        <v>39</v>
      </c>
      <c r="F651" s="171"/>
      <c r="G651" s="172">
        <v>4.1999999999999997E-3</v>
      </c>
      <c r="H651" s="173">
        <f t="shared" si="68"/>
        <v>1178.5810642750407</v>
      </c>
      <c r="I651" s="174">
        <f t="shared" si="69"/>
        <v>22.67</v>
      </c>
      <c r="J651" s="175">
        <v>-1.0000000000001563E-2</v>
      </c>
      <c r="K651" s="176">
        <v>22.66</v>
      </c>
      <c r="L651" s="171"/>
      <c r="M651" s="169"/>
    </row>
    <row r="652" spans="1:13" s="125" customFormat="1" ht="15.6" x14ac:dyDescent="0.25">
      <c r="A652" s="169"/>
      <c r="B652" s="145">
        <v>96575</v>
      </c>
      <c r="C652" s="170"/>
      <c r="D652" s="169" t="s">
        <v>36</v>
      </c>
      <c r="E652" s="171" t="s">
        <v>39</v>
      </c>
      <c r="F652" s="171"/>
      <c r="G652" s="172">
        <v>4.1999999999999997E-3</v>
      </c>
      <c r="H652" s="173">
        <f t="shared" si="68"/>
        <v>1178.5810642750407</v>
      </c>
      <c r="I652" s="174">
        <f t="shared" si="69"/>
        <v>22.67</v>
      </c>
      <c r="J652" s="175">
        <v>-1.0000000000001563E-2</v>
      </c>
      <c r="K652" s="176">
        <v>22.66</v>
      </c>
      <c r="L652" s="187"/>
      <c r="M652" s="169"/>
    </row>
    <row r="653" spans="1:13" s="125" customFormat="1" ht="15.6" x14ac:dyDescent="0.25">
      <c r="A653" s="169"/>
      <c r="B653" s="145">
        <v>97148</v>
      </c>
      <c r="C653" s="170"/>
      <c r="D653" s="169" t="s">
        <v>40</v>
      </c>
      <c r="E653" s="171" t="s">
        <v>39</v>
      </c>
      <c r="F653" s="171"/>
      <c r="G653" s="172">
        <v>4.1999999999999997E-3</v>
      </c>
      <c r="H653" s="173">
        <f t="shared" si="68"/>
        <v>1178.5810642750407</v>
      </c>
      <c r="I653" s="174">
        <f t="shared" si="69"/>
        <v>22.67</v>
      </c>
      <c r="J653" s="175">
        <v>-1.0000000000001563E-2</v>
      </c>
      <c r="K653" s="176">
        <v>22.66</v>
      </c>
      <c r="L653" s="171"/>
      <c r="M653" s="169"/>
    </row>
    <row r="654" spans="1:13" s="125" customFormat="1" ht="15.6" x14ac:dyDescent="0.25">
      <c r="A654" s="169"/>
      <c r="B654" s="145">
        <v>97631</v>
      </c>
      <c r="C654" s="170"/>
      <c r="D654" s="169" t="s">
        <v>36</v>
      </c>
      <c r="E654" s="171" t="s">
        <v>39</v>
      </c>
      <c r="F654" s="171"/>
      <c r="G654" s="172">
        <v>4.1999999999999997E-3</v>
      </c>
      <c r="H654" s="173">
        <f t="shared" si="68"/>
        <v>1178.5810642750407</v>
      </c>
      <c r="I654" s="174">
        <f t="shared" si="69"/>
        <v>22.67</v>
      </c>
      <c r="J654" s="175">
        <v>-1.0000000000001563E-2</v>
      </c>
      <c r="K654" s="176">
        <v>22.66</v>
      </c>
      <c r="L654" s="171"/>
      <c r="M654" s="169"/>
    </row>
    <row r="655" spans="1:13" s="125" customFormat="1" ht="15.6" x14ac:dyDescent="0.25">
      <c r="A655" s="169"/>
      <c r="B655" s="145">
        <v>98308</v>
      </c>
      <c r="C655" s="170"/>
      <c r="D655" s="169" t="s">
        <v>40</v>
      </c>
      <c r="E655" s="171" t="s">
        <v>39</v>
      </c>
      <c r="F655" s="171"/>
      <c r="G655" s="172">
        <v>4.1999999999999997E-3</v>
      </c>
      <c r="H655" s="173">
        <f t="shared" si="68"/>
        <v>1178.5810642750407</v>
      </c>
      <c r="I655" s="174">
        <f t="shared" si="69"/>
        <v>22.67</v>
      </c>
      <c r="J655" s="175">
        <v>-1.0000000000001563E-2</v>
      </c>
      <c r="K655" s="176">
        <v>22.66</v>
      </c>
      <c r="L655" s="171"/>
      <c r="M655" s="169"/>
    </row>
    <row r="656" spans="1:13" s="125" customFormat="1" ht="15.6" x14ac:dyDescent="0.25">
      <c r="A656" s="169"/>
      <c r="B656" s="145">
        <v>98597</v>
      </c>
      <c r="C656" s="170"/>
      <c r="D656" s="169" t="s">
        <v>36</v>
      </c>
      <c r="E656" s="171" t="s">
        <v>39</v>
      </c>
      <c r="F656" s="171"/>
      <c r="G656" s="172">
        <v>5.3E-3</v>
      </c>
      <c r="H656" s="173">
        <f t="shared" si="68"/>
        <v>1487.2570572994562</v>
      </c>
      <c r="I656" s="174">
        <f t="shared" si="69"/>
        <v>28.6</v>
      </c>
      <c r="J656" s="175">
        <v>9.9999999999980105E-3</v>
      </c>
      <c r="K656" s="176">
        <v>28.61</v>
      </c>
      <c r="L656" s="171"/>
      <c r="M656" s="169"/>
    </row>
    <row r="657" spans="1:13" s="125" customFormat="1" ht="15.6" x14ac:dyDescent="0.25">
      <c r="A657" s="169"/>
      <c r="B657" s="145">
        <v>99046</v>
      </c>
      <c r="C657" s="170"/>
      <c r="D657" s="169" t="s">
        <v>40</v>
      </c>
      <c r="E657" s="171" t="s">
        <v>39</v>
      </c>
      <c r="F657" s="171"/>
      <c r="G657" s="172">
        <v>5.3E-3</v>
      </c>
      <c r="H657" s="173">
        <f t="shared" si="68"/>
        <v>1487.2570572994562</v>
      </c>
      <c r="I657" s="174">
        <f t="shared" si="69"/>
        <v>28.6</v>
      </c>
      <c r="J657" s="175">
        <v>9.9999999999980105E-3</v>
      </c>
      <c r="K657" s="176">
        <v>28.61</v>
      </c>
      <c r="L657" s="171"/>
      <c r="M657" s="169"/>
    </row>
    <row r="658" spans="1:13" s="125" customFormat="1" ht="15.6" x14ac:dyDescent="0.25">
      <c r="A658" s="169"/>
      <c r="B658" s="145">
        <v>99524</v>
      </c>
      <c r="C658" s="170"/>
      <c r="D658" s="213" t="s">
        <v>40</v>
      </c>
      <c r="E658" s="214" t="s">
        <v>39</v>
      </c>
      <c r="F658" s="214"/>
      <c r="G658" s="215">
        <v>4.1999999999999997E-3</v>
      </c>
      <c r="H658" s="216">
        <f t="shared" si="68"/>
        <v>1178.5810642750407</v>
      </c>
      <c r="I658" s="217">
        <f t="shared" si="69"/>
        <v>22.67</v>
      </c>
      <c r="J658" s="218">
        <v>-1.0000000000001563E-2</v>
      </c>
      <c r="K658" s="219">
        <v>22.66</v>
      </c>
      <c r="L658" s="171"/>
      <c r="M658" s="169"/>
    </row>
    <row r="659" spans="1:13" s="125" customFormat="1" ht="16.2" thickBot="1" x14ac:dyDescent="0.3">
      <c r="A659" s="169"/>
      <c r="B659" s="145"/>
      <c r="C659" s="177"/>
      <c r="D659" s="220"/>
      <c r="E659" s="221" t="s">
        <v>38</v>
      </c>
      <c r="F659" s="221"/>
      <c r="G659" s="222">
        <f>SUBTOTAL(9,G428:G658)</f>
        <v>1.0034999999999972</v>
      </c>
      <c r="H659" s="223">
        <v>281596.69</v>
      </c>
      <c r="I659" s="226">
        <f>SUM(I428:I658)</f>
        <v>5416.3200000000134</v>
      </c>
      <c r="J659" s="225">
        <v>-1.8300000000003607</v>
      </c>
      <c r="K659" s="223">
        <f>SUM(K428:K658)</f>
        <v>5414.4899999999825</v>
      </c>
      <c r="L659" s="171"/>
      <c r="M659" s="169"/>
    </row>
    <row r="660" spans="1:13" s="125" customFormat="1" ht="15.6" x14ac:dyDescent="0.25">
      <c r="A660" s="169"/>
      <c r="B660" s="145"/>
      <c r="C660" s="177"/>
      <c r="D660" s="232"/>
      <c r="E660" s="233"/>
      <c r="F660" s="233"/>
      <c r="G660" s="234"/>
      <c r="H660" s="235"/>
      <c r="I660" s="236"/>
      <c r="J660" s="237"/>
      <c r="K660" s="235"/>
      <c r="L660" s="171"/>
      <c r="M660" s="169"/>
    </row>
    <row r="661" spans="1:13" s="125" customFormat="1" ht="15.6" x14ac:dyDescent="0.25">
      <c r="A661" s="169"/>
      <c r="B661" s="145"/>
      <c r="C661" s="177"/>
      <c r="D661" s="227"/>
      <c r="E661" s="228" t="s">
        <v>37</v>
      </c>
      <c r="F661" s="228"/>
      <c r="G661" s="229"/>
      <c r="H661" s="230">
        <f>SUMIF($E$4:$E$659,"Sub-Total",H$4:H$659)</f>
        <v>956194.62000000011</v>
      </c>
      <c r="I661" s="231"/>
      <c r="J661" s="229"/>
      <c r="K661" s="230"/>
      <c r="L661" s="171"/>
      <c r="M661" s="169"/>
    </row>
    <row r="662" spans="1:13" s="125" customFormat="1" ht="15" x14ac:dyDescent="0.25">
      <c r="A662" s="169"/>
      <c r="B662" s="145"/>
      <c r="C662" s="170"/>
      <c r="D662" s="171"/>
      <c r="E662" s="171"/>
      <c r="F662" s="171"/>
      <c r="G662" s="172" t="s">
        <v>64</v>
      </c>
      <c r="H662" s="173">
        <f>'Gas usage'!AI2</f>
        <v>956194.62000000011</v>
      </c>
      <c r="I662" s="189"/>
      <c r="J662" s="189"/>
      <c r="K662" s="173"/>
      <c r="L662" s="171"/>
      <c r="M662" s="171"/>
    </row>
    <row r="663" spans="1:13" s="125" customFormat="1" ht="15" x14ac:dyDescent="0.25">
      <c r="A663" s="169"/>
      <c r="B663" s="145"/>
      <c r="C663" s="170"/>
      <c r="D663" s="171"/>
      <c r="E663" s="171"/>
      <c r="F663" s="171"/>
      <c r="G663" s="172"/>
      <c r="H663" s="173">
        <f>H662-H661</f>
        <v>0</v>
      </c>
      <c r="I663" s="189"/>
      <c r="J663" s="189"/>
      <c r="K663" s="173"/>
      <c r="L663" s="171"/>
      <c r="M663" s="171"/>
    </row>
    <row r="664" spans="1:13" s="125" customFormat="1" ht="15.6" x14ac:dyDescent="0.25">
      <c r="A664" s="190" t="s">
        <v>62</v>
      </c>
      <c r="B664" s="145"/>
      <c r="C664" s="191"/>
      <c r="D664" s="169"/>
      <c r="E664" s="192"/>
      <c r="F664" s="192"/>
      <c r="G664" s="193"/>
      <c r="H664" s="176"/>
      <c r="I664" s="189"/>
      <c r="J664" s="194"/>
      <c r="K664" s="176"/>
      <c r="L664" s="171"/>
      <c r="M664" s="169"/>
    </row>
    <row r="665" spans="1:13" s="125" customFormat="1" ht="15.6" x14ac:dyDescent="0.25">
      <c r="A665" s="169"/>
      <c r="B665" s="145">
        <v>37657</v>
      </c>
      <c r="C665" s="170"/>
      <c r="D665" s="169" t="s">
        <v>36</v>
      </c>
      <c r="E665" s="169"/>
      <c r="F665" s="171"/>
      <c r="G665" s="172">
        <v>7.3999999999999996E-2</v>
      </c>
      <c r="H665" s="173">
        <v>1865.56738</v>
      </c>
      <c r="I665" s="174">
        <f t="shared" ref="I665:I666" si="70">ROUND(H665/52,2)</f>
        <v>35.880000000000003</v>
      </c>
      <c r="J665" s="195"/>
      <c r="K665" s="176">
        <v>35.880000000000003</v>
      </c>
      <c r="L665" s="171"/>
      <c r="M665" s="169"/>
    </row>
    <row r="666" spans="1:13" s="125" customFormat="1" ht="15.6" x14ac:dyDescent="0.25">
      <c r="A666" s="169"/>
      <c r="B666" s="145">
        <v>4477</v>
      </c>
      <c r="C666" s="170"/>
      <c r="D666" s="169" t="s">
        <v>36</v>
      </c>
      <c r="E666" s="169"/>
      <c r="F666" s="171"/>
      <c r="G666" s="172">
        <v>0.16666</v>
      </c>
      <c r="H666" s="173">
        <v>2365.4783333333298</v>
      </c>
      <c r="I666" s="174">
        <f t="shared" si="70"/>
        <v>45.49</v>
      </c>
      <c r="J666" s="195"/>
      <c r="K666" s="176">
        <v>45.49</v>
      </c>
      <c r="L666" s="171"/>
      <c r="M666" s="169"/>
    </row>
    <row r="667" spans="1:13" s="125" customFormat="1" ht="15.6" x14ac:dyDescent="0.25">
      <c r="A667" s="168"/>
      <c r="B667" s="145"/>
      <c r="C667" s="196"/>
      <c r="D667" s="169"/>
      <c r="E667" s="192"/>
      <c r="F667" s="190"/>
      <c r="G667" s="168"/>
      <c r="H667" s="131"/>
      <c r="I667" s="171"/>
      <c r="J667" s="192"/>
      <c r="K667" s="131"/>
      <c r="L667" s="190"/>
      <c r="M667" s="169"/>
    </row>
    <row r="668" spans="1:13" x14ac:dyDescent="0.3">
      <c r="A668" s="164"/>
      <c r="B668" s="164"/>
      <c r="C668" s="156"/>
      <c r="D668" s="164"/>
      <c r="E668" s="157"/>
      <c r="F668" s="157"/>
      <c r="G668" s="197" t="s">
        <v>65</v>
      </c>
      <c r="H668" s="198">
        <f>H661+H665+H666</f>
        <v>960425.66571333341</v>
      </c>
      <c r="I668" s="157"/>
      <c r="J668" s="199"/>
      <c r="K668" s="198"/>
      <c r="L668" s="157"/>
      <c r="M668" s="164"/>
    </row>
    <row r="669" spans="1:13" x14ac:dyDescent="0.3">
      <c r="A669" s="164"/>
      <c r="B669" s="164"/>
      <c r="C669" s="156"/>
      <c r="D669" s="157"/>
      <c r="E669" s="157"/>
      <c r="F669" s="157"/>
      <c r="G669" s="158"/>
      <c r="H669" s="159"/>
      <c r="I669" s="157"/>
      <c r="J669" s="199"/>
      <c r="K669" s="198"/>
      <c r="L669" s="157"/>
      <c r="M669" s="157"/>
    </row>
    <row r="670" spans="1:13" x14ac:dyDescent="0.3">
      <c r="A670" s="164"/>
      <c r="B670" s="164"/>
      <c r="C670" s="156"/>
      <c r="D670" s="157"/>
      <c r="E670" s="157"/>
      <c r="F670" s="157"/>
      <c r="G670" s="158" t="s">
        <v>36</v>
      </c>
      <c r="H670" s="159">
        <f>SUMIF($D$4:$D$667,G670,$H$4:$H$667)</f>
        <v>418347.66119998076</v>
      </c>
      <c r="I670" s="157"/>
      <c r="J670" s="199"/>
      <c r="K670" s="198"/>
      <c r="L670" s="157"/>
      <c r="M670" s="157"/>
    </row>
    <row r="671" spans="1:13" x14ac:dyDescent="0.3">
      <c r="A671" s="164"/>
      <c r="B671" s="164"/>
      <c r="C671" s="156"/>
      <c r="D671" s="157"/>
      <c r="E671" s="157"/>
      <c r="F671" s="157"/>
      <c r="G671" s="158" t="s">
        <v>56</v>
      </c>
      <c r="H671" s="159">
        <f>SUMIF($D$4:$D$667,G671,$H$4:$H$667)</f>
        <v>4071.2158199999994</v>
      </c>
      <c r="I671" s="157"/>
      <c r="J671" s="199"/>
      <c r="K671" s="198"/>
      <c r="L671" s="157"/>
      <c r="M671" s="157"/>
    </row>
    <row r="672" spans="1:13" x14ac:dyDescent="0.3">
      <c r="A672" s="164"/>
      <c r="B672" s="164"/>
      <c r="C672" s="156"/>
      <c r="D672" s="157"/>
      <c r="E672" s="157"/>
      <c r="F672" s="157"/>
      <c r="G672" s="158" t="s">
        <v>40</v>
      </c>
      <c r="H672" s="159">
        <f>SUMIF($D$4:$D$667,G672,$H$4:$H$667)</f>
        <v>538006.78869335412</v>
      </c>
      <c r="I672" s="157"/>
      <c r="J672" s="199"/>
      <c r="K672" s="198"/>
      <c r="L672" s="157"/>
      <c r="M672" s="157"/>
    </row>
    <row r="673" spans="1:13" x14ac:dyDescent="0.3">
      <c r="A673" s="164"/>
      <c r="B673" s="164"/>
      <c r="C673" s="156"/>
      <c r="D673" s="157"/>
      <c r="E673" s="157"/>
      <c r="F673" s="157"/>
      <c r="G673" s="158"/>
      <c r="H673" s="200">
        <f>SUM(H670:H672)</f>
        <v>960425.66571333492</v>
      </c>
      <c r="I673" s="157"/>
      <c r="J673" s="199"/>
      <c r="K673" s="198"/>
      <c r="L673" s="157"/>
      <c r="M673" s="157"/>
    </row>
    <row r="674" spans="1:13" x14ac:dyDescent="0.3">
      <c r="A674" s="164"/>
      <c r="B674" s="164"/>
      <c r="C674" s="156"/>
      <c r="D674" s="157"/>
      <c r="E674" s="157"/>
      <c r="F674" s="157"/>
      <c r="G674" s="158"/>
      <c r="H674" s="159"/>
      <c r="I674" s="157"/>
      <c r="J674" s="199"/>
      <c r="K674" s="198"/>
      <c r="L674" s="157"/>
      <c r="M674" s="157"/>
    </row>
    <row r="675" spans="1:13" x14ac:dyDescent="0.3">
      <c r="A675" s="164"/>
      <c r="B675" s="164"/>
      <c r="C675" s="156"/>
      <c r="D675" s="157"/>
      <c r="E675" s="157"/>
      <c r="F675" s="157"/>
      <c r="G675" s="158"/>
      <c r="H675" s="159"/>
      <c r="I675" s="157"/>
      <c r="J675" s="199"/>
      <c r="K675" s="198"/>
      <c r="L675" s="157"/>
      <c r="M675" s="157"/>
    </row>
    <row r="676" spans="1:13" x14ac:dyDescent="0.3">
      <c r="A676" s="164"/>
      <c r="B676" s="164"/>
      <c r="C676" s="156"/>
      <c r="D676" s="157"/>
      <c r="E676" s="157"/>
      <c r="F676" s="157"/>
      <c r="G676" s="158"/>
      <c r="H676" s="159"/>
      <c r="I676" s="157"/>
      <c r="J676" s="199"/>
      <c r="K676" s="198"/>
      <c r="L676" s="157"/>
      <c r="M676" s="157"/>
    </row>
  </sheetData>
  <sheetProtection algorithmName="SHA-512" hashValue="tguNOfFISavVgMrr4YTcq+FFvbCmfawxXqoOkkTu2dfcCdGSri0o2xijxOMq6fHeYEF+/R70Iu/OcT/1enjJTg==" saltValue="H+QS3kLnCNHSDYo5CLDYgQ==" spinCount="100000" sheet="1" objects="1" scenarios="1" formatColumns="0" autoFilter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1EA2-A153-451D-9A05-ED4A887FB725}">
  <sheetPr>
    <tabColor theme="8" tint="0.39997558519241921"/>
  </sheetPr>
  <dimension ref="B2:H20"/>
  <sheetViews>
    <sheetView zoomScale="115" zoomScaleNormal="115" workbookViewId="0">
      <selection activeCell="D22" sqref="D22"/>
    </sheetView>
  </sheetViews>
  <sheetFormatPr defaultColWidth="9.109375" defaultRowHeight="14.4" x14ac:dyDescent="0.3"/>
  <cols>
    <col min="1" max="1" width="8.44140625" style="1" customWidth="1"/>
    <col min="2" max="2" width="4" style="1" customWidth="1"/>
    <col min="3" max="3" width="56.5546875" style="1" bestFit="1" customWidth="1"/>
    <col min="4" max="4" width="13.6640625" style="1" customWidth="1"/>
    <col min="5" max="5" width="13.44140625" style="1" bestFit="1" customWidth="1"/>
    <col min="6" max="6" width="11.5546875" style="1" customWidth="1"/>
    <col min="7" max="7" width="10.5546875" style="1" bestFit="1" customWidth="1"/>
    <col min="8" max="8" width="11.109375" style="1" bestFit="1" customWidth="1"/>
    <col min="9" max="16384" width="9.109375" style="1"/>
  </cols>
  <sheetData>
    <row r="2" spans="2:8" ht="18" x14ac:dyDescent="0.35">
      <c r="B2" s="16" t="s">
        <v>980</v>
      </c>
    </row>
    <row r="4" spans="2:8" x14ac:dyDescent="0.3">
      <c r="C4" s="2"/>
      <c r="D4" s="11" t="s">
        <v>11</v>
      </c>
    </row>
    <row r="5" spans="2:8" x14ac:dyDescent="0.3">
      <c r="C5" s="2" t="s">
        <v>12</v>
      </c>
      <c r="D5" s="6">
        <v>444286.3981999997</v>
      </c>
      <c r="F5" s="1" t="s">
        <v>485</v>
      </c>
      <c r="G5" s="111">
        <f>'Electricity usage'!$AJ$2</f>
        <v>444286.3981999997</v>
      </c>
      <c r="H5" s="112">
        <f>G5-D5</f>
        <v>0</v>
      </c>
    </row>
    <row r="6" spans="2:8" x14ac:dyDescent="0.3">
      <c r="C6" s="2" t="s">
        <v>8</v>
      </c>
      <c r="D6" s="7">
        <v>-23385.455599999899</v>
      </c>
    </row>
    <row r="7" spans="2:8" x14ac:dyDescent="0.3">
      <c r="C7" s="8" t="s">
        <v>9</v>
      </c>
      <c r="D7" s="4">
        <f>SUM(D5:D6)</f>
        <v>420900.94259999983</v>
      </c>
    </row>
    <row r="8" spans="2:8" x14ac:dyDescent="0.3">
      <c r="C8" s="2"/>
    </row>
    <row r="9" spans="2:8" x14ac:dyDescent="0.3">
      <c r="C9" s="2"/>
    </row>
    <row r="10" spans="2:8" x14ac:dyDescent="0.3">
      <c r="C10" s="2"/>
      <c r="D10" s="11" t="s">
        <v>3</v>
      </c>
      <c r="E10" s="12" t="s">
        <v>10</v>
      </c>
    </row>
    <row r="11" spans="2:8" x14ac:dyDescent="0.3">
      <c r="C11" s="2" t="s">
        <v>4</v>
      </c>
      <c r="D11" s="3">
        <f>(E11/$E$13)*$D$7</f>
        <v>255069.95002261977</v>
      </c>
      <c r="E11" s="9">
        <v>1795</v>
      </c>
    </row>
    <row r="12" spans="2:8" x14ac:dyDescent="0.3">
      <c r="C12" s="2" t="s">
        <v>5</v>
      </c>
      <c r="D12" s="13">
        <f>(E12/$E$13)*$D$7</f>
        <v>165830.99257738009</v>
      </c>
      <c r="E12" s="10">
        <v>1167</v>
      </c>
    </row>
    <row r="13" spans="2:8" x14ac:dyDescent="0.3">
      <c r="C13" s="2" t="s">
        <v>6</v>
      </c>
      <c r="D13" s="3">
        <f>SUM(D11:D12)</f>
        <v>420900.94259999983</v>
      </c>
      <c r="E13" s="9">
        <v>2962</v>
      </c>
    </row>
    <row r="14" spans="2:8" x14ac:dyDescent="0.3">
      <c r="C14" s="2"/>
    </row>
    <row r="15" spans="2:8" ht="16.2" thickBot="1" x14ac:dyDescent="0.35">
      <c r="C15" s="14" t="s">
        <v>7</v>
      </c>
      <c r="D15" s="15">
        <f>ROUND((D13/E13)/52,2)</f>
        <v>2.73</v>
      </c>
    </row>
    <row r="16" spans="2:8" x14ac:dyDescent="0.3">
      <c r="C16" s="23" t="s">
        <v>26</v>
      </c>
      <c r="D16" s="24">
        <f>D15*52</f>
        <v>141.96</v>
      </c>
    </row>
    <row r="17" spans="3:3" x14ac:dyDescent="0.3">
      <c r="C17" s="2"/>
    </row>
    <row r="18" spans="3:3" x14ac:dyDescent="0.3">
      <c r="C18" s="2"/>
    </row>
    <row r="19" spans="3:3" x14ac:dyDescent="0.3">
      <c r="C19" s="2"/>
    </row>
    <row r="20" spans="3:3" x14ac:dyDescent="0.3">
      <c r="C20" s="2"/>
    </row>
  </sheetData>
  <sheetProtection algorithmName="SHA-512" hashValue="AQ+mAFM4wsOW7FsZBo3n+zpULmWWedBn65rM+utaQPhbnNLMCwLaIf8d7G6bc/qoKfYBSuV5z5QXXmYmg7dH0Q==" saltValue="hBXz6LW6aeg7RlFu6D86VQ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21C74-9ED9-4092-AEB5-440EBBAAB700}">
  <sheetPr>
    <tabColor rgb="FF00FF00"/>
  </sheetPr>
  <dimension ref="A1:AM491"/>
  <sheetViews>
    <sheetView zoomScaleNormal="100" workbookViewId="0">
      <pane ySplit="7" topLeftCell="A8" activePane="bottomLeft" state="frozen"/>
      <selection activeCell="R33" sqref="R33"/>
      <selection pane="bottomLeft" activeCell="H8" sqref="H8"/>
    </sheetView>
  </sheetViews>
  <sheetFormatPr defaultColWidth="9.109375" defaultRowHeight="15" x14ac:dyDescent="0.25"/>
  <cols>
    <col min="1" max="1" width="3.44140625" style="41" hidden="1" customWidth="1"/>
    <col min="2" max="2" width="11" style="41" hidden="1" customWidth="1"/>
    <col min="3" max="3" width="46.6640625" style="41" customWidth="1"/>
    <col min="4" max="4" width="16.44140625" style="41" bestFit="1" customWidth="1"/>
    <col min="5" max="5" width="14.5546875" style="41" customWidth="1"/>
    <col min="6" max="6" width="0" style="41" hidden="1" customWidth="1"/>
    <col min="7" max="7" width="2.88671875" style="41" customWidth="1"/>
    <col min="8" max="15" width="15.44140625" style="41" customWidth="1"/>
    <col min="16" max="16" width="2.6640625" style="41" customWidth="1"/>
    <col min="17" max="22" width="11.6640625" style="41" customWidth="1"/>
    <col min="23" max="23" width="3.33203125" style="41" customWidth="1"/>
    <col min="24" max="27" width="12.6640625" style="41" customWidth="1"/>
    <col min="28" max="28" width="2.6640625" style="41" customWidth="1"/>
    <col min="29" max="31" width="13.5546875" style="41" customWidth="1"/>
    <col min="32" max="32" width="16.5546875" style="41" customWidth="1"/>
    <col min="33" max="33" width="17.5546875" style="41" customWidth="1"/>
    <col min="34" max="35" width="0" style="41" hidden="1" customWidth="1"/>
    <col min="36" max="36" width="19.44140625" style="41" customWidth="1"/>
    <col min="37" max="38" width="0" style="41" hidden="1" customWidth="1"/>
    <col min="39" max="39" width="2.6640625" style="41" customWidth="1"/>
    <col min="40" max="16384" width="9.109375" style="41"/>
  </cols>
  <sheetData>
    <row r="1" spans="1:39" ht="15.6" x14ac:dyDescent="0.3">
      <c r="E1" s="42"/>
      <c r="G1" s="43"/>
      <c r="H1" s="42"/>
      <c r="I1" s="42"/>
      <c r="J1" s="42"/>
      <c r="K1" s="42"/>
      <c r="L1" s="42"/>
      <c r="M1" s="44"/>
      <c r="N1" s="45"/>
      <c r="O1" s="44"/>
      <c r="P1" s="43"/>
      <c r="Q1" s="251" t="s">
        <v>75</v>
      </c>
      <c r="R1" s="251"/>
      <c r="S1" s="251"/>
      <c r="T1" s="251"/>
      <c r="U1" s="251"/>
      <c r="V1" s="251"/>
      <c r="W1" s="43"/>
      <c r="X1" s="252" t="s">
        <v>76</v>
      </c>
      <c r="Y1" s="252"/>
      <c r="Z1" s="252"/>
      <c r="AA1" s="252"/>
      <c r="AB1" s="43"/>
      <c r="AC1" s="253" t="s">
        <v>77</v>
      </c>
      <c r="AD1" s="253"/>
      <c r="AE1" s="253"/>
      <c r="AF1" s="253"/>
      <c r="AG1" s="253"/>
      <c r="AH1" s="253"/>
      <c r="AI1" s="253"/>
      <c r="AJ1" s="253"/>
      <c r="AK1" s="253"/>
      <c r="AL1" s="253"/>
      <c r="AM1" s="43"/>
    </row>
    <row r="2" spans="1:39" ht="15.75" customHeight="1" x14ac:dyDescent="0.3">
      <c r="C2" s="241" t="s">
        <v>489</v>
      </c>
      <c r="D2" s="241"/>
      <c r="E2" s="241"/>
      <c r="G2" s="43"/>
      <c r="H2" s="254" t="s">
        <v>79</v>
      </c>
      <c r="I2" s="254"/>
      <c r="J2" s="254"/>
      <c r="K2" s="254"/>
      <c r="L2" s="254"/>
      <c r="M2" s="254"/>
      <c r="N2" s="254"/>
      <c r="O2" s="254"/>
      <c r="P2" s="43"/>
      <c r="Q2" s="46" t="s">
        <v>80</v>
      </c>
      <c r="R2" s="255" t="s">
        <v>81</v>
      </c>
      <c r="S2" s="255"/>
      <c r="T2" s="255" t="s">
        <v>82</v>
      </c>
      <c r="U2" s="255"/>
      <c r="W2" s="43"/>
      <c r="X2" s="256" t="s">
        <v>83</v>
      </c>
      <c r="Y2" s="256"/>
      <c r="Z2" s="256"/>
      <c r="AA2" s="256"/>
      <c r="AB2" s="43"/>
      <c r="AI2" s="113" t="s">
        <v>124</v>
      </c>
      <c r="AJ2" s="57">
        <f>SUMIF($D$8:$D$995,AI2,$AJ$8:$AJ$995)</f>
        <v>444286.3981999997</v>
      </c>
      <c r="AM2" s="43"/>
    </row>
    <row r="3" spans="1:39" ht="15.75" customHeight="1" x14ac:dyDescent="0.3">
      <c r="C3" s="241"/>
      <c r="D3" s="241"/>
      <c r="E3" s="241"/>
      <c r="G3" s="43"/>
      <c r="H3" s="254"/>
      <c r="I3" s="254"/>
      <c r="J3" s="254"/>
      <c r="K3" s="254"/>
      <c r="L3" s="254"/>
      <c r="M3" s="254"/>
      <c r="N3" s="254"/>
      <c r="O3" s="254"/>
      <c r="P3" s="43"/>
      <c r="Q3" s="48"/>
      <c r="R3" s="257" t="s">
        <v>84</v>
      </c>
      <c r="S3" s="257"/>
      <c r="T3" s="257" t="s">
        <v>85</v>
      </c>
      <c r="U3" s="257"/>
      <c r="W3" s="43"/>
      <c r="X3" s="258"/>
      <c r="Y3" s="258"/>
      <c r="Z3" s="49"/>
      <c r="AA3" s="50"/>
      <c r="AB3" s="43"/>
      <c r="AC3" s="253" t="s">
        <v>86</v>
      </c>
      <c r="AD3" s="253"/>
      <c r="AE3" s="253"/>
      <c r="AF3" s="242" t="s">
        <v>87</v>
      </c>
      <c r="AG3" s="242"/>
      <c r="AI3" s="113" t="s">
        <v>408</v>
      </c>
      <c r="AJ3" s="57">
        <f>SUMIF($D$8:$D$995,AI3,$AJ$8:$AJ$995)</f>
        <v>763035.81349999993</v>
      </c>
      <c r="AM3" s="43"/>
    </row>
    <row r="4" spans="1:39" ht="17.399999999999999" x14ac:dyDescent="0.3">
      <c r="A4" s="51"/>
      <c r="C4" s="241"/>
      <c r="D4" s="241"/>
      <c r="E4" s="241"/>
      <c r="G4" s="43"/>
      <c r="H4" s="52"/>
      <c r="I4" s="52"/>
      <c r="J4" s="52"/>
      <c r="K4" s="52"/>
      <c r="L4" s="52"/>
      <c r="M4" s="53"/>
      <c r="N4" s="52"/>
      <c r="O4" s="53"/>
      <c r="P4" s="43"/>
      <c r="Q4" s="48" t="s">
        <v>88</v>
      </c>
      <c r="R4" s="259">
        <v>0.4</v>
      </c>
      <c r="S4" s="259"/>
      <c r="T4" s="259">
        <v>0.6</v>
      </c>
      <c r="U4" s="259"/>
      <c r="W4" s="43"/>
      <c r="X4" s="48" t="s">
        <v>89</v>
      </c>
      <c r="Z4" s="54"/>
      <c r="AA4" s="55">
        <v>0.65</v>
      </c>
      <c r="AB4" s="43"/>
      <c r="AC4" s="48" t="s">
        <v>90</v>
      </c>
      <c r="AD4" s="48"/>
      <c r="AE4" s="56">
        <v>0.1</v>
      </c>
      <c r="AF4" s="242"/>
      <c r="AG4" s="242"/>
      <c r="AJ4" s="57">
        <f>SUBTOTAL(9,AJ8:AJ595)</f>
        <v>1207322.2116999996</v>
      </c>
      <c r="AM4" s="43"/>
    </row>
    <row r="5" spans="1:39" ht="17.399999999999999" x14ac:dyDescent="0.3">
      <c r="A5" s="58"/>
      <c r="B5" s="48"/>
      <c r="C5" s="48"/>
      <c r="D5" s="48"/>
      <c r="E5" s="59"/>
      <c r="F5" s="48"/>
      <c r="G5" s="60"/>
      <c r="H5" s="59"/>
      <c r="I5" s="59"/>
      <c r="J5" s="59"/>
      <c r="K5" s="59"/>
      <c r="L5" s="59"/>
      <c r="M5" s="61"/>
      <c r="N5" s="45"/>
      <c r="O5" s="61"/>
      <c r="P5" s="60"/>
      <c r="Q5" s="48"/>
      <c r="R5" s="48"/>
      <c r="S5" s="48"/>
      <c r="T5" s="48"/>
      <c r="U5" s="48"/>
      <c r="V5" s="48"/>
      <c r="W5" s="60"/>
      <c r="X5" s="62" t="s">
        <v>490</v>
      </c>
      <c r="Y5" s="48"/>
      <c r="Z5" s="63"/>
      <c r="AA5" s="48"/>
      <c r="AB5" s="60"/>
      <c r="AC5" s="48"/>
      <c r="AD5" s="48"/>
      <c r="AE5" s="48"/>
      <c r="AF5" s="48"/>
      <c r="AG5" s="48"/>
      <c r="AH5" s="64"/>
      <c r="AI5" s="64"/>
      <c r="AJ5" s="65"/>
      <c r="AK5" s="48"/>
      <c r="AL5" s="48"/>
      <c r="AM5" s="60"/>
    </row>
    <row r="6" spans="1:39" ht="47.25" customHeight="1" x14ac:dyDescent="0.25">
      <c r="A6" s="249"/>
      <c r="B6" s="249" t="s">
        <v>91</v>
      </c>
      <c r="C6" s="249" t="s">
        <v>981</v>
      </c>
      <c r="D6" s="249" t="s">
        <v>92</v>
      </c>
      <c r="E6" s="249" t="s">
        <v>93</v>
      </c>
      <c r="F6" s="249" t="s">
        <v>94</v>
      </c>
      <c r="G6" s="66"/>
      <c r="H6" s="67" t="s">
        <v>95</v>
      </c>
      <c r="I6" s="67" t="s">
        <v>96</v>
      </c>
      <c r="J6" s="67" t="s">
        <v>97</v>
      </c>
      <c r="K6" s="67" t="s">
        <v>98</v>
      </c>
      <c r="L6" s="67" t="s">
        <v>99</v>
      </c>
      <c r="M6" s="68" t="s">
        <v>100</v>
      </c>
      <c r="N6" s="246" t="s">
        <v>101</v>
      </c>
      <c r="O6" s="247" t="s">
        <v>102</v>
      </c>
      <c r="P6" s="66"/>
      <c r="Q6" s="248" t="s">
        <v>103</v>
      </c>
      <c r="R6" s="248"/>
      <c r="S6" s="248" t="s">
        <v>104</v>
      </c>
      <c r="T6" s="248"/>
      <c r="U6" s="248" t="s">
        <v>105</v>
      </c>
      <c r="V6" s="248"/>
      <c r="W6" s="66"/>
      <c r="X6" s="243" t="s">
        <v>106</v>
      </c>
      <c r="Y6" s="243" t="s">
        <v>107</v>
      </c>
      <c r="Z6" s="69" t="s">
        <v>108</v>
      </c>
      <c r="AA6" s="243" t="s">
        <v>109</v>
      </c>
      <c r="AB6" s="66"/>
      <c r="AC6" s="242" t="s">
        <v>110</v>
      </c>
      <c r="AD6" s="242" t="s">
        <v>111</v>
      </c>
      <c r="AE6" s="242" t="s">
        <v>112</v>
      </c>
      <c r="AF6" s="242" t="s">
        <v>84</v>
      </c>
      <c r="AG6" s="242" t="s">
        <v>85</v>
      </c>
      <c r="AH6" s="244"/>
      <c r="AI6" s="244"/>
      <c r="AJ6" s="245" t="s">
        <v>113</v>
      </c>
      <c r="AK6" s="242"/>
      <c r="AL6" s="242"/>
      <c r="AM6" s="66"/>
    </row>
    <row r="7" spans="1:39" ht="51.75" customHeight="1" x14ac:dyDescent="0.25">
      <c r="A7" s="250"/>
      <c r="B7" s="250"/>
      <c r="C7" s="250"/>
      <c r="D7" s="250"/>
      <c r="E7" s="249"/>
      <c r="F7" s="249"/>
      <c r="G7" s="66"/>
      <c r="H7" s="67" t="s">
        <v>114</v>
      </c>
      <c r="I7" s="67" t="s">
        <v>115</v>
      </c>
      <c r="J7" s="67" t="s">
        <v>116</v>
      </c>
      <c r="K7" s="67" t="s">
        <v>117</v>
      </c>
      <c r="L7" s="67" t="s">
        <v>118</v>
      </c>
      <c r="M7" s="68" t="s">
        <v>119</v>
      </c>
      <c r="N7" s="246"/>
      <c r="O7" s="247"/>
      <c r="P7" s="66"/>
      <c r="Q7" s="70" t="s">
        <v>120</v>
      </c>
      <c r="R7" s="71" t="s">
        <v>121</v>
      </c>
      <c r="S7" s="70" t="s">
        <v>120</v>
      </c>
      <c r="T7" s="71" t="s">
        <v>121</v>
      </c>
      <c r="U7" s="71" t="s">
        <v>122</v>
      </c>
      <c r="V7" s="71" t="s">
        <v>123</v>
      </c>
      <c r="W7" s="66"/>
      <c r="X7" s="243"/>
      <c r="Y7" s="243"/>
      <c r="Z7" s="69"/>
      <c r="AA7" s="243"/>
      <c r="AB7" s="66"/>
      <c r="AC7" s="242"/>
      <c r="AD7" s="242"/>
      <c r="AE7" s="242"/>
      <c r="AF7" s="242"/>
      <c r="AG7" s="242"/>
      <c r="AH7" s="244"/>
      <c r="AI7" s="244"/>
      <c r="AJ7" s="245"/>
      <c r="AK7" s="242"/>
      <c r="AL7" s="242"/>
      <c r="AM7" s="66"/>
    </row>
    <row r="8" spans="1:39" ht="15.6" x14ac:dyDescent="0.3">
      <c r="C8" s="41" t="s">
        <v>491</v>
      </c>
      <c r="D8" s="41" t="s">
        <v>124</v>
      </c>
      <c r="E8" s="42" t="s">
        <v>88</v>
      </c>
      <c r="F8" s="72"/>
      <c r="G8" s="73"/>
      <c r="H8" s="74">
        <v>176</v>
      </c>
      <c r="I8" s="74">
        <v>64</v>
      </c>
      <c r="J8" s="74">
        <v>47</v>
      </c>
      <c r="K8" s="74">
        <v>11</v>
      </c>
      <c r="L8" s="74">
        <v>12</v>
      </c>
      <c r="M8" s="75">
        <v>3</v>
      </c>
      <c r="N8" s="76" cm="1">
        <f t="array" ref="N8">SUM((H8:L8)/5)</f>
        <v>62</v>
      </c>
      <c r="O8" s="74">
        <v>50</v>
      </c>
      <c r="P8" s="73"/>
      <c r="Q8" s="77">
        <v>49.828000000000003</v>
      </c>
      <c r="R8" s="78">
        <v>63.256999999999998</v>
      </c>
      <c r="S8" s="42">
        <v>0.441</v>
      </c>
      <c r="T8" s="42">
        <v>0.441</v>
      </c>
      <c r="U8" s="77">
        <f>IF(E8="Gas",O8*R3,O8*$R$4)</f>
        <v>20</v>
      </c>
      <c r="V8" s="77">
        <f>IF(E8="Gas",O8*T3,O8*$T$4)</f>
        <v>30</v>
      </c>
      <c r="W8" s="73"/>
      <c r="X8" s="77">
        <v>15.061999999999999</v>
      </c>
      <c r="Y8" s="77">
        <v>26.482800000000001</v>
      </c>
      <c r="Z8" s="79">
        <v>26.482800000000001</v>
      </c>
      <c r="AA8" s="80">
        <f>SUM(Z8+Z8*$AA$4)</f>
        <v>43.696620000000003</v>
      </c>
      <c r="AB8" s="73"/>
      <c r="AC8" s="81">
        <v>365</v>
      </c>
      <c r="AD8" s="82">
        <f t="shared" ref="AD8" si="0">ROUND(R8*183,2)/100</f>
        <v>115.7603</v>
      </c>
      <c r="AE8" s="82">
        <f t="shared" ref="AE8" si="1">ROUND((R8+R8*$AE$4)*(365-183),2)/100</f>
        <v>126.64049999999999</v>
      </c>
      <c r="AF8" s="82">
        <f t="shared" ref="AF8:AG8" si="2">ROUND((U8*Z8)/100,2)</f>
        <v>5.3</v>
      </c>
      <c r="AG8" s="82">
        <f t="shared" si="2"/>
        <v>13.11</v>
      </c>
      <c r="AH8" s="114"/>
      <c r="AI8" s="114"/>
      <c r="AJ8" s="83">
        <f>SUM(AD8:AG8)</f>
        <v>260.81080000000003</v>
      </c>
      <c r="AK8" s="82"/>
      <c r="AL8" s="84"/>
      <c r="AM8" s="73"/>
    </row>
    <row r="9" spans="1:39" ht="15.6" x14ac:dyDescent="0.3">
      <c r="B9" s="87"/>
      <c r="C9" s="41" t="s">
        <v>492</v>
      </c>
      <c r="D9" s="41" t="s">
        <v>124</v>
      </c>
      <c r="E9" s="42" t="s">
        <v>88</v>
      </c>
      <c r="G9" s="66"/>
      <c r="H9" s="74">
        <v>481</v>
      </c>
      <c r="I9" s="74">
        <v>927</v>
      </c>
      <c r="J9" s="74">
        <v>996</v>
      </c>
      <c r="K9" s="74">
        <v>1034</v>
      </c>
      <c r="L9" s="74">
        <v>1030</v>
      </c>
      <c r="M9" s="74">
        <v>462</v>
      </c>
      <c r="N9" s="76" cm="1">
        <f t="array" ref="N9">SUM((H9:L9)/5)</f>
        <v>893.6</v>
      </c>
      <c r="O9" s="74">
        <v>1030</v>
      </c>
      <c r="P9" s="66"/>
      <c r="Q9" s="81">
        <v>49.828000000000003</v>
      </c>
      <c r="R9" s="81">
        <v>63.256999999999998</v>
      </c>
      <c r="S9" s="81">
        <v>0.441</v>
      </c>
      <c r="T9" s="81">
        <v>0.441</v>
      </c>
      <c r="U9" s="77">
        <f>IF(E9="Gas",O9*#REF!,O9*$R$4)</f>
        <v>412</v>
      </c>
      <c r="V9" s="77">
        <f>IF(E9="Gas",O9*#REF!,O9*$T$4)</f>
        <v>618</v>
      </c>
      <c r="W9" s="66"/>
      <c r="X9" s="77">
        <v>15.061999999999999</v>
      </c>
      <c r="Y9" s="77">
        <v>26.506509999999999</v>
      </c>
      <c r="Z9" s="79">
        <v>26.506509999999999</v>
      </c>
      <c r="AA9" s="80">
        <f t="shared" ref="AA9:AA72" si="3">SUM(Z9+Z9*$AA$4)</f>
        <v>43.735741500000003</v>
      </c>
      <c r="AB9" s="66"/>
      <c r="AC9" s="81">
        <v>365</v>
      </c>
      <c r="AD9" s="82">
        <f t="shared" ref="AD9:AD72" si="4">ROUND(R9*183,2)/100</f>
        <v>115.7603</v>
      </c>
      <c r="AE9" s="82">
        <f t="shared" ref="AE9:AE72" si="5">ROUND((R9+R9*$AE$4)*(365-183),2)/100</f>
        <v>126.64049999999999</v>
      </c>
      <c r="AF9" s="82">
        <f t="shared" ref="AF9:AG72" si="6">ROUND((U9*Z9)/100,2)</f>
        <v>109.21</v>
      </c>
      <c r="AG9" s="82">
        <f t="shared" si="6"/>
        <v>270.29000000000002</v>
      </c>
      <c r="AH9" s="114"/>
      <c r="AI9" s="114"/>
      <c r="AJ9" s="83">
        <f t="shared" ref="AJ9:AJ72" si="7">SUM(AD9:AG9)</f>
        <v>621.9008</v>
      </c>
      <c r="AK9" s="82"/>
      <c r="AL9" s="84"/>
      <c r="AM9" s="66"/>
    </row>
    <row r="10" spans="1:39" ht="60" x14ac:dyDescent="0.3">
      <c r="C10" s="41" t="s">
        <v>492</v>
      </c>
      <c r="D10" s="41" t="s">
        <v>124</v>
      </c>
      <c r="E10" s="42" t="s">
        <v>88</v>
      </c>
      <c r="G10" s="66"/>
      <c r="H10" s="74">
        <v>633</v>
      </c>
      <c r="I10" s="74">
        <v>861</v>
      </c>
      <c r="J10" s="74">
        <v>985</v>
      </c>
      <c r="K10" s="74">
        <v>948</v>
      </c>
      <c r="L10" s="74">
        <v>952</v>
      </c>
      <c r="M10" s="74">
        <v>453</v>
      </c>
      <c r="N10" s="76" cm="1">
        <f t="array" ref="N10">SUM((H10:L10)/5)</f>
        <v>875.8</v>
      </c>
      <c r="O10" s="74">
        <v>875</v>
      </c>
      <c r="P10" s="66"/>
      <c r="Q10" s="81">
        <v>50.334000000000003</v>
      </c>
      <c r="R10" s="81">
        <v>63.256999999999998</v>
      </c>
      <c r="S10" s="81">
        <v>0.441</v>
      </c>
      <c r="T10" s="81">
        <v>0.441</v>
      </c>
      <c r="U10" s="77">
        <f>IF(E10="Gas",O10*#REF!,O10*$R$4)</f>
        <v>350</v>
      </c>
      <c r="V10" s="77">
        <f>IF(E10="Gas",O10*#REF!,O10*$T$4)</f>
        <v>525</v>
      </c>
      <c r="W10" s="66"/>
      <c r="X10" s="77" t="s">
        <v>125</v>
      </c>
      <c r="Y10" s="77" t="s">
        <v>126</v>
      </c>
      <c r="Z10" s="79">
        <f>SUM(27.44355+25.01265+25.33079)/3</f>
        <v>25.928996666666666</v>
      </c>
      <c r="AA10" s="80">
        <f t="shared" si="3"/>
        <v>42.782844499999996</v>
      </c>
      <c r="AB10" s="66"/>
      <c r="AC10" s="81">
        <v>365</v>
      </c>
      <c r="AD10" s="82">
        <f t="shared" si="4"/>
        <v>115.7603</v>
      </c>
      <c r="AE10" s="82">
        <f t="shared" si="5"/>
        <v>126.64049999999999</v>
      </c>
      <c r="AF10" s="82">
        <f t="shared" si="6"/>
        <v>90.75</v>
      </c>
      <c r="AG10" s="82">
        <f t="shared" si="6"/>
        <v>224.61</v>
      </c>
      <c r="AH10" s="114"/>
      <c r="AI10" s="114"/>
      <c r="AJ10" s="83">
        <f t="shared" si="7"/>
        <v>557.76080000000002</v>
      </c>
      <c r="AK10" s="82"/>
      <c r="AL10" s="84"/>
      <c r="AM10" s="66"/>
    </row>
    <row r="11" spans="1:39" ht="15.6" x14ac:dyDescent="0.3">
      <c r="C11" s="41" t="s">
        <v>493</v>
      </c>
      <c r="D11" s="41" t="s">
        <v>124</v>
      </c>
      <c r="E11" s="42" t="s">
        <v>88</v>
      </c>
      <c r="G11" s="66"/>
      <c r="H11" s="74">
        <v>1318</v>
      </c>
      <c r="I11" s="74">
        <v>1175</v>
      </c>
      <c r="J11" s="74">
        <v>1109</v>
      </c>
      <c r="K11" s="74">
        <v>691</v>
      </c>
      <c r="L11" s="74">
        <v>833</v>
      </c>
      <c r="M11" s="74">
        <v>411</v>
      </c>
      <c r="N11" s="76" cm="1">
        <f t="array" ref="N11">SUM((H11:L11)/5)</f>
        <v>1025.2</v>
      </c>
      <c r="O11" s="74">
        <v>900</v>
      </c>
      <c r="P11" s="66"/>
      <c r="Q11" s="81">
        <v>49.828000000000003</v>
      </c>
      <c r="R11" s="81">
        <v>63.256999999999998</v>
      </c>
      <c r="S11" s="81">
        <v>0.441</v>
      </c>
      <c r="T11" s="81">
        <v>0.441</v>
      </c>
      <c r="U11" s="77">
        <f>IF(E11="Gas",O11*#REF!,O11*$R$4)</f>
        <v>360</v>
      </c>
      <c r="V11" s="77">
        <f>IF(E11="Gas",O11*#REF!,O11*$T$4)</f>
        <v>540</v>
      </c>
      <c r="W11" s="66"/>
      <c r="X11" s="77">
        <v>15.061999999999999</v>
      </c>
      <c r="Y11" s="77">
        <v>26.50657</v>
      </c>
      <c r="Z11" s="79">
        <v>26.50657</v>
      </c>
      <c r="AA11" s="80">
        <f t="shared" si="3"/>
        <v>43.735840500000002</v>
      </c>
      <c r="AB11" s="66"/>
      <c r="AC11" s="81">
        <v>365</v>
      </c>
      <c r="AD11" s="82">
        <f t="shared" si="4"/>
        <v>115.7603</v>
      </c>
      <c r="AE11" s="82">
        <f t="shared" si="5"/>
        <v>126.64049999999999</v>
      </c>
      <c r="AF11" s="82">
        <f t="shared" si="6"/>
        <v>95.42</v>
      </c>
      <c r="AG11" s="82">
        <f t="shared" si="6"/>
        <v>236.17</v>
      </c>
      <c r="AH11" s="114"/>
      <c r="AI11" s="114"/>
      <c r="AJ11" s="83">
        <f t="shared" si="7"/>
        <v>573.99080000000004</v>
      </c>
      <c r="AK11" s="82"/>
      <c r="AL11" s="84"/>
      <c r="AM11" s="66"/>
    </row>
    <row r="12" spans="1:39" ht="15.6" x14ac:dyDescent="0.3">
      <c r="B12" s="85"/>
      <c r="C12" s="41" t="s">
        <v>494</v>
      </c>
      <c r="D12" s="41" t="s">
        <v>124</v>
      </c>
      <c r="E12" s="42" t="s">
        <v>88</v>
      </c>
      <c r="G12" s="66"/>
      <c r="H12" s="74"/>
      <c r="I12" s="74"/>
      <c r="J12" s="74"/>
      <c r="K12" s="74"/>
      <c r="L12" s="74"/>
      <c r="M12" s="74"/>
      <c r="N12" s="76" cm="1">
        <f t="array" ref="N12">SUM((H12:L12)/5)</f>
        <v>0</v>
      </c>
      <c r="O12" s="74"/>
      <c r="P12" s="66"/>
      <c r="Q12" s="86"/>
      <c r="R12" s="86"/>
      <c r="S12" s="86"/>
      <c r="T12" s="86"/>
      <c r="U12" s="77">
        <f>IF(E12="Gas",O12*#REF!,O12*$R$4)</f>
        <v>0</v>
      </c>
      <c r="V12" s="77">
        <f>IF(E12="Gas",O12*#REF!,O12*$T$4)</f>
        <v>0</v>
      </c>
      <c r="W12" s="66"/>
      <c r="X12" s="77"/>
      <c r="Y12" s="77"/>
      <c r="Z12" s="79"/>
      <c r="AA12" s="80">
        <f t="shared" si="3"/>
        <v>0</v>
      </c>
      <c r="AB12" s="66"/>
      <c r="AC12" s="81">
        <v>365</v>
      </c>
      <c r="AD12" s="82">
        <f t="shared" si="4"/>
        <v>0</v>
      </c>
      <c r="AE12" s="82">
        <f t="shared" si="5"/>
        <v>0</v>
      </c>
      <c r="AF12" s="82">
        <f t="shared" si="6"/>
        <v>0</v>
      </c>
      <c r="AG12" s="82">
        <f t="shared" si="6"/>
        <v>0</v>
      </c>
      <c r="AH12" s="114"/>
      <c r="AI12" s="114"/>
      <c r="AJ12" s="83">
        <f t="shared" si="7"/>
        <v>0</v>
      </c>
      <c r="AK12" s="82"/>
      <c r="AL12" s="84"/>
      <c r="AM12" s="66"/>
    </row>
    <row r="13" spans="1:39" ht="90" x14ac:dyDescent="0.3">
      <c r="C13" s="41" t="s">
        <v>495</v>
      </c>
      <c r="D13" s="41" t="s">
        <v>124</v>
      </c>
      <c r="E13" s="42" t="s">
        <v>88</v>
      </c>
      <c r="G13" s="66"/>
      <c r="H13" s="74">
        <v>480</v>
      </c>
      <c r="I13" s="74">
        <v>376</v>
      </c>
      <c r="J13" s="74">
        <v>568</v>
      </c>
      <c r="K13" s="74">
        <v>766</v>
      </c>
      <c r="L13" s="74">
        <v>693</v>
      </c>
      <c r="M13" s="74">
        <v>483</v>
      </c>
      <c r="N13" s="76" cm="1">
        <f t="array" ref="N13">SUM((H13:L13)/5)</f>
        <v>576.59999999999991</v>
      </c>
      <c r="O13" s="74">
        <v>700</v>
      </c>
      <c r="P13" s="66"/>
      <c r="Q13" s="81">
        <v>50.334000000000003</v>
      </c>
      <c r="R13" s="81">
        <v>63.256999999999998</v>
      </c>
      <c r="S13" s="81">
        <v>0.441</v>
      </c>
      <c r="T13" s="81">
        <v>0.441</v>
      </c>
      <c r="U13" s="77">
        <f>IF(E13="Gas",O13*#REF!,O13*$R$4)</f>
        <v>280</v>
      </c>
      <c r="V13" s="77">
        <f>IF(E13="Gas",O13*#REF!,O13*$T$4)</f>
        <v>420</v>
      </c>
      <c r="W13" s="66"/>
      <c r="X13" s="77" t="s">
        <v>127</v>
      </c>
      <c r="Y13" s="77" t="s">
        <v>128</v>
      </c>
      <c r="Z13" s="79">
        <f>SUM(27.45338+25.02322+25.3977)/3</f>
        <v>25.958100000000002</v>
      </c>
      <c r="AA13" s="80">
        <f t="shared" si="3"/>
        <v>42.830865000000003</v>
      </c>
      <c r="AB13" s="66"/>
      <c r="AC13" s="81">
        <v>365</v>
      </c>
      <c r="AD13" s="82">
        <f t="shared" si="4"/>
        <v>115.7603</v>
      </c>
      <c r="AE13" s="82">
        <f t="shared" si="5"/>
        <v>126.64049999999999</v>
      </c>
      <c r="AF13" s="82">
        <f t="shared" si="6"/>
        <v>72.680000000000007</v>
      </c>
      <c r="AG13" s="82">
        <f t="shared" si="6"/>
        <v>179.89</v>
      </c>
      <c r="AH13" s="114"/>
      <c r="AI13" s="114"/>
      <c r="AJ13" s="83">
        <f t="shared" si="7"/>
        <v>494.9708</v>
      </c>
      <c r="AK13" s="82"/>
      <c r="AL13" s="84"/>
      <c r="AM13" s="66"/>
    </row>
    <row r="14" spans="1:39" ht="15.6" x14ac:dyDescent="0.3">
      <c r="C14" s="41" t="s">
        <v>129</v>
      </c>
      <c r="D14" s="41" t="s">
        <v>124</v>
      </c>
      <c r="E14" s="42" t="s">
        <v>88</v>
      </c>
      <c r="G14" s="66"/>
      <c r="H14" s="74">
        <v>293</v>
      </c>
      <c r="I14" s="74">
        <v>334</v>
      </c>
      <c r="J14" s="74">
        <v>332</v>
      </c>
      <c r="K14" s="74">
        <v>361</v>
      </c>
      <c r="L14" s="74">
        <v>357</v>
      </c>
      <c r="M14" s="74">
        <v>139</v>
      </c>
      <c r="N14" s="76" cm="1">
        <f t="array" ref="N14">SUM((H14:L14)/5)</f>
        <v>335.4</v>
      </c>
      <c r="O14" s="74">
        <v>350</v>
      </c>
      <c r="P14" s="66"/>
      <c r="Q14" s="81">
        <v>49.828000000000003</v>
      </c>
      <c r="R14" s="81"/>
      <c r="S14" s="81">
        <v>0.441</v>
      </c>
      <c r="T14" s="81"/>
      <c r="U14" s="77">
        <f t="shared" ref="U14:U72" si="8">IF(E14="Gas",O14*R9,O14*$R$4)</f>
        <v>140</v>
      </c>
      <c r="V14" s="77">
        <f t="shared" ref="V14:V72" si="9">IF(E14="Gas",O14*T9,O14*$T$4)</f>
        <v>210</v>
      </c>
      <c r="W14" s="66"/>
      <c r="X14" s="77">
        <v>15.061999999999999</v>
      </c>
      <c r="Y14" s="77"/>
      <c r="Z14" s="79"/>
      <c r="AA14" s="80">
        <f t="shared" si="3"/>
        <v>0</v>
      </c>
      <c r="AB14" s="66"/>
      <c r="AC14" s="81">
        <v>365</v>
      </c>
      <c r="AD14" s="82">
        <f t="shared" si="4"/>
        <v>0</v>
      </c>
      <c r="AE14" s="82">
        <f t="shared" si="5"/>
        <v>0</v>
      </c>
      <c r="AF14" s="82">
        <f t="shared" si="6"/>
        <v>0</v>
      </c>
      <c r="AG14" s="82">
        <f t="shared" si="6"/>
        <v>0</v>
      </c>
      <c r="AH14" s="114"/>
      <c r="AI14" s="114"/>
      <c r="AJ14" s="83">
        <f t="shared" si="7"/>
        <v>0</v>
      </c>
      <c r="AK14" s="82"/>
      <c r="AL14" s="84"/>
      <c r="AM14" s="66"/>
    </row>
    <row r="15" spans="1:39" ht="15.6" x14ac:dyDescent="0.3">
      <c r="B15" s="87"/>
      <c r="C15" s="41" t="s">
        <v>496</v>
      </c>
      <c r="D15" s="41" t="s">
        <v>124</v>
      </c>
      <c r="E15" s="42" t="s">
        <v>88</v>
      </c>
      <c r="G15" s="66"/>
      <c r="H15" s="74">
        <v>15</v>
      </c>
      <c r="I15" s="74">
        <v>12</v>
      </c>
      <c r="J15" s="74">
        <v>121</v>
      </c>
      <c r="K15" s="74">
        <v>31</v>
      </c>
      <c r="L15" s="74">
        <v>22</v>
      </c>
      <c r="M15" s="74">
        <v>15</v>
      </c>
      <c r="N15" s="76" cm="1">
        <f t="array" ref="N15">SUM((H15:L15)/5)</f>
        <v>40.200000000000003</v>
      </c>
      <c r="O15" s="74">
        <v>40</v>
      </c>
      <c r="P15" s="66"/>
      <c r="Q15" s="81">
        <v>49.828000000000003</v>
      </c>
      <c r="R15" s="81">
        <v>63.256999999999998</v>
      </c>
      <c r="S15" s="81">
        <v>0.441</v>
      </c>
      <c r="T15" s="81">
        <v>0.441</v>
      </c>
      <c r="U15" s="77">
        <f t="shared" si="8"/>
        <v>16</v>
      </c>
      <c r="V15" s="77">
        <f t="shared" si="9"/>
        <v>24</v>
      </c>
      <c r="W15" s="66"/>
      <c r="X15" s="77">
        <v>15.061999999999999</v>
      </c>
      <c r="Y15" s="77">
        <v>26.519559999999998</v>
      </c>
      <c r="Z15" s="79">
        <v>26.519559999999998</v>
      </c>
      <c r="AA15" s="80">
        <f t="shared" si="3"/>
        <v>43.757273999999995</v>
      </c>
      <c r="AB15" s="66"/>
      <c r="AC15" s="81">
        <v>365</v>
      </c>
      <c r="AD15" s="82">
        <f t="shared" si="4"/>
        <v>115.7603</v>
      </c>
      <c r="AE15" s="82">
        <f t="shared" si="5"/>
        <v>126.64049999999999</v>
      </c>
      <c r="AF15" s="82">
        <f t="shared" si="6"/>
        <v>4.24</v>
      </c>
      <c r="AG15" s="82">
        <f t="shared" si="6"/>
        <v>10.5</v>
      </c>
      <c r="AH15" s="114"/>
      <c r="AI15" s="114"/>
      <c r="AJ15" s="83">
        <f t="shared" si="7"/>
        <v>257.14080000000001</v>
      </c>
      <c r="AK15" s="82"/>
      <c r="AL15" s="84"/>
      <c r="AM15" s="66"/>
    </row>
    <row r="16" spans="1:39" ht="60" x14ac:dyDescent="0.3">
      <c r="C16" s="41" t="s">
        <v>497</v>
      </c>
      <c r="D16" s="41" t="s">
        <v>124</v>
      </c>
      <c r="E16" s="42" t="s">
        <v>88</v>
      </c>
      <c r="G16" s="66"/>
      <c r="H16" s="74">
        <v>480</v>
      </c>
      <c r="I16" s="74">
        <v>478</v>
      </c>
      <c r="J16" s="74">
        <v>595</v>
      </c>
      <c r="K16" s="74">
        <v>502</v>
      </c>
      <c r="L16" s="74">
        <v>2165</v>
      </c>
      <c r="M16" s="74">
        <v>1223</v>
      </c>
      <c r="N16" s="76" cm="1">
        <f t="array" ref="N16">SUM((H16:L16)/5)</f>
        <v>844</v>
      </c>
      <c r="O16" s="74">
        <v>950</v>
      </c>
      <c r="P16" s="66"/>
      <c r="Q16" s="81">
        <v>49.325000000000003</v>
      </c>
      <c r="R16" s="81">
        <v>72.016000000000005</v>
      </c>
      <c r="S16" s="81">
        <v>0.441</v>
      </c>
      <c r="T16" s="81">
        <v>0.441</v>
      </c>
      <c r="U16" s="77">
        <f t="shared" si="8"/>
        <v>380</v>
      </c>
      <c r="V16" s="77">
        <f t="shared" si="9"/>
        <v>570</v>
      </c>
      <c r="W16" s="66"/>
      <c r="X16" s="77" t="s">
        <v>130</v>
      </c>
      <c r="Y16" s="77" t="s">
        <v>131</v>
      </c>
      <c r="Z16" s="79">
        <f>SUM(27.35077+25.22353)/2</f>
        <v>26.28715</v>
      </c>
      <c r="AA16" s="80">
        <f t="shared" si="3"/>
        <v>43.373797500000002</v>
      </c>
      <c r="AB16" s="66"/>
      <c r="AC16" s="81">
        <v>365</v>
      </c>
      <c r="AD16" s="82">
        <f t="shared" si="4"/>
        <v>131.7893</v>
      </c>
      <c r="AE16" s="82">
        <f t="shared" si="5"/>
        <v>144.17600000000002</v>
      </c>
      <c r="AF16" s="82">
        <f t="shared" si="6"/>
        <v>99.89</v>
      </c>
      <c r="AG16" s="82">
        <f t="shared" si="6"/>
        <v>247.23</v>
      </c>
      <c r="AH16" s="114"/>
      <c r="AI16" s="114"/>
      <c r="AJ16" s="83">
        <f t="shared" si="7"/>
        <v>623.08529999999996</v>
      </c>
      <c r="AK16" s="82"/>
      <c r="AL16" s="84"/>
      <c r="AM16" s="66"/>
    </row>
    <row r="17" spans="2:39" ht="15.6" x14ac:dyDescent="0.3">
      <c r="C17" s="41" t="s">
        <v>497</v>
      </c>
      <c r="D17" s="41" t="s">
        <v>124</v>
      </c>
      <c r="E17" s="42" t="s">
        <v>88</v>
      </c>
      <c r="G17" s="66"/>
      <c r="H17" s="74">
        <v>8</v>
      </c>
      <c r="I17" s="74">
        <v>171</v>
      </c>
      <c r="J17" s="74">
        <v>134</v>
      </c>
      <c r="K17" s="74">
        <v>105</v>
      </c>
      <c r="L17" s="74">
        <v>137</v>
      </c>
      <c r="M17" s="74">
        <v>56</v>
      </c>
      <c r="N17" s="76" cm="1">
        <f t="array" ref="N17">SUM((H17:L17)/5)</f>
        <v>111</v>
      </c>
      <c r="O17" s="74">
        <v>110</v>
      </c>
      <c r="P17" s="66"/>
      <c r="Q17" s="81">
        <v>49.828000000000003</v>
      </c>
      <c r="R17" s="81">
        <v>63.256999999999998</v>
      </c>
      <c r="S17" s="81">
        <v>0.441</v>
      </c>
      <c r="T17" s="81">
        <v>0.441</v>
      </c>
      <c r="U17" s="77">
        <f t="shared" si="8"/>
        <v>44</v>
      </c>
      <c r="V17" s="77">
        <f t="shared" si="9"/>
        <v>66</v>
      </c>
      <c r="W17" s="66"/>
      <c r="X17" s="77">
        <v>15.061999999999999</v>
      </c>
      <c r="Y17" s="77">
        <v>26.507680000000001</v>
      </c>
      <c r="Z17" s="79">
        <v>26.507680000000001</v>
      </c>
      <c r="AA17" s="80">
        <f t="shared" si="3"/>
        <v>43.737672000000003</v>
      </c>
      <c r="AB17" s="66"/>
      <c r="AC17" s="81">
        <v>365</v>
      </c>
      <c r="AD17" s="82">
        <f t="shared" si="4"/>
        <v>115.7603</v>
      </c>
      <c r="AE17" s="82">
        <f t="shared" si="5"/>
        <v>126.64049999999999</v>
      </c>
      <c r="AF17" s="82">
        <f t="shared" si="6"/>
        <v>11.66</v>
      </c>
      <c r="AG17" s="82">
        <f t="shared" si="6"/>
        <v>28.87</v>
      </c>
      <c r="AH17" s="114"/>
      <c r="AI17" s="114"/>
      <c r="AJ17" s="83">
        <f t="shared" si="7"/>
        <v>282.93079999999998</v>
      </c>
      <c r="AK17" s="82"/>
      <c r="AL17" s="84"/>
      <c r="AM17" s="66"/>
    </row>
    <row r="18" spans="2:39" ht="15.6" x14ac:dyDescent="0.3">
      <c r="C18" s="41" t="s">
        <v>497</v>
      </c>
      <c r="D18" s="41" t="s">
        <v>124</v>
      </c>
      <c r="E18" s="42" t="s">
        <v>88</v>
      </c>
      <c r="G18" s="66"/>
      <c r="H18" s="74">
        <v>21</v>
      </c>
      <c r="I18" s="74">
        <v>83</v>
      </c>
      <c r="J18" s="74">
        <v>39</v>
      </c>
      <c r="K18" s="74">
        <v>13</v>
      </c>
      <c r="L18" s="74">
        <v>18</v>
      </c>
      <c r="M18" s="74">
        <v>9</v>
      </c>
      <c r="N18" s="76" cm="1">
        <f t="array" ref="N18">SUM((H18:L18)/5)</f>
        <v>34.800000000000004</v>
      </c>
      <c r="O18" s="74">
        <v>35</v>
      </c>
      <c r="P18" s="66"/>
      <c r="Q18" s="81">
        <v>49.828000000000003</v>
      </c>
      <c r="R18" s="81">
        <v>63.256999999999998</v>
      </c>
      <c r="S18" s="81">
        <v>0.441</v>
      </c>
      <c r="T18" s="81">
        <v>0.441</v>
      </c>
      <c r="U18" s="77">
        <f t="shared" si="8"/>
        <v>14</v>
      </c>
      <c r="V18" s="77">
        <f t="shared" si="9"/>
        <v>21</v>
      </c>
      <c r="W18" s="66"/>
      <c r="X18" s="77">
        <v>15.061999999999999</v>
      </c>
      <c r="Y18" s="77">
        <v>26.503209999999999</v>
      </c>
      <c r="Z18" s="79">
        <v>26.503209999999999</v>
      </c>
      <c r="AA18" s="80">
        <f t="shared" si="3"/>
        <v>43.730296499999994</v>
      </c>
      <c r="AB18" s="66"/>
      <c r="AC18" s="81">
        <v>365</v>
      </c>
      <c r="AD18" s="82">
        <f t="shared" si="4"/>
        <v>115.7603</v>
      </c>
      <c r="AE18" s="82">
        <f t="shared" si="5"/>
        <v>126.64049999999999</v>
      </c>
      <c r="AF18" s="82">
        <f t="shared" si="6"/>
        <v>3.71</v>
      </c>
      <c r="AG18" s="82">
        <f t="shared" si="6"/>
        <v>9.18</v>
      </c>
      <c r="AH18" s="114"/>
      <c r="AI18" s="114"/>
      <c r="AJ18" s="83">
        <f t="shared" si="7"/>
        <v>255.29080000000002</v>
      </c>
      <c r="AK18" s="82"/>
      <c r="AL18" s="84"/>
      <c r="AM18" s="66"/>
    </row>
    <row r="19" spans="2:39" ht="15.6" x14ac:dyDescent="0.3">
      <c r="C19" s="41" t="s">
        <v>132</v>
      </c>
      <c r="D19" s="41" t="s">
        <v>124</v>
      </c>
      <c r="E19" s="42" t="s">
        <v>88</v>
      </c>
      <c r="G19" s="66"/>
      <c r="H19" s="74">
        <v>0</v>
      </c>
      <c r="I19" s="74">
        <v>0</v>
      </c>
      <c r="J19" s="74">
        <v>28</v>
      </c>
      <c r="K19" s="74">
        <v>0</v>
      </c>
      <c r="L19" s="74">
        <v>0</v>
      </c>
      <c r="M19" s="74">
        <v>0</v>
      </c>
      <c r="N19" s="76" cm="1">
        <f t="array" ref="N19">SUM((H19:L19)/5)</f>
        <v>5.6</v>
      </c>
      <c r="O19" s="74">
        <v>10</v>
      </c>
      <c r="P19" s="66"/>
      <c r="Q19" s="81">
        <v>49.828000000000003</v>
      </c>
      <c r="R19" s="81">
        <v>63.256999999999998</v>
      </c>
      <c r="S19" s="81">
        <v>0.441</v>
      </c>
      <c r="T19" s="81">
        <v>0.441</v>
      </c>
      <c r="U19" s="77">
        <f t="shared" si="8"/>
        <v>4</v>
      </c>
      <c r="V19" s="77">
        <f t="shared" si="9"/>
        <v>6</v>
      </c>
      <c r="W19" s="66"/>
      <c r="X19" s="77">
        <v>15.061999999999999</v>
      </c>
      <c r="Y19" s="77">
        <v>25.870339999999999</v>
      </c>
      <c r="Z19" s="79">
        <v>25.870339999999999</v>
      </c>
      <c r="AA19" s="80">
        <f t="shared" si="3"/>
        <v>42.686060999999995</v>
      </c>
      <c r="AB19" s="66"/>
      <c r="AC19" s="81">
        <v>365</v>
      </c>
      <c r="AD19" s="82">
        <f t="shared" si="4"/>
        <v>115.7603</v>
      </c>
      <c r="AE19" s="82">
        <f t="shared" si="5"/>
        <v>126.64049999999999</v>
      </c>
      <c r="AF19" s="82">
        <f t="shared" si="6"/>
        <v>1.03</v>
      </c>
      <c r="AG19" s="82">
        <f t="shared" si="6"/>
        <v>2.56</v>
      </c>
      <c r="AH19" s="114"/>
      <c r="AI19" s="114"/>
      <c r="AJ19" s="83">
        <f t="shared" si="7"/>
        <v>245.99080000000001</v>
      </c>
      <c r="AK19" s="82"/>
      <c r="AL19" s="84"/>
      <c r="AM19" s="66"/>
    </row>
    <row r="20" spans="2:39" ht="15.6" x14ac:dyDescent="0.3">
      <c r="C20" s="41" t="s">
        <v>498</v>
      </c>
      <c r="D20" s="41" t="s">
        <v>124</v>
      </c>
      <c r="E20" s="42" t="s">
        <v>88</v>
      </c>
      <c r="G20" s="66"/>
      <c r="H20" s="74">
        <v>161</v>
      </c>
      <c r="I20" s="74">
        <v>155</v>
      </c>
      <c r="J20" s="74">
        <v>160</v>
      </c>
      <c r="K20" s="74">
        <v>153</v>
      </c>
      <c r="L20" s="74">
        <v>156</v>
      </c>
      <c r="M20" s="74">
        <v>62</v>
      </c>
      <c r="N20" s="76" cm="1">
        <f t="array" ref="N20">SUM((H20:L20)/5)</f>
        <v>157</v>
      </c>
      <c r="O20" s="74">
        <v>155</v>
      </c>
      <c r="P20" s="66"/>
      <c r="Q20" s="86"/>
      <c r="R20" s="86"/>
      <c r="S20" s="86"/>
      <c r="T20" s="86"/>
      <c r="U20" s="77">
        <f t="shared" si="8"/>
        <v>62</v>
      </c>
      <c r="V20" s="77">
        <f t="shared" si="9"/>
        <v>93</v>
      </c>
      <c r="W20" s="66"/>
      <c r="X20" s="77"/>
      <c r="Y20" s="77"/>
      <c r="Z20" s="79"/>
      <c r="AA20" s="80">
        <f t="shared" si="3"/>
        <v>0</v>
      </c>
      <c r="AB20" s="66"/>
      <c r="AC20" s="81">
        <v>365</v>
      </c>
      <c r="AD20" s="82">
        <f t="shared" si="4"/>
        <v>0</v>
      </c>
      <c r="AE20" s="82">
        <f t="shared" si="5"/>
        <v>0</v>
      </c>
      <c r="AF20" s="82">
        <f t="shared" si="6"/>
        <v>0</v>
      </c>
      <c r="AG20" s="82">
        <f t="shared" si="6"/>
        <v>0</v>
      </c>
      <c r="AH20" s="114"/>
      <c r="AI20" s="114"/>
      <c r="AJ20" s="83">
        <f t="shared" si="7"/>
        <v>0</v>
      </c>
      <c r="AK20" s="82"/>
      <c r="AL20" s="84"/>
      <c r="AM20" s="66"/>
    </row>
    <row r="21" spans="2:39" ht="45" x14ac:dyDescent="0.3">
      <c r="C21" s="41" t="s">
        <v>499</v>
      </c>
      <c r="D21" s="41" t="s">
        <v>124</v>
      </c>
      <c r="E21" s="42" t="s">
        <v>88</v>
      </c>
      <c r="G21" s="66"/>
      <c r="H21" s="74">
        <v>1670</v>
      </c>
      <c r="I21" s="74">
        <v>1657</v>
      </c>
      <c r="J21" s="74">
        <v>1675</v>
      </c>
      <c r="K21" s="74">
        <v>1680</v>
      </c>
      <c r="L21" s="74">
        <v>1747</v>
      </c>
      <c r="M21" s="74">
        <v>902</v>
      </c>
      <c r="N21" s="76" cm="1">
        <f t="array" ref="N21">SUM((H21:L21)/5)</f>
        <v>1685.8000000000002</v>
      </c>
      <c r="O21" s="74">
        <v>1700</v>
      </c>
      <c r="P21" s="66"/>
      <c r="Q21" s="81">
        <v>49.325000000000003</v>
      </c>
      <c r="R21" s="81">
        <v>72.016000000000005</v>
      </c>
      <c r="S21" s="81">
        <v>0.441</v>
      </c>
      <c r="T21" s="81">
        <v>0.441</v>
      </c>
      <c r="U21" s="77">
        <f t="shared" si="8"/>
        <v>680</v>
      </c>
      <c r="V21" s="77">
        <f t="shared" si="9"/>
        <v>1020</v>
      </c>
      <c r="W21" s="66"/>
      <c r="X21" s="77" t="s">
        <v>133</v>
      </c>
      <c r="Y21" s="77" t="s">
        <v>134</v>
      </c>
      <c r="Z21" s="79">
        <f>SUM(27.17209+25.04854)/2</f>
        <v>26.110315</v>
      </c>
      <c r="AA21" s="80">
        <f t="shared" si="3"/>
        <v>43.082019750000001</v>
      </c>
      <c r="AB21" s="66"/>
      <c r="AC21" s="81">
        <v>365</v>
      </c>
      <c r="AD21" s="82">
        <f t="shared" si="4"/>
        <v>131.7893</v>
      </c>
      <c r="AE21" s="82">
        <f t="shared" si="5"/>
        <v>144.17600000000002</v>
      </c>
      <c r="AF21" s="82">
        <f t="shared" si="6"/>
        <v>177.55</v>
      </c>
      <c r="AG21" s="82">
        <f t="shared" si="6"/>
        <v>439.44</v>
      </c>
      <c r="AH21" s="114"/>
      <c r="AI21" s="114"/>
      <c r="AJ21" s="83">
        <f t="shared" si="7"/>
        <v>892.95530000000008</v>
      </c>
      <c r="AK21" s="82"/>
      <c r="AL21" s="84"/>
      <c r="AM21" s="66"/>
    </row>
    <row r="22" spans="2:39" ht="60" x14ac:dyDescent="0.3">
      <c r="C22" s="41" t="s">
        <v>500</v>
      </c>
      <c r="D22" s="41" t="s">
        <v>124</v>
      </c>
      <c r="E22" s="42" t="s">
        <v>88</v>
      </c>
      <c r="G22" s="66"/>
      <c r="H22" s="74">
        <v>2058</v>
      </c>
      <c r="I22" s="74">
        <v>2045</v>
      </c>
      <c r="J22" s="74">
        <v>2009</v>
      </c>
      <c r="K22" s="74">
        <v>2239</v>
      </c>
      <c r="L22" s="74">
        <v>1571</v>
      </c>
      <c r="M22" s="74">
        <v>1183</v>
      </c>
      <c r="N22" s="76" cm="1">
        <f t="array" ref="N22">SUM((H22:L22)/5)</f>
        <v>1984.4</v>
      </c>
      <c r="O22" s="74">
        <v>1980</v>
      </c>
      <c r="P22" s="66"/>
      <c r="Q22" s="81">
        <v>49.325000000000003</v>
      </c>
      <c r="R22" s="81">
        <v>72.016000000000005</v>
      </c>
      <c r="S22" s="81">
        <v>0.441</v>
      </c>
      <c r="T22" s="81">
        <v>0.441</v>
      </c>
      <c r="U22" s="77">
        <f t="shared" si="8"/>
        <v>792</v>
      </c>
      <c r="V22" s="77">
        <f t="shared" si="9"/>
        <v>1188</v>
      </c>
      <c r="W22" s="66"/>
      <c r="X22" s="77" t="s">
        <v>135</v>
      </c>
      <c r="Y22" s="77" t="s">
        <v>136</v>
      </c>
      <c r="Z22" s="79">
        <f>SUM(27.21369+25.09009)/2</f>
        <v>26.151890000000002</v>
      </c>
      <c r="AA22" s="80">
        <f t="shared" si="3"/>
        <v>43.150618500000007</v>
      </c>
      <c r="AB22" s="66"/>
      <c r="AC22" s="81">
        <v>365</v>
      </c>
      <c r="AD22" s="82">
        <f t="shared" si="4"/>
        <v>131.7893</v>
      </c>
      <c r="AE22" s="82">
        <f t="shared" si="5"/>
        <v>144.17600000000002</v>
      </c>
      <c r="AF22" s="82">
        <f t="shared" si="6"/>
        <v>207.12</v>
      </c>
      <c r="AG22" s="82">
        <f t="shared" si="6"/>
        <v>512.63</v>
      </c>
      <c r="AH22" s="114"/>
      <c r="AI22" s="114"/>
      <c r="AJ22" s="83">
        <f t="shared" si="7"/>
        <v>995.71530000000007</v>
      </c>
      <c r="AK22" s="82"/>
      <c r="AL22" s="84"/>
      <c r="AM22" s="66"/>
    </row>
    <row r="23" spans="2:39" ht="15.6" x14ac:dyDescent="0.3">
      <c r="B23" s="88"/>
      <c r="C23" s="41" t="s">
        <v>501</v>
      </c>
      <c r="D23" s="41" t="s">
        <v>124</v>
      </c>
      <c r="E23" s="42" t="s">
        <v>88</v>
      </c>
      <c r="G23" s="66"/>
      <c r="H23" s="74">
        <v>0</v>
      </c>
      <c r="I23" s="74">
        <v>29</v>
      </c>
      <c r="J23" s="74">
        <v>952</v>
      </c>
      <c r="K23" s="74">
        <v>433</v>
      </c>
      <c r="L23" s="74">
        <v>989</v>
      </c>
      <c r="M23" s="74">
        <v>333</v>
      </c>
      <c r="N23" s="76" cm="1">
        <f t="array" ref="N23">SUM((H23:L23)/5)</f>
        <v>480.6</v>
      </c>
      <c r="O23" s="74">
        <v>500</v>
      </c>
      <c r="P23" s="66"/>
      <c r="Q23" s="81">
        <v>48.128</v>
      </c>
      <c r="R23" s="86"/>
      <c r="S23" s="81">
        <v>0.441</v>
      </c>
      <c r="T23" s="86"/>
      <c r="U23" s="77">
        <f t="shared" si="8"/>
        <v>200</v>
      </c>
      <c r="V23" s="77">
        <f t="shared" si="9"/>
        <v>300</v>
      </c>
      <c r="W23" s="66"/>
      <c r="X23" s="77">
        <v>27.713999999999999</v>
      </c>
      <c r="Y23" s="89"/>
      <c r="Z23" s="79"/>
      <c r="AA23" s="80">
        <f t="shared" si="3"/>
        <v>0</v>
      </c>
      <c r="AB23" s="66"/>
      <c r="AC23" s="81">
        <v>365</v>
      </c>
      <c r="AD23" s="82">
        <f t="shared" si="4"/>
        <v>0</v>
      </c>
      <c r="AE23" s="82">
        <f t="shared" si="5"/>
        <v>0</v>
      </c>
      <c r="AF23" s="82">
        <f t="shared" si="6"/>
        <v>0</v>
      </c>
      <c r="AG23" s="82">
        <f t="shared" si="6"/>
        <v>0</v>
      </c>
      <c r="AH23" s="114"/>
      <c r="AI23" s="114"/>
      <c r="AJ23" s="83">
        <f t="shared" si="7"/>
        <v>0</v>
      </c>
      <c r="AK23" s="82"/>
      <c r="AL23" s="84"/>
      <c r="AM23" s="66"/>
    </row>
    <row r="24" spans="2:39" ht="60" x14ac:dyDescent="0.3">
      <c r="C24" s="41" t="s">
        <v>502</v>
      </c>
      <c r="D24" s="41" t="s">
        <v>124</v>
      </c>
      <c r="E24" s="42" t="s">
        <v>88</v>
      </c>
      <c r="G24" s="66"/>
      <c r="H24" s="74">
        <v>202</v>
      </c>
      <c r="I24" s="74">
        <v>205</v>
      </c>
      <c r="J24" s="74">
        <v>192</v>
      </c>
      <c r="K24" s="74">
        <v>203</v>
      </c>
      <c r="L24" s="74">
        <v>195</v>
      </c>
      <c r="M24" s="74">
        <v>7</v>
      </c>
      <c r="N24" s="76" cm="1">
        <f t="array" ref="N24">SUM((H24:L24)/5)</f>
        <v>199.4</v>
      </c>
      <c r="O24" s="74">
        <v>200</v>
      </c>
      <c r="P24" s="66"/>
      <c r="Q24" s="81">
        <v>50.334000000000003</v>
      </c>
      <c r="R24" s="81">
        <v>63.256999999999998</v>
      </c>
      <c r="S24" s="81">
        <v>0.441</v>
      </c>
      <c r="T24" s="81">
        <v>0.441</v>
      </c>
      <c r="U24" s="77">
        <f t="shared" si="8"/>
        <v>80</v>
      </c>
      <c r="V24" s="77">
        <f t="shared" si="9"/>
        <v>120</v>
      </c>
      <c r="W24" s="66"/>
      <c r="X24" s="77" t="s">
        <v>137</v>
      </c>
      <c r="Y24" s="77" t="s">
        <v>138</v>
      </c>
      <c r="Z24" s="79">
        <f>SUM(26.59287+25.10823)/2</f>
        <v>25.850549999999998</v>
      </c>
      <c r="AA24" s="80">
        <f t="shared" si="3"/>
        <v>42.6534075</v>
      </c>
      <c r="AB24" s="66"/>
      <c r="AC24" s="81">
        <v>365</v>
      </c>
      <c r="AD24" s="82">
        <f t="shared" si="4"/>
        <v>115.7603</v>
      </c>
      <c r="AE24" s="82">
        <f t="shared" si="5"/>
        <v>126.64049999999999</v>
      </c>
      <c r="AF24" s="82">
        <f t="shared" si="6"/>
        <v>20.68</v>
      </c>
      <c r="AG24" s="82">
        <f t="shared" si="6"/>
        <v>51.18</v>
      </c>
      <c r="AH24" s="114"/>
      <c r="AI24" s="114"/>
      <c r="AJ24" s="83">
        <f t="shared" si="7"/>
        <v>314.26080000000002</v>
      </c>
      <c r="AK24" s="82"/>
      <c r="AL24" s="84"/>
      <c r="AM24" s="66"/>
    </row>
    <row r="25" spans="2:39" ht="60" x14ac:dyDescent="0.3">
      <c r="C25" s="41" t="s">
        <v>502</v>
      </c>
      <c r="D25" s="41" t="s">
        <v>124</v>
      </c>
      <c r="E25" s="42" t="s">
        <v>88</v>
      </c>
      <c r="G25" s="66"/>
      <c r="H25" s="74">
        <v>400</v>
      </c>
      <c r="I25" s="74">
        <v>414</v>
      </c>
      <c r="J25" s="74">
        <v>406</v>
      </c>
      <c r="K25" s="74">
        <v>379</v>
      </c>
      <c r="L25" s="74">
        <v>239</v>
      </c>
      <c r="M25" s="74">
        <v>105</v>
      </c>
      <c r="N25" s="76" cm="1">
        <f t="array" ref="N25">SUM((H25:L25)/5)</f>
        <v>367.6</v>
      </c>
      <c r="O25" s="74">
        <v>350</v>
      </c>
      <c r="P25" s="66"/>
      <c r="Q25" s="81">
        <v>50.334000000000003</v>
      </c>
      <c r="R25" s="81">
        <v>63.256999999999998</v>
      </c>
      <c r="S25" s="81">
        <v>0.441</v>
      </c>
      <c r="T25" s="81">
        <v>0.441</v>
      </c>
      <c r="U25" s="77">
        <f t="shared" si="8"/>
        <v>140</v>
      </c>
      <c r="V25" s="77">
        <f t="shared" si="9"/>
        <v>210</v>
      </c>
      <c r="W25" s="66"/>
      <c r="X25" s="77" t="s">
        <v>139</v>
      </c>
      <c r="Y25" s="77" t="s">
        <v>140</v>
      </c>
      <c r="Z25" s="79">
        <f>SUM(26.62478+25.14164)/2</f>
        <v>25.883209999999998</v>
      </c>
      <c r="AA25" s="80">
        <f t="shared" si="3"/>
        <v>42.707296499999998</v>
      </c>
      <c r="AB25" s="66"/>
      <c r="AC25" s="81">
        <v>365</v>
      </c>
      <c r="AD25" s="82">
        <f t="shared" si="4"/>
        <v>115.7603</v>
      </c>
      <c r="AE25" s="82">
        <f t="shared" si="5"/>
        <v>126.64049999999999</v>
      </c>
      <c r="AF25" s="82">
        <f t="shared" si="6"/>
        <v>36.24</v>
      </c>
      <c r="AG25" s="82">
        <f t="shared" si="6"/>
        <v>89.69</v>
      </c>
      <c r="AH25" s="114"/>
      <c r="AI25" s="114"/>
      <c r="AJ25" s="83">
        <f t="shared" si="7"/>
        <v>368.33080000000001</v>
      </c>
      <c r="AK25" s="82"/>
      <c r="AL25" s="84"/>
      <c r="AM25" s="66"/>
    </row>
    <row r="26" spans="2:39" ht="60" x14ac:dyDescent="0.3">
      <c r="C26" s="41" t="s">
        <v>503</v>
      </c>
      <c r="D26" s="41" t="s">
        <v>124</v>
      </c>
      <c r="E26" s="42" t="s">
        <v>88</v>
      </c>
      <c r="G26" s="66"/>
      <c r="H26" s="74">
        <v>1261</v>
      </c>
      <c r="I26" s="74">
        <v>1383</v>
      </c>
      <c r="J26" s="74">
        <v>1818</v>
      </c>
      <c r="K26" s="74">
        <v>2254</v>
      </c>
      <c r="L26" s="74">
        <v>2209</v>
      </c>
      <c r="M26" s="74">
        <v>1147</v>
      </c>
      <c r="N26" s="76" cm="1">
        <f t="array" ref="N26">SUM((H26:L26)/5)</f>
        <v>1785</v>
      </c>
      <c r="O26" s="74">
        <v>2200</v>
      </c>
      <c r="P26" s="66"/>
      <c r="Q26" s="81">
        <v>49.325000000000003</v>
      </c>
      <c r="R26" s="81">
        <v>72.016000000000005</v>
      </c>
      <c r="S26" s="81">
        <v>0.441</v>
      </c>
      <c r="T26" s="81">
        <v>0.441</v>
      </c>
      <c r="U26" s="77">
        <f t="shared" si="8"/>
        <v>880</v>
      </c>
      <c r="V26" s="77">
        <f t="shared" si="9"/>
        <v>1320</v>
      </c>
      <c r="W26" s="66"/>
      <c r="X26" s="77" t="s">
        <v>141</v>
      </c>
      <c r="Y26" s="77" t="s">
        <v>142</v>
      </c>
      <c r="Z26" s="79">
        <f>SUM(27.20667+25.08306)/2</f>
        <v>26.144864999999999</v>
      </c>
      <c r="AA26" s="80">
        <f t="shared" si="3"/>
        <v>43.139027249999998</v>
      </c>
      <c r="AB26" s="66"/>
      <c r="AC26" s="81">
        <v>365</v>
      </c>
      <c r="AD26" s="82">
        <f t="shared" si="4"/>
        <v>131.7893</v>
      </c>
      <c r="AE26" s="82">
        <f t="shared" si="5"/>
        <v>144.17600000000002</v>
      </c>
      <c r="AF26" s="82">
        <f t="shared" si="6"/>
        <v>230.07</v>
      </c>
      <c r="AG26" s="82">
        <f t="shared" si="6"/>
        <v>569.44000000000005</v>
      </c>
      <c r="AH26" s="114"/>
      <c r="AI26" s="114"/>
      <c r="AJ26" s="83">
        <f t="shared" si="7"/>
        <v>1075.4753000000001</v>
      </c>
      <c r="AK26" s="82"/>
      <c r="AL26" s="84"/>
      <c r="AM26" s="66"/>
    </row>
    <row r="27" spans="2:39" ht="15.6" x14ac:dyDescent="0.3">
      <c r="C27" s="41" t="s">
        <v>504</v>
      </c>
      <c r="D27" s="41" t="s">
        <v>124</v>
      </c>
      <c r="E27" s="42" t="s">
        <v>88</v>
      </c>
      <c r="G27" s="66"/>
      <c r="H27" s="74">
        <v>1683</v>
      </c>
      <c r="I27" s="74">
        <v>941</v>
      </c>
      <c r="J27" s="74">
        <v>761</v>
      </c>
      <c r="K27" s="74">
        <v>1336</v>
      </c>
      <c r="L27" s="74">
        <v>1095</v>
      </c>
      <c r="M27" s="74">
        <v>573</v>
      </c>
      <c r="N27" s="76" cm="1">
        <f t="array" ref="N27">SUM((H27:L27)/5)</f>
        <v>1163.2</v>
      </c>
      <c r="O27" s="74">
        <v>1250</v>
      </c>
      <c r="P27" s="66"/>
      <c r="Q27" s="86"/>
      <c r="R27" s="86"/>
      <c r="S27" s="86"/>
      <c r="T27" s="86"/>
      <c r="U27" s="77">
        <f t="shared" si="8"/>
        <v>500</v>
      </c>
      <c r="V27" s="77">
        <f t="shared" si="9"/>
        <v>750</v>
      </c>
      <c r="W27" s="66"/>
      <c r="X27" s="77"/>
      <c r="Y27" s="77"/>
      <c r="Z27" s="79"/>
      <c r="AA27" s="80">
        <f t="shared" si="3"/>
        <v>0</v>
      </c>
      <c r="AB27" s="66"/>
      <c r="AC27" s="81">
        <v>365</v>
      </c>
      <c r="AD27" s="82">
        <f t="shared" si="4"/>
        <v>0</v>
      </c>
      <c r="AE27" s="82">
        <f t="shared" si="5"/>
        <v>0</v>
      </c>
      <c r="AF27" s="82">
        <f t="shared" si="6"/>
        <v>0</v>
      </c>
      <c r="AG27" s="82">
        <f t="shared" si="6"/>
        <v>0</v>
      </c>
      <c r="AH27" s="114"/>
      <c r="AI27" s="114"/>
      <c r="AJ27" s="83">
        <f t="shared" si="7"/>
        <v>0</v>
      </c>
      <c r="AK27" s="82"/>
      <c r="AL27" s="84"/>
      <c r="AM27" s="66"/>
    </row>
    <row r="28" spans="2:39" ht="15.6" x14ac:dyDescent="0.3">
      <c r="C28" s="41" t="s">
        <v>505</v>
      </c>
      <c r="D28" s="41" t="s">
        <v>124</v>
      </c>
      <c r="E28" s="42" t="s">
        <v>88</v>
      </c>
      <c r="G28" s="66"/>
      <c r="H28" s="74">
        <v>34</v>
      </c>
      <c r="I28" s="74">
        <v>36</v>
      </c>
      <c r="J28" s="74">
        <v>35</v>
      </c>
      <c r="K28" s="74">
        <v>32</v>
      </c>
      <c r="L28" s="74">
        <v>23</v>
      </c>
      <c r="M28" s="74">
        <v>15</v>
      </c>
      <c r="N28" s="76" cm="1">
        <f t="array" ref="N28">SUM((H28:L28)/5)</f>
        <v>32</v>
      </c>
      <c r="O28" s="74">
        <v>35</v>
      </c>
      <c r="P28" s="66"/>
      <c r="Q28" s="81">
        <v>49.308</v>
      </c>
      <c r="R28" s="81">
        <v>72.016000000000005</v>
      </c>
      <c r="S28" s="81">
        <v>0.441</v>
      </c>
      <c r="T28" s="81">
        <v>0.441</v>
      </c>
      <c r="U28" s="77">
        <f t="shared" si="8"/>
        <v>14</v>
      </c>
      <c r="V28" s="77">
        <f t="shared" si="9"/>
        <v>21</v>
      </c>
      <c r="W28" s="66"/>
      <c r="X28" s="77">
        <v>15.868</v>
      </c>
      <c r="Y28" s="77">
        <v>27.097470000000001</v>
      </c>
      <c r="Z28" s="79">
        <v>27.097470000000001</v>
      </c>
      <c r="AA28" s="80">
        <f t="shared" si="3"/>
        <v>44.710825499999999</v>
      </c>
      <c r="AB28" s="66"/>
      <c r="AC28" s="81">
        <v>365</v>
      </c>
      <c r="AD28" s="82">
        <f t="shared" si="4"/>
        <v>131.7893</v>
      </c>
      <c r="AE28" s="82">
        <f t="shared" si="5"/>
        <v>144.17600000000002</v>
      </c>
      <c r="AF28" s="82">
        <f t="shared" si="6"/>
        <v>3.79</v>
      </c>
      <c r="AG28" s="82">
        <f t="shared" si="6"/>
        <v>9.39</v>
      </c>
      <c r="AH28" s="114"/>
      <c r="AI28" s="114"/>
      <c r="AJ28" s="83">
        <f t="shared" si="7"/>
        <v>289.14530000000002</v>
      </c>
      <c r="AK28" s="82"/>
      <c r="AL28" s="84"/>
      <c r="AM28" s="66"/>
    </row>
    <row r="29" spans="2:39" ht="60" x14ac:dyDescent="0.3">
      <c r="C29" s="41" t="s">
        <v>143</v>
      </c>
      <c r="D29" s="41" t="s">
        <v>124</v>
      </c>
      <c r="E29" s="42" t="s">
        <v>88</v>
      </c>
      <c r="G29" s="66"/>
      <c r="H29" s="74">
        <v>1159</v>
      </c>
      <c r="I29" s="74">
        <v>1149</v>
      </c>
      <c r="J29" s="74">
        <v>1015</v>
      </c>
      <c r="K29" s="74">
        <v>1073</v>
      </c>
      <c r="L29" s="74">
        <v>1026</v>
      </c>
      <c r="M29" s="74">
        <v>762</v>
      </c>
      <c r="N29" s="76" cm="1">
        <f t="array" ref="N29">SUM((H29:L29)/5)</f>
        <v>1084.4000000000001</v>
      </c>
      <c r="O29" s="74">
        <v>1075</v>
      </c>
      <c r="P29" s="66"/>
      <c r="Q29" s="81">
        <v>49.325000000000003</v>
      </c>
      <c r="R29" s="81">
        <v>72.016000000000005</v>
      </c>
      <c r="S29" s="81">
        <v>0.441</v>
      </c>
      <c r="T29" s="81">
        <v>0.441</v>
      </c>
      <c r="U29" s="77">
        <f t="shared" si="8"/>
        <v>430</v>
      </c>
      <c r="V29" s="77">
        <f t="shared" si="9"/>
        <v>645</v>
      </c>
      <c r="W29" s="66"/>
      <c r="X29" s="77" t="s">
        <v>144</v>
      </c>
      <c r="Y29" s="77" t="s">
        <v>145</v>
      </c>
      <c r="Z29" s="79">
        <f>SUM(27.1918+25.2149)/2</f>
        <v>26.20335</v>
      </c>
      <c r="AA29" s="80">
        <f t="shared" si="3"/>
        <v>43.235527500000003</v>
      </c>
      <c r="AB29" s="66"/>
      <c r="AC29" s="81">
        <v>365</v>
      </c>
      <c r="AD29" s="82">
        <f t="shared" si="4"/>
        <v>131.7893</v>
      </c>
      <c r="AE29" s="82">
        <f t="shared" si="5"/>
        <v>144.17600000000002</v>
      </c>
      <c r="AF29" s="82">
        <f t="shared" si="6"/>
        <v>112.67</v>
      </c>
      <c r="AG29" s="82">
        <f t="shared" si="6"/>
        <v>278.87</v>
      </c>
      <c r="AH29" s="114"/>
      <c r="AI29" s="114"/>
      <c r="AJ29" s="83">
        <f t="shared" si="7"/>
        <v>667.50530000000003</v>
      </c>
      <c r="AK29" s="82"/>
      <c r="AL29" s="84"/>
      <c r="AM29" s="66"/>
    </row>
    <row r="30" spans="2:39" ht="15.6" x14ac:dyDescent="0.3">
      <c r="C30" s="41" t="s">
        <v>146</v>
      </c>
      <c r="D30" s="41" t="s">
        <v>124</v>
      </c>
      <c r="E30" s="42" t="s">
        <v>88</v>
      </c>
      <c r="G30" s="66"/>
      <c r="H30" s="74">
        <v>1072</v>
      </c>
      <c r="I30" s="74">
        <v>1379</v>
      </c>
      <c r="J30" s="74">
        <v>1315</v>
      </c>
      <c r="K30" s="74">
        <v>1004</v>
      </c>
      <c r="L30" s="74">
        <v>1468</v>
      </c>
      <c r="M30" s="74">
        <v>991</v>
      </c>
      <c r="N30" s="76" cm="1">
        <f t="array" ref="N30">SUM((H30:L30)/5)</f>
        <v>1247.5999999999999</v>
      </c>
      <c r="O30" s="74">
        <v>1250</v>
      </c>
      <c r="P30" s="66"/>
      <c r="Q30" s="81">
        <v>49.828000000000003</v>
      </c>
      <c r="R30" s="81">
        <v>63.256999999999998</v>
      </c>
      <c r="S30" s="81">
        <v>0.441</v>
      </c>
      <c r="T30" s="81">
        <v>0.441</v>
      </c>
      <c r="U30" s="77">
        <f t="shared" si="8"/>
        <v>500</v>
      </c>
      <c r="V30" s="77">
        <f t="shared" si="9"/>
        <v>750</v>
      </c>
      <c r="W30" s="66"/>
      <c r="X30" s="77">
        <v>15.061999999999999</v>
      </c>
      <c r="Y30" s="77">
        <v>26.20599</v>
      </c>
      <c r="Z30" s="79">
        <v>26.20599</v>
      </c>
      <c r="AA30" s="80">
        <f t="shared" si="3"/>
        <v>43.239883500000005</v>
      </c>
      <c r="AB30" s="66"/>
      <c r="AC30" s="81">
        <v>365</v>
      </c>
      <c r="AD30" s="82">
        <f t="shared" si="4"/>
        <v>115.7603</v>
      </c>
      <c r="AE30" s="82">
        <f t="shared" si="5"/>
        <v>126.64049999999999</v>
      </c>
      <c r="AF30" s="82">
        <f t="shared" si="6"/>
        <v>131.03</v>
      </c>
      <c r="AG30" s="82">
        <f t="shared" si="6"/>
        <v>324.3</v>
      </c>
      <c r="AH30" s="114"/>
      <c r="AI30" s="114"/>
      <c r="AJ30" s="83">
        <f t="shared" si="7"/>
        <v>697.73080000000004</v>
      </c>
      <c r="AK30" s="82"/>
      <c r="AL30" s="84"/>
      <c r="AM30" s="66"/>
    </row>
    <row r="31" spans="2:39" ht="90" x14ac:dyDescent="0.3">
      <c r="C31" s="41" t="s">
        <v>147</v>
      </c>
      <c r="D31" s="41" t="s">
        <v>124</v>
      </c>
      <c r="E31" s="42" t="s">
        <v>88</v>
      </c>
      <c r="G31" s="66"/>
      <c r="H31" s="74">
        <v>886</v>
      </c>
      <c r="I31" s="74">
        <v>879</v>
      </c>
      <c r="J31" s="74">
        <v>934</v>
      </c>
      <c r="K31" s="74">
        <v>892</v>
      </c>
      <c r="L31" s="74">
        <v>1076</v>
      </c>
      <c r="M31" s="74">
        <v>255</v>
      </c>
      <c r="N31" s="76" cm="1">
        <f t="array" ref="N31">SUM((H31:L31)/5)</f>
        <v>933.39999999999986</v>
      </c>
      <c r="O31" s="74">
        <v>940</v>
      </c>
      <c r="P31" s="66"/>
      <c r="Q31" s="81">
        <v>50.334000000000003</v>
      </c>
      <c r="R31" s="81">
        <v>63.256999999999998</v>
      </c>
      <c r="S31" s="81">
        <v>0.441</v>
      </c>
      <c r="T31" s="81">
        <v>0.441</v>
      </c>
      <c r="U31" s="77">
        <f t="shared" si="8"/>
        <v>376</v>
      </c>
      <c r="V31" s="77">
        <f t="shared" si="9"/>
        <v>564</v>
      </c>
      <c r="W31" s="66"/>
      <c r="X31" s="77" t="s">
        <v>148</v>
      </c>
      <c r="Y31" s="77" t="s">
        <v>149</v>
      </c>
      <c r="Z31" s="79">
        <f>SUM(27.40541+24.97251+25.34702)/3</f>
        <v>25.908313333333336</v>
      </c>
      <c r="AA31" s="80">
        <f t="shared" si="3"/>
        <v>42.748717000000006</v>
      </c>
      <c r="AB31" s="66"/>
      <c r="AC31" s="81">
        <v>365</v>
      </c>
      <c r="AD31" s="82">
        <f t="shared" si="4"/>
        <v>115.7603</v>
      </c>
      <c r="AE31" s="82">
        <f t="shared" si="5"/>
        <v>126.64049999999999</v>
      </c>
      <c r="AF31" s="82">
        <f t="shared" si="6"/>
        <v>97.42</v>
      </c>
      <c r="AG31" s="82">
        <f t="shared" si="6"/>
        <v>241.1</v>
      </c>
      <c r="AH31" s="114"/>
      <c r="AI31" s="114"/>
      <c r="AJ31" s="83">
        <f t="shared" si="7"/>
        <v>580.92079999999999</v>
      </c>
      <c r="AK31" s="82"/>
      <c r="AL31" s="84"/>
      <c r="AM31" s="66"/>
    </row>
    <row r="32" spans="2:39" ht="90" x14ac:dyDescent="0.3">
      <c r="C32" s="41" t="s">
        <v>147</v>
      </c>
      <c r="D32" s="41" t="s">
        <v>124</v>
      </c>
      <c r="E32" s="42" t="s">
        <v>88</v>
      </c>
      <c r="G32" s="66"/>
      <c r="H32" s="74">
        <v>1315</v>
      </c>
      <c r="I32" s="74">
        <v>2051</v>
      </c>
      <c r="J32" s="74">
        <v>1536</v>
      </c>
      <c r="K32" s="74">
        <v>1631</v>
      </c>
      <c r="L32" s="74">
        <v>1304</v>
      </c>
      <c r="M32" s="74">
        <v>56</v>
      </c>
      <c r="N32" s="76" cm="1">
        <f t="array" ref="N32">SUM((H32:L32)/5)</f>
        <v>1567.4</v>
      </c>
      <c r="O32" s="74">
        <v>1560</v>
      </c>
      <c r="P32" s="66"/>
      <c r="Q32" s="81">
        <v>50.334000000000003</v>
      </c>
      <c r="R32" s="81">
        <v>63.256999999999998</v>
      </c>
      <c r="S32" s="81">
        <v>0.441</v>
      </c>
      <c r="T32" s="81">
        <v>0.441</v>
      </c>
      <c r="U32" s="77">
        <f t="shared" si="8"/>
        <v>624</v>
      </c>
      <c r="V32" s="77">
        <f t="shared" si="9"/>
        <v>936</v>
      </c>
      <c r="W32" s="66"/>
      <c r="X32" s="77" t="s">
        <v>150</v>
      </c>
      <c r="Y32" s="77" t="s">
        <v>151</v>
      </c>
      <c r="Z32" s="79">
        <f>SUM(27.40417+24.97211+25.34727)/3</f>
        <v>25.90785</v>
      </c>
      <c r="AA32" s="80">
        <f t="shared" si="3"/>
        <v>42.747952499999997</v>
      </c>
      <c r="AB32" s="66"/>
      <c r="AC32" s="81">
        <v>365</v>
      </c>
      <c r="AD32" s="82">
        <f t="shared" si="4"/>
        <v>115.7603</v>
      </c>
      <c r="AE32" s="82">
        <f t="shared" si="5"/>
        <v>126.64049999999999</v>
      </c>
      <c r="AF32" s="82">
        <f t="shared" si="6"/>
        <v>161.66</v>
      </c>
      <c r="AG32" s="82">
        <f t="shared" si="6"/>
        <v>400.12</v>
      </c>
      <c r="AH32" s="114"/>
      <c r="AI32" s="114"/>
      <c r="AJ32" s="83">
        <f t="shared" si="7"/>
        <v>804.18079999999998</v>
      </c>
      <c r="AK32" s="82"/>
      <c r="AL32" s="84"/>
      <c r="AM32" s="66"/>
    </row>
    <row r="33" spans="3:39" ht="90" x14ac:dyDescent="0.3">
      <c r="C33" s="41" t="s">
        <v>147</v>
      </c>
      <c r="D33" s="41" t="s">
        <v>124</v>
      </c>
      <c r="E33" s="42" t="s">
        <v>88</v>
      </c>
      <c r="G33" s="66"/>
      <c r="H33" s="74">
        <v>1873</v>
      </c>
      <c r="I33" s="74">
        <v>1650</v>
      </c>
      <c r="J33" s="74">
        <v>1060</v>
      </c>
      <c r="K33" s="74">
        <v>1838</v>
      </c>
      <c r="L33" s="74">
        <v>1153</v>
      </c>
      <c r="M33" s="74">
        <v>539</v>
      </c>
      <c r="N33" s="76" cm="1">
        <f t="array" ref="N33">SUM((H33:L33)/5)</f>
        <v>1514.8</v>
      </c>
      <c r="O33" s="74">
        <v>1515</v>
      </c>
      <c r="P33" s="66"/>
      <c r="Q33" s="81">
        <v>50.334000000000003</v>
      </c>
      <c r="R33" s="81">
        <v>63.256999999999998</v>
      </c>
      <c r="S33" s="81">
        <v>0.441</v>
      </c>
      <c r="T33" s="81">
        <v>0.441</v>
      </c>
      <c r="U33" s="77">
        <f t="shared" si="8"/>
        <v>606</v>
      </c>
      <c r="V33" s="77">
        <f t="shared" si="9"/>
        <v>909</v>
      </c>
      <c r="W33" s="66"/>
      <c r="X33" s="77" t="s">
        <v>150</v>
      </c>
      <c r="Y33" s="77" t="s">
        <v>152</v>
      </c>
      <c r="Z33" s="79">
        <f>SUM(27.38514+24.95341+25.32806)/3</f>
        <v>25.888869999999997</v>
      </c>
      <c r="AA33" s="80">
        <f t="shared" si="3"/>
        <v>42.716635499999995</v>
      </c>
      <c r="AB33" s="66"/>
      <c r="AC33" s="81">
        <v>365</v>
      </c>
      <c r="AD33" s="82">
        <f t="shared" si="4"/>
        <v>115.7603</v>
      </c>
      <c r="AE33" s="82">
        <f t="shared" si="5"/>
        <v>126.64049999999999</v>
      </c>
      <c r="AF33" s="82">
        <f t="shared" si="6"/>
        <v>156.88999999999999</v>
      </c>
      <c r="AG33" s="82">
        <f t="shared" si="6"/>
        <v>388.29</v>
      </c>
      <c r="AH33" s="114"/>
      <c r="AI33" s="114"/>
      <c r="AJ33" s="83">
        <f t="shared" si="7"/>
        <v>787.58079999999995</v>
      </c>
      <c r="AK33" s="82"/>
      <c r="AL33" s="84"/>
      <c r="AM33" s="66"/>
    </row>
    <row r="34" spans="3:39" ht="90" x14ac:dyDescent="0.3">
      <c r="C34" s="41" t="s">
        <v>153</v>
      </c>
      <c r="D34" s="41" t="s">
        <v>124</v>
      </c>
      <c r="E34" s="42" t="s">
        <v>88</v>
      </c>
      <c r="G34" s="66"/>
      <c r="H34" s="74">
        <v>1763</v>
      </c>
      <c r="I34" s="74">
        <v>2198</v>
      </c>
      <c r="J34" s="74">
        <v>1641</v>
      </c>
      <c r="K34" s="74">
        <v>1485</v>
      </c>
      <c r="L34" s="74">
        <v>1091</v>
      </c>
      <c r="M34" s="74">
        <v>638</v>
      </c>
      <c r="N34" s="76" cm="1">
        <f t="array" ref="N34">SUM((H34:L34)/5)</f>
        <v>1635.6000000000001</v>
      </c>
      <c r="O34" s="74">
        <v>1600</v>
      </c>
      <c r="P34" s="66"/>
      <c r="Q34" s="81">
        <v>50.334000000000003</v>
      </c>
      <c r="R34" s="81">
        <v>63.256999999999998</v>
      </c>
      <c r="S34" s="81">
        <v>0.441</v>
      </c>
      <c r="T34" s="81">
        <v>0.441</v>
      </c>
      <c r="U34" s="77">
        <f t="shared" si="8"/>
        <v>640</v>
      </c>
      <c r="V34" s="77">
        <f t="shared" si="9"/>
        <v>960</v>
      </c>
      <c r="W34" s="66"/>
      <c r="X34" s="77" t="s">
        <v>154</v>
      </c>
      <c r="Y34" s="77" t="s">
        <v>155</v>
      </c>
      <c r="Z34" s="79">
        <f>SUM(27.43758+25.00613+25.38018)/3</f>
        <v>25.941296666666663</v>
      </c>
      <c r="AA34" s="80">
        <f t="shared" si="3"/>
        <v>42.803139499999993</v>
      </c>
      <c r="AB34" s="66"/>
      <c r="AC34" s="81">
        <v>365</v>
      </c>
      <c r="AD34" s="82">
        <f t="shared" si="4"/>
        <v>115.7603</v>
      </c>
      <c r="AE34" s="82">
        <f t="shared" si="5"/>
        <v>126.64049999999999</v>
      </c>
      <c r="AF34" s="82">
        <f t="shared" si="6"/>
        <v>166.02</v>
      </c>
      <c r="AG34" s="82">
        <f t="shared" si="6"/>
        <v>410.91</v>
      </c>
      <c r="AH34" s="114"/>
      <c r="AI34" s="114"/>
      <c r="AJ34" s="83">
        <f t="shared" si="7"/>
        <v>819.33079999999995</v>
      </c>
      <c r="AK34" s="82"/>
      <c r="AL34" s="84"/>
      <c r="AM34" s="66"/>
    </row>
    <row r="35" spans="3:39" ht="15.6" x14ac:dyDescent="0.3">
      <c r="C35" s="41" t="s">
        <v>506</v>
      </c>
      <c r="D35" s="41" t="s">
        <v>124</v>
      </c>
      <c r="E35" s="42" t="s">
        <v>88</v>
      </c>
      <c r="G35" s="66"/>
      <c r="H35" s="74">
        <v>1440</v>
      </c>
      <c r="I35" s="74">
        <v>1104</v>
      </c>
      <c r="J35" s="74">
        <v>1301</v>
      </c>
      <c r="K35" s="74">
        <v>1676</v>
      </c>
      <c r="L35" s="74">
        <v>1739</v>
      </c>
      <c r="M35" s="74">
        <v>789</v>
      </c>
      <c r="N35" s="76" cm="1">
        <f t="array" ref="N35">SUM((H35:L35)/5)</f>
        <v>1452</v>
      </c>
      <c r="O35" s="74">
        <v>1600</v>
      </c>
      <c r="P35" s="66"/>
      <c r="Q35" s="81">
        <v>49.308</v>
      </c>
      <c r="R35" s="81">
        <v>72.016000000000005</v>
      </c>
      <c r="S35" s="81">
        <v>0.441</v>
      </c>
      <c r="T35" s="81">
        <v>0.441</v>
      </c>
      <c r="U35" s="77">
        <f t="shared" si="8"/>
        <v>640</v>
      </c>
      <c r="V35" s="77">
        <f t="shared" si="9"/>
        <v>960</v>
      </c>
      <c r="W35" s="66"/>
      <c r="X35" s="77">
        <v>15.868</v>
      </c>
      <c r="Y35" s="77">
        <v>27.082940000000001</v>
      </c>
      <c r="Z35" s="79">
        <v>27.082940000000001</v>
      </c>
      <c r="AA35" s="80">
        <f t="shared" si="3"/>
        <v>44.686851000000004</v>
      </c>
      <c r="AB35" s="66"/>
      <c r="AC35" s="81">
        <v>365</v>
      </c>
      <c r="AD35" s="82">
        <f t="shared" si="4"/>
        <v>131.7893</v>
      </c>
      <c r="AE35" s="82">
        <f t="shared" si="5"/>
        <v>144.17600000000002</v>
      </c>
      <c r="AF35" s="82">
        <f t="shared" si="6"/>
        <v>173.33</v>
      </c>
      <c r="AG35" s="82">
        <f t="shared" si="6"/>
        <v>428.99</v>
      </c>
      <c r="AH35" s="114"/>
      <c r="AI35" s="114"/>
      <c r="AJ35" s="83">
        <f t="shared" si="7"/>
        <v>878.28530000000001</v>
      </c>
      <c r="AK35" s="82"/>
      <c r="AL35" s="84"/>
      <c r="AM35" s="66"/>
    </row>
    <row r="36" spans="3:39" ht="15.6" x14ac:dyDescent="0.3">
      <c r="C36" s="41" t="s">
        <v>506</v>
      </c>
      <c r="D36" s="41" t="s">
        <v>124</v>
      </c>
      <c r="E36" s="42" t="s">
        <v>88</v>
      </c>
      <c r="G36" s="66"/>
      <c r="H36" s="74">
        <v>1916</v>
      </c>
      <c r="I36" s="74">
        <v>1623</v>
      </c>
      <c r="J36" s="74">
        <v>2136</v>
      </c>
      <c r="K36" s="74">
        <v>2252</v>
      </c>
      <c r="L36" s="74">
        <v>2624</v>
      </c>
      <c r="M36" s="74">
        <v>1025</v>
      </c>
      <c r="N36" s="76" cm="1">
        <f t="array" ref="N36">SUM((H36:L36)/5)</f>
        <v>2110.1999999999998</v>
      </c>
      <c r="O36" s="74">
        <v>2350</v>
      </c>
      <c r="P36" s="66"/>
      <c r="Q36" s="81">
        <v>49.308</v>
      </c>
      <c r="R36" s="81">
        <v>72.016000000000005</v>
      </c>
      <c r="S36" s="81">
        <v>0.441</v>
      </c>
      <c r="T36" s="81">
        <v>0.441</v>
      </c>
      <c r="U36" s="77">
        <f t="shared" si="8"/>
        <v>940</v>
      </c>
      <c r="V36" s="77">
        <f t="shared" si="9"/>
        <v>1410</v>
      </c>
      <c r="W36" s="66"/>
      <c r="X36" s="77">
        <v>15.868</v>
      </c>
      <c r="Y36" s="77">
        <v>27.08286</v>
      </c>
      <c r="Z36" s="79">
        <v>27.08286</v>
      </c>
      <c r="AA36" s="80">
        <f t="shared" si="3"/>
        <v>44.686718999999997</v>
      </c>
      <c r="AB36" s="66"/>
      <c r="AC36" s="81">
        <v>365</v>
      </c>
      <c r="AD36" s="82">
        <f t="shared" si="4"/>
        <v>131.7893</v>
      </c>
      <c r="AE36" s="82">
        <f t="shared" si="5"/>
        <v>144.17600000000002</v>
      </c>
      <c r="AF36" s="82">
        <f t="shared" si="6"/>
        <v>254.58</v>
      </c>
      <c r="AG36" s="82">
        <f t="shared" si="6"/>
        <v>630.08000000000004</v>
      </c>
      <c r="AH36" s="114"/>
      <c r="AI36" s="114"/>
      <c r="AJ36" s="83">
        <f t="shared" si="7"/>
        <v>1160.6253000000002</v>
      </c>
      <c r="AK36" s="82"/>
      <c r="AL36" s="84"/>
      <c r="AM36" s="66"/>
    </row>
    <row r="37" spans="3:39" ht="15.6" x14ac:dyDescent="0.3">
      <c r="C37" s="41" t="s">
        <v>507</v>
      </c>
      <c r="D37" s="41" t="s">
        <v>124</v>
      </c>
      <c r="E37" s="42" t="s">
        <v>88</v>
      </c>
      <c r="G37" s="66"/>
      <c r="H37" s="74">
        <v>322</v>
      </c>
      <c r="I37" s="74">
        <v>435</v>
      </c>
      <c r="J37" s="74">
        <v>335</v>
      </c>
      <c r="K37" s="74">
        <v>156</v>
      </c>
      <c r="L37" s="74">
        <v>217</v>
      </c>
      <c r="M37" s="74">
        <v>54</v>
      </c>
      <c r="N37" s="76" cm="1">
        <f t="array" ref="N37">SUM((H37:L37)/5)</f>
        <v>293</v>
      </c>
      <c r="O37" s="74">
        <v>275</v>
      </c>
      <c r="P37" s="66"/>
      <c r="Q37" s="81">
        <v>49.308</v>
      </c>
      <c r="R37" s="81">
        <v>72.016000000000005</v>
      </c>
      <c r="S37" s="81">
        <v>0.441</v>
      </c>
      <c r="T37" s="81">
        <v>0.441</v>
      </c>
      <c r="U37" s="77">
        <f t="shared" si="8"/>
        <v>110</v>
      </c>
      <c r="V37" s="77">
        <f t="shared" si="9"/>
        <v>165</v>
      </c>
      <c r="W37" s="66"/>
      <c r="X37" s="77">
        <v>15.868</v>
      </c>
      <c r="Y37" s="77">
        <v>27.082380000000001</v>
      </c>
      <c r="Z37" s="79">
        <v>27.082380000000001</v>
      </c>
      <c r="AA37" s="80">
        <f t="shared" si="3"/>
        <v>44.685927000000007</v>
      </c>
      <c r="AB37" s="66"/>
      <c r="AC37" s="81">
        <v>365</v>
      </c>
      <c r="AD37" s="82">
        <f t="shared" si="4"/>
        <v>131.7893</v>
      </c>
      <c r="AE37" s="82">
        <f t="shared" si="5"/>
        <v>144.17600000000002</v>
      </c>
      <c r="AF37" s="82">
        <f t="shared" si="6"/>
        <v>29.79</v>
      </c>
      <c r="AG37" s="82">
        <f t="shared" si="6"/>
        <v>73.73</v>
      </c>
      <c r="AH37" s="114"/>
      <c r="AI37" s="114"/>
      <c r="AJ37" s="83">
        <f t="shared" si="7"/>
        <v>379.48530000000005</v>
      </c>
      <c r="AK37" s="82"/>
      <c r="AL37" s="84"/>
      <c r="AM37" s="66"/>
    </row>
    <row r="38" spans="3:39" ht="15.6" x14ac:dyDescent="0.3">
      <c r="C38" s="41" t="s">
        <v>508</v>
      </c>
      <c r="D38" s="41" t="s">
        <v>124</v>
      </c>
      <c r="E38" s="42" t="s">
        <v>88</v>
      </c>
      <c r="G38" s="66"/>
      <c r="H38" s="74">
        <v>329</v>
      </c>
      <c r="I38" s="74">
        <v>296</v>
      </c>
      <c r="J38" s="74">
        <v>255</v>
      </c>
      <c r="K38" s="74">
        <v>248</v>
      </c>
      <c r="L38" s="74">
        <v>204</v>
      </c>
      <c r="M38" s="74">
        <v>11</v>
      </c>
      <c r="N38" s="76" cm="1">
        <f t="array" ref="N38">SUM((H38:L38)/5)</f>
        <v>266.39999999999998</v>
      </c>
      <c r="O38" s="74">
        <v>250</v>
      </c>
      <c r="P38" s="66"/>
      <c r="Q38" s="81">
        <v>49.308</v>
      </c>
      <c r="R38" s="81">
        <v>72.016000000000005</v>
      </c>
      <c r="S38" s="81">
        <v>0.441</v>
      </c>
      <c r="T38" s="81">
        <v>0.441</v>
      </c>
      <c r="U38" s="77">
        <f t="shared" si="8"/>
        <v>100</v>
      </c>
      <c r="V38" s="77">
        <f t="shared" si="9"/>
        <v>150</v>
      </c>
      <c r="W38" s="66"/>
      <c r="X38" s="77">
        <v>15.868</v>
      </c>
      <c r="Y38" s="77">
        <v>27.083259999999999</v>
      </c>
      <c r="Z38" s="79">
        <v>27.083259999999999</v>
      </c>
      <c r="AA38" s="80">
        <f t="shared" si="3"/>
        <v>44.687379</v>
      </c>
      <c r="AB38" s="66"/>
      <c r="AC38" s="81">
        <v>365</v>
      </c>
      <c r="AD38" s="82">
        <f t="shared" si="4"/>
        <v>131.7893</v>
      </c>
      <c r="AE38" s="82">
        <f t="shared" si="5"/>
        <v>144.17600000000002</v>
      </c>
      <c r="AF38" s="82">
        <f t="shared" si="6"/>
        <v>27.08</v>
      </c>
      <c r="AG38" s="82">
        <f t="shared" si="6"/>
        <v>67.03</v>
      </c>
      <c r="AH38" s="114"/>
      <c r="AI38" s="114"/>
      <c r="AJ38" s="83">
        <f t="shared" si="7"/>
        <v>370.07529999999997</v>
      </c>
      <c r="AK38" s="82"/>
      <c r="AL38" s="84"/>
      <c r="AM38" s="66"/>
    </row>
    <row r="39" spans="3:39" ht="15.6" x14ac:dyDescent="0.3">
      <c r="C39" s="41" t="s">
        <v>508</v>
      </c>
      <c r="D39" s="41" t="s">
        <v>124</v>
      </c>
      <c r="E39" s="42" t="s">
        <v>88</v>
      </c>
      <c r="G39" s="66"/>
      <c r="H39" s="74">
        <v>714</v>
      </c>
      <c r="I39" s="74">
        <v>709</v>
      </c>
      <c r="J39" s="74">
        <v>697</v>
      </c>
      <c r="K39" s="74">
        <v>708</v>
      </c>
      <c r="L39" s="74">
        <v>525</v>
      </c>
      <c r="M39" s="74">
        <v>262</v>
      </c>
      <c r="N39" s="76" cm="1">
        <f t="array" ref="N39">SUM((H39:L39)/5)</f>
        <v>670.6</v>
      </c>
      <c r="O39" s="74">
        <v>650</v>
      </c>
      <c r="P39" s="66"/>
      <c r="Q39" s="81">
        <v>49.300800000000002</v>
      </c>
      <c r="R39" s="81">
        <v>72.016000000000005</v>
      </c>
      <c r="S39" s="81">
        <v>0.441</v>
      </c>
      <c r="T39" s="81">
        <v>0.441</v>
      </c>
      <c r="U39" s="77">
        <f t="shared" si="8"/>
        <v>260</v>
      </c>
      <c r="V39" s="77">
        <f t="shared" si="9"/>
        <v>390</v>
      </c>
      <c r="W39" s="66"/>
      <c r="X39" s="77">
        <v>15.868</v>
      </c>
      <c r="Y39" s="77">
        <v>27.082740000000001</v>
      </c>
      <c r="Z39" s="79">
        <v>27.082740000000001</v>
      </c>
      <c r="AA39" s="80">
        <f t="shared" si="3"/>
        <v>44.686520999999999</v>
      </c>
      <c r="AB39" s="66"/>
      <c r="AC39" s="81">
        <v>365</v>
      </c>
      <c r="AD39" s="82">
        <f t="shared" si="4"/>
        <v>131.7893</v>
      </c>
      <c r="AE39" s="82">
        <f t="shared" si="5"/>
        <v>144.17600000000002</v>
      </c>
      <c r="AF39" s="82">
        <f t="shared" si="6"/>
        <v>70.42</v>
      </c>
      <c r="AG39" s="82">
        <f t="shared" si="6"/>
        <v>174.28</v>
      </c>
      <c r="AH39" s="114"/>
      <c r="AI39" s="114"/>
      <c r="AJ39" s="83">
        <f t="shared" si="7"/>
        <v>520.6653</v>
      </c>
      <c r="AK39" s="82"/>
      <c r="AL39" s="84"/>
      <c r="AM39" s="66"/>
    </row>
    <row r="40" spans="3:39" ht="15.6" x14ac:dyDescent="0.3">
      <c r="C40" s="41" t="s">
        <v>509</v>
      </c>
      <c r="D40" s="41" t="s">
        <v>124</v>
      </c>
      <c r="E40" s="42" t="s">
        <v>88</v>
      </c>
      <c r="G40" s="66"/>
      <c r="H40" s="74">
        <v>128</v>
      </c>
      <c r="I40" s="74">
        <v>118</v>
      </c>
      <c r="J40" s="74">
        <v>66</v>
      </c>
      <c r="K40" s="74">
        <v>80</v>
      </c>
      <c r="L40" s="74">
        <v>75</v>
      </c>
      <c r="M40" s="74">
        <v>42</v>
      </c>
      <c r="N40" s="76" cm="1">
        <f t="array" ref="N40">SUM((H40:L40)/5)</f>
        <v>93.4</v>
      </c>
      <c r="O40" s="74">
        <v>100</v>
      </c>
      <c r="P40" s="66"/>
      <c r="Q40" s="81">
        <v>49.308</v>
      </c>
      <c r="R40" s="81">
        <v>72.016000000000005</v>
      </c>
      <c r="S40" s="81">
        <v>0.441</v>
      </c>
      <c r="T40" s="81">
        <v>0.441</v>
      </c>
      <c r="U40" s="77">
        <f t="shared" si="8"/>
        <v>40</v>
      </c>
      <c r="V40" s="77">
        <f t="shared" si="9"/>
        <v>60</v>
      </c>
      <c r="W40" s="66"/>
      <c r="X40" s="77">
        <v>15.868</v>
      </c>
      <c r="Y40" s="77">
        <v>27.081309999999998</v>
      </c>
      <c r="Z40" s="79">
        <v>27.081309999999998</v>
      </c>
      <c r="AA40" s="80">
        <f t="shared" si="3"/>
        <v>44.684161500000002</v>
      </c>
      <c r="AB40" s="66"/>
      <c r="AC40" s="81">
        <v>365</v>
      </c>
      <c r="AD40" s="82">
        <f t="shared" si="4"/>
        <v>131.7893</v>
      </c>
      <c r="AE40" s="82">
        <f t="shared" si="5"/>
        <v>144.17600000000002</v>
      </c>
      <c r="AF40" s="82">
        <f t="shared" si="6"/>
        <v>10.83</v>
      </c>
      <c r="AG40" s="82">
        <f t="shared" si="6"/>
        <v>26.81</v>
      </c>
      <c r="AH40" s="114"/>
      <c r="AI40" s="114"/>
      <c r="AJ40" s="83">
        <f t="shared" si="7"/>
        <v>313.6053</v>
      </c>
      <c r="AK40" s="82"/>
      <c r="AL40" s="84"/>
      <c r="AM40" s="66"/>
    </row>
    <row r="41" spans="3:39" ht="15.6" x14ac:dyDescent="0.3">
      <c r="C41" s="41" t="s">
        <v>509</v>
      </c>
      <c r="D41" s="41" t="s">
        <v>124</v>
      </c>
      <c r="E41" s="42" t="s">
        <v>88</v>
      </c>
      <c r="G41" s="66"/>
      <c r="H41" s="74">
        <v>296</v>
      </c>
      <c r="I41" s="74">
        <v>325</v>
      </c>
      <c r="J41" s="74">
        <v>323</v>
      </c>
      <c r="K41" s="74">
        <v>326</v>
      </c>
      <c r="L41" s="74">
        <v>279</v>
      </c>
      <c r="M41" s="74">
        <v>123</v>
      </c>
      <c r="N41" s="76" cm="1">
        <f t="array" ref="N41">SUM((H41:L41)/5)</f>
        <v>309.8</v>
      </c>
      <c r="O41" s="74">
        <v>310</v>
      </c>
      <c r="P41" s="66"/>
      <c r="Q41" s="81">
        <v>49.308</v>
      </c>
      <c r="R41" s="81">
        <v>72.016000000000005</v>
      </c>
      <c r="S41" s="81">
        <v>0.441</v>
      </c>
      <c r="T41" s="81">
        <v>0.441</v>
      </c>
      <c r="U41" s="77">
        <f t="shared" si="8"/>
        <v>124</v>
      </c>
      <c r="V41" s="77">
        <f t="shared" si="9"/>
        <v>186</v>
      </c>
      <c r="W41" s="66"/>
      <c r="X41" s="77">
        <v>15.868</v>
      </c>
      <c r="Y41" s="77">
        <v>27.08257</v>
      </c>
      <c r="Z41" s="79">
        <v>27.08257</v>
      </c>
      <c r="AA41" s="80">
        <f t="shared" si="3"/>
        <v>44.686240499999997</v>
      </c>
      <c r="AB41" s="66"/>
      <c r="AC41" s="81">
        <v>365</v>
      </c>
      <c r="AD41" s="82">
        <f t="shared" si="4"/>
        <v>131.7893</v>
      </c>
      <c r="AE41" s="82">
        <f t="shared" si="5"/>
        <v>144.17600000000002</v>
      </c>
      <c r="AF41" s="82">
        <f t="shared" si="6"/>
        <v>33.58</v>
      </c>
      <c r="AG41" s="82">
        <f t="shared" si="6"/>
        <v>83.12</v>
      </c>
      <c r="AH41" s="114"/>
      <c r="AI41" s="114"/>
      <c r="AJ41" s="83">
        <f t="shared" si="7"/>
        <v>392.6653</v>
      </c>
      <c r="AK41" s="82"/>
      <c r="AL41" s="84"/>
      <c r="AM41" s="66"/>
    </row>
    <row r="42" spans="3:39" ht="15.6" x14ac:dyDescent="0.3">
      <c r="C42" s="41" t="s">
        <v>509</v>
      </c>
      <c r="D42" s="41" t="s">
        <v>124</v>
      </c>
      <c r="E42" s="42" t="s">
        <v>88</v>
      </c>
      <c r="G42" s="66"/>
      <c r="H42" s="74">
        <v>337</v>
      </c>
      <c r="I42" s="74">
        <v>338</v>
      </c>
      <c r="J42" s="74">
        <v>239</v>
      </c>
      <c r="K42" s="74">
        <v>292</v>
      </c>
      <c r="L42" s="74">
        <v>349</v>
      </c>
      <c r="M42" s="74">
        <v>169</v>
      </c>
      <c r="N42" s="76" cm="1">
        <f t="array" ref="N42">SUM((H42:L42)/5)</f>
        <v>311</v>
      </c>
      <c r="O42" s="74">
        <v>310</v>
      </c>
      <c r="P42" s="66"/>
      <c r="Q42" s="81">
        <v>49.308</v>
      </c>
      <c r="R42" s="81">
        <v>72.016000000000005</v>
      </c>
      <c r="S42" s="81">
        <v>0.441</v>
      </c>
      <c r="T42" s="81">
        <v>0.441</v>
      </c>
      <c r="U42" s="77">
        <f t="shared" si="8"/>
        <v>124</v>
      </c>
      <c r="V42" s="77">
        <f t="shared" si="9"/>
        <v>186</v>
      </c>
      <c r="W42" s="66"/>
      <c r="X42" s="77">
        <v>15.868</v>
      </c>
      <c r="Y42" s="77">
        <v>27.08334</v>
      </c>
      <c r="Z42" s="79">
        <v>27.08334</v>
      </c>
      <c r="AA42" s="80">
        <f t="shared" si="3"/>
        <v>44.687511000000001</v>
      </c>
      <c r="AB42" s="66"/>
      <c r="AC42" s="81">
        <v>365</v>
      </c>
      <c r="AD42" s="82">
        <f t="shared" si="4"/>
        <v>131.7893</v>
      </c>
      <c r="AE42" s="82">
        <f t="shared" si="5"/>
        <v>144.17600000000002</v>
      </c>
      <c r="AF42" s="82">
        <f t="shared" si="6"/>
        <v>33.58</v>
      </c>
      <c r="AG42" s="82">
        <f t="shared" si="6"/>
        <v>83.12</v>
      </c>
      <c r="AH42" s="114"/>
      <c r="AI42" s="114"/>
      <c r="AJ42" s="83">
        <f t="shared" si="7"/>
        <v>392.6653</v>
      </c>
      <c r="AK42" s="82"/>
      <c r="AL42" s="84"/>
      <c r="AM42" s="66"/>
    </row>
    <row r="43" spans="3:39" ht="15.6" x14ac:dyDescent="0.3">
      <c r="C43" s="41" t="s">
        <v>510</v>
      </c>
      <c r="D43" s="41" t="s">
        <v>124</v>
      </c>
      <c r="E43" s="42" t="s">
        <v>88</v>
      </c>
      <c r="G43" s="66"/>
      <c r="H43" s="74">
        <v>2004</v>
      </c>
      <c r="I43" s="74">
        <v>2381</v>
      </c>
      <c r="J43" s="74">
        <v>1933</v>
      </c>
      <c r="K43" s="74">
        <v>1862</v>
      </c>
      <c r="L43" s="74">
        <v>2357</v>
      </c>
      <c r="M43" s="74">
        <v>821</v>
      </c>
      <c r="N43" s="76" cm="1">
        <f t="array" ref="N43">SUM((H43:L43)/5)</f>
        <v>2107.4</v>
      </c>
      <c r="O43" s="74">
        <v>2110</v>
      </c>
      <c r="P43" s="66"/>
      <c r="Q43" s="81">
        <v>49.308</v>
      </c>
      <c r="R43" s="81">
        <v>72.016000000000005</v>
      </c>
      <c r="S43" s="81">
        <v>0.441</v>
      </c>
      <c r="T43" s="81">
        <v>0.441</v>
      </c>
      <c r="U43" s="77">
        <f t="shared" si="8"/>
        <v>844</v>
      </c>
      <c r="V43" s="77">
        <f t="shared" si="9"/>
        <v>1266</v>
      </c>
      <c r="W43" s="66"/>
      <c r="X43" s="77">
        <v>15.868</v>
      </c>
      <c r="Y43" s="77">
        <v>27.08268</v>
      </c>
      <c r="Z43" s="79">
        <v>27.08268</v>
      </c>
      <c r="AA43" s="80">
        <f t="shared" si="3"/>
        <v>44.686422</v>
      </c>
      <c r="AB43" s="66"/>
      <c r="AC43" s="81">
        <v>365</v>
      </c>
      <c r="AD43" s="82">
        <f t="shared" si="4"/>
        <v>131.7893</v>
      </c>
      <c r="AE43" s="82">
        <f t="shared" si="5"/>
        <v>144.17600000000002</v>
      </c>
      <c r="AF43" s="82">
        <f t="shared" si="6"/>
        <v>228.58</v>
      </c>
      <c r="AG43" s="82">
        <f t="shared" si="6"/>
        <v>565.73</v>
      </c>
      <c r="AH43" s="114"/>
      <c r="AI43" s="114"/>
      <c r="AJ43" s="83">
        <f t="shared" si="7"/>
        <v>1070.2753</v>
      </c>
      <c r="AK43" s="82"/>
      <c r="AL43" s="84"/>
      <c r="AM43" s="66"/>
    </row>
    <row r="44" spans="3:39" ht="15.6" x14ac:dyDescent="0.3">
      <c r="C44" s="41" t="s">
        <v>511</v>
      </c>
      <c r="D44" s="41" t="s">
        <v>124</v>
      </c>
      <c r="E44" s="42" t="s">
        <v>88</v>
      </c>
      <c r="G44" s="66"/>
      <c r="H44" s="74">
        <v>169</v>
      </c>
      <c r="I44" s="74">
        <v>172</v>
      </c>
      <c r="J44" s="74">
        <v>174</v>
      </c>
      <c r="K44" s="74">
        <v>171</v>
      </c>
      <c r="L44" s="74">
        <v>132</v>
      </c>
      <c r="M44" s="74">
        <v>92</v>
      </c>
      <c r="N44" s="76" cm="1">
        <f t="array" ref="N44">SUM((H44:L44)/5)</f>
        <v>163.6</v>
      </c>
      <c r="O44" s="74">
        <v>165</v>
      </c>
      <c r="P44" s="66"/>
      <c r="Q44" s="81">
        <v>49.828000000000003</v>
      </c>
      <c r="R44" s="81">
        <v>63.256999999999998</v>
      </c>
      <c r="S44" s="81">
        <v>0.441</v>
      </c>
      <c r="T44" s="81">
        <v>0.441</v>
      </c>
      <c r="U44" s="77">
        <f t="shared" si="8"/>
        <v>66</v>
      </c>
      <c r="V44" s="77">
        <f t="shared" si="9"/>
        <v>99</v>
      </c>
      <c r="W44" s="66"/>
      <c r="X44" s="77">
        <v>15.061999999999999</v>
      </c>
      <c r="Y44" s="77">
        <v>26.50544</v>
      </c>
      <c r="Z44" s="79">
        <v>26.50544</v>
      </c>
      <c r="AA44" s="80">
        <f t="shared" si="3"/>
        <v>43.733975999999998</v>
      </c>
      <c r="AB44" s="66"/>
      <c r="AC44" s="81">
        <v>365</v>
      </c>
      <c r="AD44" s="82">
        <f t="shared" si="4"/>
        <v>115.7603</v>
      </c>
      <c r="AE44" s="82">
        <f t="shared" si="5"/>
        <v>126.64049999999999</v>
      </c>
      <c r="AF44" s="82">
        <f t="shared" si="6"/>
        <v>17.489999999999998</v>
      </c>
      <c r="AG44" s="82">
        <f t="shared" si="6"/>
        <v>43.3</v>
      </c>
      <c r="AH44" s="114"/>
      <c r="AI44" s="114"/>
      <c r="AJ44" s="83">
        <f t="shared" si="7"/>
        <v>303.19080000000002</v>
      </c>
      <c r="AK44" s="82"/>
      <c r="AL44" s="84"/>
      <c r="AM44" s="66"/>
    </row>
    <row r="45" spans="3:39" ht="15.6" x14ac:dyDescent="0.3">
      <c r="C45" s="41" t="s">
        <v>511</v>
      </c>
      <c r="D45" s="41" t="s">
        <v>124</v>
      </c>
      <c r="E45" s="42" t="s">
        <v>88</v>
      </c>
      <c r="G45" s="66"/>
      <c r="H45" s="74">
        <v>164</v>
      </c>
      <c r="I45" s="74">
        <v>167</v>
      </c>
      <c r="J45" s="74">
        <v>186</v>
      </c>
      <c r="K45" s="74">
        <v>174</v>
      </c>
      <c r="L45" s="74">
        <v>123</v>
      </c>
      <c r="M45" s="74">
        <v>89</v>
      </c>
      <c r="N45" s="76" cm="1">
        <f t="array" ref="N45">SUM((H45:L45)/5)</f>
        <v>162.79999999999998</v>
      </c>
      <c r="O45" s="74">
        <v>165</v>
      </c>
      <c r="P45" s="66"/>
      <c r="Q45" s="81">
        <v>49.828000000000003</v>
      </c>
      <c r="R45" s="81">
        <v>63.256999999999998</v>
      </c>
      <c r="S45" s="81">
        <v>0.441</v>
      </c>
      <c r="T45" s="81">
        <v>0.441</v>
      </c>
      <c r="U45" s="77">
        <f t="shared" si="8"/>
        <v>66</v>
      </c>
      <c r="V45" s="77">
        <f t="shared" si="9"/>
        <v>99</v>
      </c>
      <c r="W45" s="66"/>
      <c r="X45" s="77">
        <v>15.061999999999999</v>
      </c>
      <c r="Y45" s="77">
        <v>26.505800000000001</v>
      </c>
      <c r="Z45" s="79">
        <v>26.505800000000001</v>
      </c>
      <c r="AA45" s="80">
        <f t="shared" si="3"/>
        <v>43.734570000000005</v>
      </c>
      <c r="AB45" s="66"/>
      <c r="AC45" s="81">
        <v>365</v>
      </c>
      <c r="AD45" s="82">
        <f t="shared" si="4"/>
        <v>115.7603</v>
      </c>
      <c r="AE45" s="82">
        <f t="shared" si="5"/>
        <v>126.64049999999999</v>
      </c>
      <c r="AF45" s="82">
        <f t="shared" si="6"/>
        <v>17.489999999999998</v>
      </c>
      <c r="AG45" s="82">
        <f t="shared" si="6"/>
        <v>43.3</v>
      </c>
      <c r="AH45" s="114"/>
      <c r="AI45" s="114"/>
      <c r="AJ45" s="83">
        <f t="shared" si="7"/>
        <v>303.19080000000002</v>
      </c>
      <c r="AK45" s="82"/>
      <c r="AL45" s="84"/>
      <c r="AM45" s="66"/>
    </row>
    <row r="46" spans="3:39" ht="15.6" x14ac:dyDescent="0.3">
      <c r="C46" s="41" t="s">
        <v>512</v>
      </c>
      <c r="D46" s="41" t="s">
        <v>124</v>
      </c>
      <c r="E46" s="42" t="s">
        <v>88</v>
      </c>
      <c r="G46" s="66"/>
      <c r="H46" s="74">
        <v>1827</v>
      </c>
      <c r="I46" s="74">
        <v>1414</v>
      </c>
      <c r="J46" s="74">
        <v>1262</v>
      </c>
      <c r="K46" s="74">
        <v>1589</v>
      </c>
      <c r="L46" s="74">
        <v>1480</v>
      </c>
      <c r="M46" s="74">
        <v>582</v>
      </c>
      <c r="N46" s="76" cm="1">
        <f t="array" ref="N46">SUM((H46:L46)/5)</f>
        <v>1514.4</v>
      </c>
      <c r="O46" s="74">
        <v>1520</v>
      </c>
      <c r="P46" s="66"/>
      <c r="Q46" s="81">
        <v>49.308</v>
      </c>
      <c r="R46" s="81">
        <v>72.016000000000005</v>
      </c>
      <c r="S46" s="81">
        <v>0.441</v>
      </c>
      <c r="T46" s="81">
        <v>0.441</v>
      </c>
      <c r="U46" s="77">
        <f t="shared" si="8"/>
        <v>608</v>
      </c>
      <c r="V46" s="77">
        <f t="shared" si="9"/>
        <v>912</v>
      </c>
      <c r="W46" s="66"/>
      <c r="X46" s="77">
        <v>15.868</v>
      </c>
      <c r="Y46" s="77">
        <v>27.08296</v>
      </c>
      <c r="Z46" s="79">
        <v>27.08296</v>
      </c>
      <c r="AA46" s="80">
        <f t="shared" si="3"/>
        <v>44.686883999999999</v>
      </c>
      <c r="AB46" s="66"/>
      <c r="AC46" s="81">
        <v>365</v>
      </c>
      <c r="AD46" s="82">
        <f t="shared" si="4"/>
        <v>131.7893</v>
      </c>
      <c r="AE46" s="82">
        <f t="shared" si="5"/>
        <v>144.17600000000002</v>
      </c>
      <c r="AF46" s="82">
        <f t="shared" si="6"/>
        <v>164.66</v>
      </c>
      <c r="AG46" s="82">
        <f t="shared" si="6"/>
        <v>407.54</v>
      </c>
      <c r="AH46" s="114"/>
      <c r="AI46" s="114"/>
      <c r="AJ46" s="83">
        <f t="shared" si="7"/>
        <v>848.16530000000012</v>
      </c>
      <c r="AK46" s="82"/>
      <c r="AL46" s="84"/>
      <c r="AM46" s="66"/>
    </row>
    <row r="47" spans="3:39" ht="15.6" x14ac:dyDescent="0.3">
      <c r="C47" s="41" t="s">
        <v>512</v>
      </c>
      <c r="D47" s="41" t="s">
        <v>124</v>
      </c>
      <c r="E47" s="42" t="s">
        <v>88</v>
      </c>
      <c r="G47" s="66"/>
      <c r="H47" s="74">
        <v>1259</v>
      </c>
      <c r="I47" s="74">
        <v>1474</v>
      </c>
      <c r="J47" s="74">
        <v>1368</v>
      </c>
      <c r="K47" s="74">
        <v>1883</v>
      </c>
      <c r="L47" s="74">
        <v>2815</v>
      </c>
      <c r="M47" s="74">
        <v>1238</v>
      </c>
      <c r="N47" s="76" cm="1">
        <f t="array" ref="N47">SUM((H47:L47)/5)</f>
        <v>1759.8000000000002</v>
      </c>
      <c r="O47" s="74">
        <v>2250</v>
      </c>
      <c r="P47" s="66"/>
      <c r="Q47" s="81">
        <v>49.308</v>
      </c>
      <c r="R47" s="81">
        <v>72.016000000000005</v>
      </c>
      <c r="S47" s="81">
        <v>0.441</v>
      </c>
      <c r="T47" s="81">
        <v>0.441</v>
      </c>
      <c r="U47" s="77">
        <f t="shared" si="8"/>
        <v>900</v>
      </c>
      <c r="V47" s="77">
        <f t="shared" si="9"/>
        <v>1350</v>
      </c>
      <c r="W47" s="66"/>
      <c r="X47" s="77">
        <v>15.868</v>
      </c>
      <c r="Y47" s="77">
        <v>27.082730000000002</v>
      </c>
      <c r="Z47" s="79">
        <v>27.082730000000002</v>
      </c>
      <c r="AA47" s="80">
        <f t="shared" si="3"/>
        <v>44.686504499999998</v>
      </c>
      <c r="AB47" s="66"/>
      <c r="AC47" s="81">
        <v>365</v>
      </c>
      <c r="AD47" s="82">
        <f t="shared" si="4"/>
        <v>131.7893</v>
      </c>
      <c r="AE47" s="82">
        <f t="shared" si="5"/>
        <v>144.17600000000002</v>
      </c>
      <c r="AF47" s="82">
        <f t="shared" si="6"/>
        <v>243.74</v>
      </c>
      <c r="AG47" s="82">
        <f t="shared" si="6"/>
        <v>603.27</v>
      </c>
      <c r="AH47" s="114"/>
      <c r="AI47" s="114"/>
      <c r="AJ47" s="83">
        <f t="shared" si="7"/>
        <v>1122.9753000000001</v>
      </c>
      <c r="AK47" s="82"/>
      <c r="AL47" s="84"/>
      <c r="AM47" s="66"/>
    </row>
    <row r="48" spans="3:39" ht="15.6" x14ac:dyDescent="0.3">
      <c r="C48" s="41" t="s">
        <v>512</v>
      </c>
      <c r="D48" s="41" t="s">
        <v>124</v>
      </c>
      <c r="E48" s="42" t="s">
        <v>88</v>
      </c>
      <c r="G48" s="66"/>
      <c r="H48" s="74">
        <v>2918</v>
      </c>
      <c r="I48" s="74">
        <v>2755</v>
      </c>
      <c r="J48" s="74">
        <v>2431</v>
      </c>
      <c r="K48" s="74">
        <v>2586</v>
      </c>
      <c r="L48" s="74">
        <v>2843</v>
      </c>
      <c r="M48" s="74">
        <v>1222</v>
      </c>
      <c r="N48" s="76" cm="1">
        <f t="array" ref="N48">SUM((H48:L48)/5)</f>
        <v>2706.6</v>
      </c>
      <c r="O48" s="74">
        <v>2700</v>
      </c>
      <c r="P48" s="66"/>
      <c r="Q48" s="81">
        <v>49.308</v>
      </c>
      <c r="R48" s="81">
        <v>72.016000000000005</v>
      </c>
      <c r="S48" s="81">
        <v>0.441</v>
      </c>
      <c r="T48" s="81">
        <v>0.441</v>
      </c>
      <c r="U48" s="77">
        <f t="shared" si="8"/>
        <v>1080</v>
      </c>
      <c r="V48" s="77">
        <f t="shared" si="9"/>
        <v>1620</v>
      </c>
      <c r="W48" s="66"/>
      <c r="X48" s="77">
        <v>15.868</v>
      </c>
      <c r="Y48" s="77">
        <v>27.082719999999998</v>
      </c>
      <c r="Z48" s="79">
        <v>27.082719999999998</v>
      </c>
      <c r="AA48" s="80">
        <f t="shared" si="3"/>
        <v>44.686487999999997</v>
      </c>
      <c r="AB48" s="66"/>
      <c r="AC48" s="81">
        <v>365</v>
      </c>
      <c r="AD48" s="82">
        <f t="shared" si="4"/>
        <v>131.7893</v>
      </c>
      <c r="AE48" s="82">
        <f t="shared" si="5"/>
        <v>144.17600000000002</v>
      </c>
      <c r="AF48" s="82">
        <f t="shared" si="6"/>
        <v>292.49</v>
      </c>
      <c r="AG48" s="82">
        <f t="shared" si="6"/>
        <v>723.92</v>
      </c>
      <c r="AH48" s="114"/>
      <c r="AI48" s="114"/>
      <c r="AJ48" s="83">
        <f t="shared" si="7"/>
        <v>1292.3753000000002</v>
      </c>
      <c r="AK48" s="82"/>
      <c r="AL48" s="84"/>
      <c r="AM48" s="66"/>
    </row>
    <row r="49" spans="3:39" ht="15.6" x14ac:dyDescent="0.3">
      <c r="C49" s="41" t="s">
        <v>512</v>
      </c>
      <c r="D49" s="41" t="s">
        <v>124</v>
      </c>
      <c r="E49" s="42" t="s">
        <v>88</v>
      </c>
      <c r="G49" s="66"/>
      <c r="H49" s="74">
        <v>2957</v>
      </c>
      <c r="I49" s="74">
        <v>3065</v>
      </c>
      <c r="J49" s="74">
        <v>3077</v>
      </c>
      <c r="K49" s="74">
        <v>2945</v>
      </c>
      <c r="L49" s="74">
        <v>2575</v>
      </c>
      <c r="M49" s="74">
        <v>11</v>
      </c>
      <c r="N49" s="76" cm="1">
        <f t="array" ref="N49">SUM((H49:L49)/5)</f>
        <v>2923.8</v>
      </c>
      <c r="O49" s="74">
        <v>2910</v>
      </c>
      <c r="P49" s="66"/>
      <c r="Q49" s="81">
        <v>49.308</v>
      </c>
      <c r="R49" s="81">
        <v>72.016000000000005</v>
      </c>
      <c r="S49" s="81">
        <v>0.441</v>
      </c>
      <c r="T49" s="81">
        <v>0.441</v>
      </c>
      <c r="U49" s="77">
        <f t="shared" si="8"/>
        <v>1164</v>
      </c>
      <c r="V49" s="77">
        <f t="shared" si="9"/>
        <v>1746</v>
      </c>
      <c r="W49" s="66"/>
      <c r="X49" s="77">
        <v>15.868</v>
      </c>
      <c r="Y49" s="77">
        <v>27.082719999999998</v>
      </c>
      <c r="Z49" s="79">
        <v>27.082719999999998</v>
      </c>
      <c r="AA49" s="80">
        <f t="shared" si="3"/>
        <v>44.686487999999997</v>
      </c>
      <c r="AB49" s="66"/>
      <c r="AC49" s="81">
        <v>365</v>
      </c>
      <c r="AD49" s="82">
        <f t="shared" si="4"/>
        <v>131.7893</v>
      </c>
      <c r="AE49" s="82">
        <f t="shared" si="5"/>
        <v>144.17600000000002</v>
      </c>
      <c r="AF49" s="82">
        <f t="shared" si="6"/>
        <v>315.24</v>
      </c>
      <c r="AG49" s="82">
        <f t="shared" si="6"/>
        <v>780.23</v>
      </c>
      <c r="AH49" s="114"/>
      <c r="AI49" s="114"/>
      <c r="AJ49" s="83">
        <f t="shared" si="7"/>
        <v>1371.4353000000001</v>
      </c>
      <c r="AK49" s="82"/>
      <c r="AL49" s="84"/>
      <c r="AM49" s="66"/>
    </row>
    <row r="50" spans="3:39" ht="75" x14ac:dyDescent="0.3">
      <c r="C50" s="41" t="s">
        <v>512</v>
      </c>
      <c r="D50" s="41" t="s">
        <v>124</v>
      </c>
      <c r="E50" s="42" t="s">
        <v>88</v>
      </c>
      <c r="G50" s="66"/>
      <c r="H50" s="74">
        <v>1622</v>
      </c>
      <c r="I50" s="74">
        <v>1691</v>
      </c>
      <c r="J50" s="74">
        <v>1968</v>
      </c>
      <c r="K50" s="74">
        <v>2212</v>
      </c>
      <c r="L50" s="74">
        <v>1821</v>
      </c>
      <c r="M50" s="74">
        <v>908</v>
      </c>
      <c r="N50" s="76" cm="1">
        <f t="array" ref="N50">SUM((H50:L50)/5)</f>
        <v>1862.8</v>
      </c>
      <c r="O50" s="74">
        <v>1870</v>
      </c>
      <c r="P50" s="66"/>
      <c r="Q50" s="81">
        <v>50.334000000000003</v>
      </c>
      <c r="R50" s="81">
        <v>63.256999999999998</v>
      </c>
      <c r="S50" s="81">
        <v>0.441</v>
      </c>
      <c r="T50" s="81">
        <v>0.441</v>
      </c>
      <c r="U50" s="77">
        <f t="shared" si="8"/>
        <v>748</v>
      </c>
      <c r="V50" s="77">
        <f t="shared" si="9"/>
        <v>1122</v>
      </c>
      <c r="W50" s="66"/>
      <c r="X50" s="77" t="s">
        <v>156</v>
      </c>
      <c r="Y50" s="77" t="s">
        <v>157</v>
      </c>
      <c r="Z50" s="79">
        <f>SUM(27.42068+24.996+25.3102)/3</f>
        <v>25.908959999999997</v>
      </c>
      <c r="AA50" s="80">
        <f t="shared" si="3"/>
        <v>42.749783999999991</v>
      </c>
      <c r="AB50" s="66"/>
      <c r="AC50" s="81">
        <v>365</v>
      </c>
      <c r="AD50" s="82">
        <f t="shared" si="4"/>
        <v>115.7603</v>
      </c>
      <c r="AE50" s="82">
        <f t="shared" si="5"/>
        <v>126.64049999999999</v>
      </c>
      <c r="AF50" s="82">
        <f t="shared" si="6"/>
        <v>193.8</v>
      </c>
      <c r="AG50" s="82">
        <f t="shared" si="6"/>
        <v>479.65</v>
      </c>
      <c r="AH50" s="114"/>
      <c r="AI50" s="114"/>
      <c r="AJ50" s="83">
        <f t="shared" si="7"/>
        <v>915.85079999999994</v>
      </c>
      <c r="AK50" s="82"/>
      <c r="AL50" s="84"/>
      <c r="AM50" s="66"/>
    </row>
    <row r="51" spans="3:39" ht="15.6" x14ac:dyDescent="0.3">
      <c r="C51" s="41" t="s">
        <v>513</v>
      </c>
      <c r="D51" s="41" t="s">
        <v>124</v>
      </c>
      <c r="E51" s="42" t="s">
        <v>88</v>
      </c>
      <c r="G51" s="66"/>
      <c r="H51" s="74">
        <v>1327</v>
      </c>
      <c r="I51" s="74">
        <v>1556</v>
      </c>
      <c r="J51" s="74">
        <v>1651</v>
      </c>
      <c r="K51" s="74">
        <v>1805</v>
      </c>
      <c r="L51" s="74">
        <v>1745</v>
      </c>
      <c r="M51" s="74">
        <v>89</v>
      </c>
      <c r="N51" s="76" cm="1">
        <f t="array" ref="N51">SUM((H51:L51)/5)</f>
        <v>1616.8</v>
      </c>
      <c r="O51" s="74">
        <v>1620</v>
      </c>
      <c r="P51" s="66"/>
      <c r="Q51" s="81">
        <v>49.308</v>
      </c>
      <c r="R51" s="81">
        <v>72.016000000000005</v>
      </c>
      <c r="S51" s="81">
        <v>0.441</v>
      </c>
      <c r="T51" s="81">
        <v>0.441</v>
      </c>
      <c r="U51" s="77">
        <f t="shared" si="8"/>
        <v>648</v>
      </c>
      <c r="V51" s="77">
        <f t="shared" si="9"/>
        <v>972</v>
      </c>
      <c r="W51" s="66"/>
      <c r="X51" s="77">
        <v>15.868</v>
      </c>
      <c r="Y51" s="77">
        <v>27.082889999999999</v>
      </c>
      <c r="Z51" s="79">
        <v>27.082889999999999</v>
      </c>
      <c r="AA51" s="80">
        <f t="shared" si="3"/>
        <v>44.686768499999999</v>
      </c>
      <c r="AB51" s="66"/>
      <c r="AC51" s="81">
        <v>365</v>
      </c>
      <c r="AD51" s="82">
        <f t="shared" si="4"/>
        <v>131.7893</v>
      </c>
      <c r="AE51" s="82">
        <f t="shared" si="5"/>
        <v>144.17600000000002</v>
      </c>
      <c r="AF51" s="82">
        <f t="shared" si="6"/>
        <v>175.5</v>
      </c>
      <c r="AG51" s="82">
        <f t="shared" si="6"/>
        <v>434.36</v>
      </c>
      <c r="AH51" s="114"/>
      <c r="AI51" s="114"/>
      <c r="AJ51" s="83">
        <f t="shared" si="7"/>
        <v>885.82529999999997</v>
      </c>
      <c r="AK51" s="82"/>
      <c r="AL51" s="84"/>
      <c r="AM51" s="66"/>
    </row>
    <row r="52" spans="3:39" ht="60" x14ac:dyDescent="0.3">
      <c r="C52" s="41" t="s">
        <v>158</v>
      </c>
      <c r="D52" s="41" t="s">
        <v>124</v>
      </c>
      <c r="E52" s="42" t="s">
        <v>88</v>
      </c>
      <c r="G52" s="66"/>
      <c r="H52" s="74">
        <v>1497</v>
      </c>
      <c r="I52" s="74">
        <v>1367</v>
      </c>
      <c r="J52" s="74">
        <v>807</v>
      </c>
      <c r="K52" s="74">
        <v>452</v>
      </c>
      <c r="L52" s="74">
        <v>463</v>
      </c>
      <c r="M52" s="74">
        <v>306</v>
      </c>
      <c r="N52" s="76" cm="1">
        <f t="array" ref="N52">SUM((H52:L52)/5)</f>
        <v>917.19999999999993</v>
      </c>
      <c r="O52" s="74">
        <v>920</v>
      </c>
      <c r="P52" s="66"/>
      <c r="Q52" s="81">
        <v>50.334000000000003</v>
      </c>
      <c r="R52" s="81">
        <v>63.256999999999998</v>
      </c>
      <c r="S52" s="81">
        <v>0.441</v>
      </c>
      <c r="T52" s="81">
        <v>0.441</v>
      </c>
      <c r="U52" s="77">
        <f t="shared" si="8"/>
        <v>368</v>
      </c>
      <c r="V52" s="77">
        <f t="shared" si="9"/>
        <v>552</v>
      </c>
      <c r="W52" s="66"/>
      <c r="X52" s="77" t="s">
        <v>137</v>
      </c>
      <c r="Y52" s="77" t="s">
        <v>159</v>
      </c>
      <c r="Z52" s="79">
        <f>SUM(26.64323+25.16313)/2</f>
        <v>25.903179999999999</v>
      </c>
      <c r="AA52" s="80">
        <f t="shared" si="3"/>
        <v>42.740246999999997</v>
      </c>
      <c r="AB52" s="66"/>
      <c r="AC52" s="81">
        <v>365</v>
      </c>
      <c r="AD52" s="82">
        <f t="shared" si="4"/>
        <v>115.7603</v>
      </c>
      <c r="AE52" s="82">
        <f t="shared" si="5"/>
        <v>126.64049999999999</v>
      </c>
      <c r="AF52" s="82">
        <f t="shared" si="6"/>
        <v>95.32</v>
      </c>
      <c r="AG52" s="82">
        <f t="shared" si="6"/>
        <v>235.93</v>
      </c>
      <c r="AH52" s="114"/>
      <c r="AI52" s="114"/>
      <c r="AJ52" s="83">
        <f t="shared" si="7"/>
        <v>573.6508</v>
      </c>
      <c r="AK52" s="82"/>
      <c r="AL52" s="84"/>
      <c r="AM52" s="66"/>
    </row>
    <row r="53" spans="3:39" ht="45" x14ac:dyDescent="0.3">
      <c r="C53" s="41" t="s">
        <v>158</v>
      </c>
      <c r="D53" s="41" t="s">
        <v>124</v>
      </c>
      <c r="E53" s="42" t="s">
        <v>88</v>
      </c>
      <c r="G53" s="66"/>
      <c r="H53" s="74">
        <v>280</v>
      </c>
      <c r="I53" s="74">
        <v>284</v>
      </c>
      <c r="J53" s="74">
        <v>255</v>
      </c>
      <c r="K53" s="74">
        <v>129</v>
      </c>
      <c r="L53" s="74">
        <v>147</v>
      </c>
      <c r="M53" s="74">
        <v>25</v>
      </c>
      <c r="N53" s="76" cm="1">
        <f t="array" ref="N53">SUM((H53:L53)/5)</f>
        <v>219.00000000000003</v>
      </c>
      <c r="O53" s="74">
        <v>220</v>
      </c>
      <c r="P53" s="66"/>
      <c r="Q53" s="81">
        <v>50.334000000000003</v>
      </c>
      <c r="R53" s="81">
        <v>63.256999999999998</v>
      </c>
      <c r="S53" s="81">
        <v>0.441</v>
      </c>
      <c r="T53" s="81">
        <v>0.441</v>
      </c>
      <c r="U53" s="77">
        <f t="shared" si="8"/>
        <v>88</v>
      </c>
      <c r="V53" s="77">
        <f t="shared" si="9"/>
        <v>132</v>
      </c>
      <c r="W53" s="66"/>
      <c r="X53" s="77" t="s">
        <v>139</v>
      </c>
      <c r="Y53" s="77" t="s">
        <v>160</v>
      </c>
      <c r="Z53" s="79">
        <f>SUM(26.63+25.14077)/2</f>
        <v>25.885384999999999</v>
      </c>
      <c r="AA53" s="80">
        <f t="shared" si="3"/>
        <v>42.710885250000004</v>
      </c>
      <c r="AB53" s="66"/>
      <c r="AC53" s="81">
        <v>365</v>
      </c>
      <c r="AD53" s="82">
        <f t="shared" si="4"/>
        <v>115.7603</v>
      </c>
      <c r="AE53" s="82">
        <f t="shared" si="5"/>
        <v>126.64049999999999</v>
      </c>
      <c r="AF53" s="82">
        <f t="shared" si="6"/>
        <v>22.78</v>
      </c>
      <c r="AG53" s="82">
        <f t="shared" si="6"/>
        <v>56.38</v>
      </c>
      <c r="AH53" s="114"/>
      <c r="AI53" s="114"/>
      <c r="AJ53" s="83">
        <f t="shared" si="7"/>
        <v>321.56079999999997</v>
      </c>
      <c r="AK53" s="82"/>
      <c r="AL53" s="84"/>
      <c r="AM53" s="66"/>
    </row>
    <row r="54" spans="3:39" ht="60" x14ac:dyDescent="0.3">
      <c r="C54" s="41" t="s">
        <v>514</v>
      </c>
      <c r="D54" s="41" t="s">
        <v>124</v>
      </c>
      <c r="E54" s="42" t="s">
        <v>88</v>
      </c>
      <c r="G54" s="66"/>
      <c r="H54" s="74">
        <v>1171</v>
      </c>
      <c r="I54" s="74">
        <v>1139</v>
      </c>
      <c r="J54" s="74">
        <v>944</v>
      </c>
      <c r="K54" s="74">
        <v>955</v>
      </c>
      <c r="L54" s="74">
        <v>1057</v>
      </c>
      <c r="M54" s="74">
        <v>383</v>
      </c>
      <c r="N54" s="76" cm="1">
        <f t="array" ref="N54">SUM((H54:L54)/5)</f>
        <v>1053.2</v>
      </c>
      <c r="O54" s="74">
        <v>1050</v>
      </c>
      <c r="P54" s="66"/>
      <c r="Q54" s="81">
        <v>49.325000000000003</v>
      </c>
      <c r="R54" s="81">
        <v>72.016000000000005</v>
      </c>
      <c r="S54" s="81">
        <v>0.441</v>
      </c>
      <c r="T54" s="81">
        <v>0.441</v>
      </c>
      <c r="U54" s="77">
        <f t="shared" si="8"/>
        <v>420</v>
      </c>
      <c r="V54" s="77">
        <f t="shared" si="9"/>
        <v>630</v>
      </c>
      <c r="W54" s="66"/>
      <c r="X54" s="77" t="s">
        <v>133</v>
      </c>
      <c r="Y54" s="77" t="s">
        <v>161</v>
      </c>
      <c r="Z54" s="79">
        <f>SUM(27.15839+25.03475)/2</f>
        <v>26.09657</v>
      </c>
      <c r="AA54" s="80">
        <f t="shared" si="3"/>
        <v>43.059340500000005</v>
      </c>
      <c r="AB54" s="66"/>
      <c r="AC54" s="81">
        <v>365</v>
      </c>
      <c r="AD54" s="82">
        <f t="shared" si="4"/>
        <v>131.7893</v>
      </c>
      <c r="AE54" s="82">
        <f t="shared" si="5"/>
        <v>144.17600000000002</v>
      </c>
      <c r="AF54" s="82">
        <f t="shared" si="6"/>
        <v>109.61</v>
      </c>
      <c r="AG54" s="82">
        <f t="shared" si="6"/>
        <v>271.27</v>
      </c>
      <c r="AH54" s="114"/>
      <c r="AI54" s="114"/>
      <c r="AJ54" s="83">
        <f t="shared" si="7"/>
        <v>656.84529999999995</v>
      </c>
      <c r="AK54" s="82"/>
      <c r="AL54" s="84"/>
      <c r="AM54" s="66"/>
    </row>
    <row r="55" spans="3:39" ht="90" x14ac:dyDescent="0.3">
      <c r="C55" s="41" t="s">
        <v>515</v>
      </c>
      <c r="D55" s="41" t="s">
        <v>124</v>
      </c>
      <c r="E55" s="42" t="s">
        <v>88</v>
      </c>
      <c r="G55" s="66"/>
      <c r="H55" s="74">
        <v>389</v>
      </c>
      <c r="I55" s="74">
        <v>383</v>
      </c>
      <c r="J55" s="74">
        <v>763</v>
      </c>
      <c r="K55" s="74">
        <v>898</v>
      </c>
      <c r="L55" s="74">
        <v>779</v>
      </c>
      <c r="M55" s="74">
        <v>215</v>
      </c>
      <c r="N55" s="76" cm="1">
        <f t="array" ref="N55">SUM((H55:L55)/5)</f>
        <v>642.40000000000009</v>
      </c>
      <c r="O55" s="74">
        <v>780</v>
      </c>
      <c r="P55" s="66"/>
      <c r="Q55" s="81">
        <v>75.238</v>
      </c>
      <c r="R55" s="81">
        <v>135.40899999999999</v>
      </c>
      <c r="S55" s="81">
        <v>0.441</v>
      </c>
      <c r="T55" s="81">
        <v>0.441</v>
      </c>
      <c r="U55" s="77">
        <f t="shared" si="8"/>
        <v>312</v>
      </c>
      <c r="V55" s="77">
        <f t="shared" si="9"/>
        <v>468</v>
      </c>
      <c r="W55" s="66"/>
      <c r="X55" s="77" t="s">
        <v>162</v>
      </c>
      <c r="Y55" s="77" t="s">
        <v>163</v>
      </c>
      <c r="Z55" s="79">
        <f>SUM(27.31694+24.88929+25.20888)/3</f>
        <v>25.805036666666666</v>
      </c>
      <c r="AA55" s="80">
        <f t="shared" si="3"/>
        <v>42.578310500000001</v>
      </c>
      <c r="AB55" s="66"/>
      <c r="AC55" s="81">
        <v>365</v>
      </c>
      <c r="AD55" s="82">
        <f t="shared" si="4"/>
        <v>247.79849999999999</v>
      </c>
      <c r="AE55" s="82">
        <f t="shared" si="5"/>
        <v>271.08879999999999</v>
      </c>
      <c r="AF55" s="82">
        <f t="shared" si="6"/>
        <v>80.510000000000005</v>
      </c>
      <c r="AG55" s="82">
        <f t="shared" si="6"/>
        <v>199.27</v>
      </c>
      <c r="AH55" s="114"/>
      <c r="AI55" s="114"/>
      <c r="AJ55" s="83">
        <f t="shared" si="7"/>
        <v>798.66729999999995</v>
      </c>
      <c r="AK55" s="82"/>
      <c r="AL55" s="84"/>
      <c r="AM55" s="66"/>
    </row>
    <row r="56" spans="3:39" ht="15.6" x14ac:dyDescent="0.3">
      <c r="C56" s="41" t="s">
        <v>516</v>
      </c>
      <c r="D56" s="41" t="s">
        <v>124</v>
      </c>
      <c r="E56" s="42" t="s">
        <v>88</v>
      </c>
      <c r="G56" s="66"/>
      <c r="H56" s="74">
        <v>1455</v>
      </c>
      <c r="I56" s="74">
        <v>1146</v>
      </c>
      <c r="J56" s="74">
        <v>1015</v>
      </c>
      <c r="K56" s="74">
        <v>1100</v>
      </c>
      <c r="L56" s="74">
        <v>1132</v>
      </c>
      <c r="M56" s="74">
        <v>463</v>
      </c>
      <c r="N56" s="76" cm="1">
        <f t="array" ref="N56">SUM((H56:L56)/5)</f>
        <v>1169.6000000000001</v>
      </c>
      <c r="O56" s="74">
        <v>1100</v>
      </c>
      <c r="P56" s="66"/>
      <c r="Q56" s="81">
        <v>49.828000000000003</v>
      </c>
      <c r="R56" s="81">
        <v>63.256999999999998</v>
      </c>
      <c r="S56" s="81">
        <v>0.441</v>
      </c>
      <c r="T56" s="81">
        <v>0.441</v>
      </c>
      <c r="U56" s="77">
        <f t="shared" si="8"/>
        <v>440</v>
      </c>
      <c r="V56" s="77">
        <f t="shared" si="9"/>
        <v>660</v>
      </c>
      <c r="W56" s="66"/>
      <c r="X56" s="77">
        <v>15.061999999999999</v>
      </c>
      <c r="Y56" s="77">
        <v>26.506730000000001</v>
      </c>
      <c r="Z56" s="79">
        <v>26.506730000000001</v>
      </c>
      <c r="AA56" s="80">
        <f t="shared" si="3"/>
        <v>43.736104500000003</v>
      </c>
      <c r="AB56" s="66"/>
      <c r="AC56" s="81">
        <v>365</v>
      </c>
      <c r="AD56" s="82">
        <f t="shared" si="4"/>
        <v>115.7603</v>
      </c>
      <c r="AE56" s="82">
        <f t="shared" si="5"/>
        <v>126.64049999999999</v>
      </c>
      <c r="AF56" s="82">
        <f t="shared" si="6"/>
        <v>116.63</v>
      </c>
      <c r="AG56" s="82">
        <f t="shared" si="6"/>
        <v>288.66000000000003</v>
      </c>
      <c r="AH56" s="114"/>
      <c r="AI56" s="114"/>
      <c r="AJ56" s="83">
        <f t="shared" si="7"/>
        <v>647.69080000000008</v>
      </c>
      <c r="AK56" s="82"/>
      <c r="AL56" s="84"/>
      <c r="AM56" s="66"/>
    </row>
    <row r="57" spans="3:39" ht="90" x14ac:dyDescent="0.3">
      <c r="C57" s="41" t="s">
        <v>516</v>
      </c>
      <c r="D57" s="41" t="s">
        <v>124</v>
      </c>
      <c r="E57" s="42" t="s">
        <v>88</v>
      </c>
      <c r="G57" s="66"/>
      <c r="H57" s="74">
        <v>1512</v>
      </c>
      <c r="I57" s="74">
        <v>1565</v>
      </c>
      <c r="J57" s="74">
        <v>1317</v>
      </c>
      <c r="K57" s="74">
        <v>624</v>
      </c>
      <c r="L57" s="74">
        <v>990</v>
      </c>
      <c r="M57" s="74">
        <v>4</v>
      </c>
      <c r="N57" s="76" cm="1">
        <f t="array" ref="N57">SUM((H57:L57)/5)</f>
        <v>1201.5999999999999</v>
      </c>
      <c r="O57" s="74">
        <v>1200</v>
      </c>
      <c r="P57" s="66"/>
      <c r="Q57" s="81">
        <v>50.334000000000003</v>
      </c>
      <c r="R57" s="81">
        <v>63.256999999999998</v>
      </c>
      <c r="S57" s="81">
        <v>0.441</v>
      </c>
      <c r="T57" s="81">
        <v>0.441</v>
      </c>
      <c r="U57" s="77">
        <f t="shared" si="8"/>
        <v>480</v>
      </c>
      <c r="V57" s="77">
        <f t="shared" si="9"/>
        <v>720</v>
      </c>
      <c r="W57" s="66"/>
      <c r="X57" s="77" t="s">
        <v>164</v>
      </c>
      <c r="Y57" s="77" t="s">
        <v>165</v>
      </c>
      <c r="Z57" s="79">
        <f>SUM(27.40433+24.97352+25.29345)/3</f>
        <v>25.890433333333334</v>
      </c>
      <c r="AA57" s="80">
        <f t="shared" si="3"/>
        <v>42.719215000000005</v>
      </c>
      <c r="AB57" s="66"/>
      <c r="AC57" s="81">
        <v>365</v>
      </c>
      <c r="AD57" s="82">
        <f t="shared" si="4"/>
        <v>115.7603</v>
      </c>
      <c r="AE57" s="82">
        <f t="shared" si="5"/>
        <v>126.64049999999999</v>
      </c>
      <c r="AF57" s="82">
        <f t="shared" si="6"/>
        <v>124.27</v>
      </c>
      <c r="AG57" s="82">
        <f t="shared" si="6"/>
        <v>307.58</v>
      </c>
      <c r="AH57" s="114"/>
      <c r="AI57" s="114"/>
      <c r="AJ57" s="83">
        <f t="shared" si="7"/>
        <v>674.25080000000003</v>
      </c>
      <c r="AK57" s="82"/>
      <c r="AL57" s="84"/>
      <c r="AM57" s="66"/>
    </row>
    <row r="58" spans="3:39" ht="90" x14ac:dyDescent="0.3">
      <c r="C58" s="41" t="s">
        <v>516</v>
      </c>
      <c r="D58" s="41" t="s">
        <v>124</v>
      </c>
      <c r="E58" s="42" t="s">
        <v>88</v>
      </c>
      <c r="G58" s="66"/>
      <c r="H58" s="74">
        <v>2735</v>
      </c>
      <c r="I58" s="74">
        <v>2594</v>
      </c>
      <c r="J58" s="74">
        <v>2622</v>
      </c>
      <c r="K58" s="74">
        <v>2469</v>
      </c>
      <c r="L58" s="74">
        <v>2391</v>
      </c>
      <c r="M58" s="74">
        <v>1136</v>
      </c>
      <c r="N58" s="76" cm="1">
        <f t="array" ref="N58">SUM((H58:L58)/5)</f>
        <v>2562.1999999999998</v>
      </c>
      <c r="O58" s="74">
        <v>2550</v>
      </c>
      <c r="P58" s="66"/>
      <c r="Q58" s="81">
        <v>50.33</v>
      </c>
      <c r="R58" s="81">
        <v>63.256999999999998</v>
      </c>
      <c r="S58" s="81">
        <v>0.441</v>
      </c>
      <c r="T58" s="81">
        <v>0.441</v>
      </c>
      <c r="U58" s="77">
        <f t="shared" si="8"/>
        <v>1020</v>
      </c>
      <c r="V58" s="77">
        <f t="shared" si="9"/>
        <v>1530</v>
      </c>
      <c r="W58" s="66"/>
      <c r="X58" s="77" t="s">
        <v>164</v>
      </c>
      <c r="Y58" s="77" t="s">
        <v>166</v>
      </c>
      <c r="Z58" s="79">
        <f>SUM(27.48165+25.05208+25.37169)/3</f>
        <v>25.968473333333332</v>
      </c>
      <c r="AA58" s="80">
        <f t="shared" si="3"/>
        <v>42.847980999999997</v>
      </c>
      <c r="AB58" s="66"/>
      <c r="AC58" s="81">
        <v>365</v>
      </c>
      <c r="AD58" s="82">
        <f t="shared" si="4"/>
        <v>115.7603</v>
      </c>
      <c r="AE58" s="82">
        <f t="shared" si="5"/>
        <v>126.64049999999999</v>
      </c>
      <c r="AF58" s="82">
        <f t="shared" si="6"/>
        <v>264.88</v>
      </c>
      <c r="AG58" s="82">
        <f t="shared" si="6"/>
        <v>655.57</v>
      </c>
      <c r="AH58" s="114"/>
      <c r="AI58" s="114"/>
      <c r="AJ58" s="83">
        <f t="shared" si="7"/>
        <v>1162.8508000000002</v>
      </c>
      <c r="AK58" s="82"/>
      <c r="AL58" s="84"/>
      <c r="AM58" s="66"/>
    </row>
    <row r="59" spans="3:39" ht="15.6" x14ac:dyDescent="0.3">
      <c r="C59" s="41" t="s">
        <v>517</v>
      </c>
      <c r="D59" s="41" t="s">
        <v>124</v>
      </c>
      <c r="E59" s="42" t="s">
        <v>88</v>
      </c>
      <c r="G59" s="66"/>
      <c r="H59" s="74">
        <v>3992</v>
      </c>
      <c r="I59" s="74">
        <v>3988</v>
      </c>
      <c r="J59" s="74">
        <v>3998</v>
      </c>
      <c r="K59" s="74">
        <v>3987</v>
      </c>
      <c r="L59" s="74">
        <v>3989</v>
      </c>
      <c r="M59" s="74">
        <v>1669</v>
      </c>
      <c r="N59" s="76" cm="1">
        <f t="array" ref="N59">SUM((H59:L59)/5)</f>
        <v>3990.8</v>
      </c>
      <c r="O59" s="74">
        <v>3990</v>
      </c>
      <c r="P59" s="66"/>
      <c r="Q59" s="81">
        <v>49.308</v>
      </c>
      <c r="R59" s="81">
        <v>72.016000000000005</v>
      </c>
      <c r="S59" s="81">
        <v>0.441</v>
      </c>
      <c r="T59" s="81">
        <v>0.441</v>
      </c>
      <c r="U59" s="77">
        <f t="shared" si="8"/>
        <v>1596</v>
      </c>
      <c r="V59" s="77">
        <f t="shared" si="9"/>
        <v>2394</v>
      </c>
      <c r="W59" s="66"/>
      <c r="X59" s="77">
        <v>15.868</v>
      </c>
      <c r="Y59" s="77">
        <v>27.08276</v>
      </c>
      <c r="Z59" s="79">
        <v>27.08276</v>
      </c>
      <c r="AA59" s="80">
        <f t="shared" si="3"/>
        <v>44.686554000000001</v>
      </c>
      <c r="AB59" s="66"/>
      <c r="AC59" s="81">
        <v>365</v>
      </c>
      <c r="AD59" s="82">
        <f t="shared" si="4"/>
        <v>131.7893</v>
      </c>
      <c r="AE59" s="82">
        <f t="shared" si="5"/>
        <v>144.17600000000002</v>
      </c>
      <c r="AF59" s="82">
        <f t="shared" si="6"/>
        <v>432.24</v>
      </c>
      <c r="AG59" s="82">
        <f t="shared" si="6"/>
        <v>1069.8</v>
      </c>
      <c r="AH59" s="114"/>
      <c r="AI59" s="114"/>
      <c r="AJ59" s="83">
        <f t="shared" si="7"/>
        <v>1778.0053</v>
      </c>
      <c r="AK59" s="82"/>
      <c r="AL59" s="84"/>
      <c r="AM59" s="66"/>
    </row>
    <row r="60" spans="3:39" ht="15.6" x14ac:dyDescent="0.3">
      <c r="C60" s="41" t="s">
        <v>518</v>
      </c>
      <c r="D60" s="41" t="s">
        <v>124</v>
      </c>
      <c r="E60" s="42" t="s">
        <v>88</v>
      </c>
      <c r="G60" s="66"/>
      <c r="H60" s="74">
        <v>55</v>
      </c>
      <c r="I60" s="74">
        <v>100</v>
      </c>
      <c r="J60" s="74">
        <v>124</v>
      </c>
      <c r="K60" s="74">
        <v>115</v>
      </c>
      <c r="L60" s="74">
        <v>2237</v>
      </c>
      <c r="M60" s="74">
        <v>1487</v>
      </c>
      <c r="N60" s="76" cm="1">
        <f t="array" ref="N60">SUM((H60:L60)/5)</f>
        <v>526.19999999999993</v>
      </c>
      <c r="O60" s="74">
        <v>1850</v>
      </c>
      <c r="P60" s="66"/>
      <c r="Q60" s="81">
        <v>49.308</v>
      </c>
      <c r="R60" s="81">
        <v>72.016000000000005</v>
      </c>
      <c r="S60" s="81">
        <v>0.441</v>
      </c>
      <c r="T60" s="81">
        <v>0.441</v>
      </c>
      <c r="U60" s="77">
        <f t="shared" si="8"/>
        <v>740</v>
      </c>
      <c r="V60" s="77">
        <f t="shared" si="9"/>
        <v>1110</v>
      </c>
      <c r="W60" s="66"/>
      <c r="X60" s="77">
        <v>15.868</v>
      </c>
      <c r="Y60" s="77">
        <v>27.082789999999999</v>
      </c>
      <c r="Z60" s="79">
        <v>27.082789999999999</v>
      </c>
      <c r="AA60" s="80">
        <f t="shared" si="3"/>
        <v>44.686603500000004</v>
      </c>
      <c r="AB60" s="66"/>
      <c r="AC60" s="81">
        <v>365</v>
      </c>
      <c r="AD60" s="82">
        <f t="shared" si="4"/>
        <v>131.7893</v>
      </c>
      <c r="AE60" s="82">
        <f t="shared" si="5"/>
        <v>144.17600000000002</v>
      </c>
      <c r="AF60" s="82">
        <f t="shared" si="6"/>
        <v>200.41</v>
      </c>
      <c r="AG60" s="82">
        <f t="shared" si="6"/>
        <v>496.02</v>
      </c>
      <c r="AH60" s="114"/>
      <c r="AI60" s="114"/>
      <c r="AJ60" s="83">
        <f t="shared" si="7"/>
        <v>972.39530000000002</v>
      </c>
      <c r="AK60" s="82"/>
      <c r="AL60" s="84"/>
      <c r="AM60" s="66"/>
    </row>
    <row r="61" spans="3:39" ht="15.6" x14ac:dyDescent="0.3">
      <c r="C61" s="41" t="s">
        <v>519</v>
      </c>
      <c r="D61" s="41" t="s">
        <v>124</v>
      </c>
      <c r="E61" s="42" t="s">
        <v>88</v>
      </c>
      <c r="G61" s="66"/>
      <c r="H61" s="74">
        <v>457</v>
      </c>
      <c r="I61" s="74">
        <v>454</v>
      </c>
      <c r="J61" s="74">
        <v>453</v>
      </c>
      <c r="K61" s="74">
        <v>432</v>
      </c>
      <c r="L61" s="74">
        <v>2378</v>
      </c>
      <c r="M61" s="74">
        <v>1487</v>
      </c>
      <c r="N61" s="76" cm="1">
        <f t="array" ref="N61">SUM((H61:L61)/5)</f>
        <v>834.8</v>
      </c>
      <c r="O61" s="74">
        <v>1850</v>
      </c>
      <c r="P61" s="66"/>
      <c r="Q61" s="81">
        <v>49.308</v>
      </c>
      <c r="R61" s="81">
        <v>72.016000000000005</v>
      </c>
      <c r="S61" s="81">
        <v>0.441</v>
      </c>
      <c r="T61" s="81">
        <v>0.441</v>
      </c>
      <c r="U61" s="77">
        <f t="shared" si="8"/>
        <v>740</v>
      </c>
      <c r="V61" s="77">
        <f t="shared" si="9"/>
        <v>1110</v>
      </c>
      <c r="W61" s="66"/>
      <c r="X61" s="77">
        <v>15.868</v>
      </c>
      <c r="Y61" s="77">
        <v>27.082789999999999</v>
      </c>
      <c r="Z61" s="79">
        <v>27.082789999999999</v>
      </c>
      <c r="AA61" s="80">
        <f t="shared" si="3"/>
        <v>44.686603500000004</v>
      </c>
      <c r="AB61" s="66"/>
      <c r="AC61" s="81">
        <v>365</v>
      </c>
      <c r="AD61" s="82">
        <f t="shared" si="4"/>
        <v>131.7893</v>
      </c>
      <c r="AE61" s="82">
        <f t="shared" si="5"/>
        <v>144.17600000000002</v>
      </c>
      <c r="AF61" s="82">
        <f t="shared" si="6"/>
        <v>200.41</v>
      </c>
      <c r="AG61" s="82">
        <f t="shared" si="6"/>
        <v>496.02</v>
      </c>
      <c r="AH61" s="114"/>
      <c r="AI61" s="114"/>
      <c r="AJ61" s="83">
        <f t="shared" si="7"/>
        <v>972.39530000000002</v>
      </c>
      <c r="AK61" s="82"/>
      <c r="AL61" s="84"/>
      <c r="AM61" s="66"/>
    </row>
    <row r="62" spans="3:39" ht="15.6" x14ac:dyDescent="0.3">
      <c r="C62" s="41" t="s">
        <v>518</v>
      </c>
      <c r="D62" s="41" t="s">
        <v>124</v>
      </c>
      <c r="E62" s="42" t="s">
        <v>88</v>
      </c>
      <c r="G62" s="66"/>
      <c r="H62" s="74">
        <v>126</v>
      </c>
      <c r="I62" s="74">
        <v>285</v>
      </c>
      <c r="J62" s="74">
        <v>256</v>
      </c>
      <c r="K62" s="74">
        <v>144</v>
      </c>
      <c r="L62" s="74">
        <v>145</v>
      </c>
      <c r="M62" s="74">
        <v>61</v>
      </c>
      <c r="N62" s="76" cm="1">
        <f t="array" ref="N62">SUM((H62:L62)/5)</f>
        <v>191.20000000000002</v>
      </c>
      <c r="O62" s="74">
        <v>140</v>
      </c>
      <c r="P62" s="66"/>
      <c r="Q62" s="81">
        <v>49.308</v>
      </c>
      <c r="R62" s="81">
        <v>72.016000000000005</v>
      </c>
      <c r="S62" s="81">
        <v>0.441</v>
      </c>
      <c r="T62" s="81">
        <v>0.441</v>
      </c>
      <c r="U62" s="77">
        <f t="shared" si="8"/>
        <v>56</v>
      </c>
      <c r="V62" s="77">
        <f t="shared" si="9"/>
        <v>84</v>
      </c>
      <c r="W62" s="66"/>
      <c r="X62" s="77">
        <v>15.868</v>
      </c>
      <c r="Y62" s="77">
        <v>27.084890000000001</v>
      </c>
      <c r="Z62" s="79">
        <v>27.084890000000001</v>
      </c>
      <c r="AA62" s="80">
        <f t="shared" si="3"/>
        <v>44.690068500000002</v>
      </c>
      <c r="AB62" s="66"/>
      <c r="AC62" s="81">
        <v>365</v>
      </c>
      <c r="AD62" s="82">
        <f t="shared" si="4"/>
        <v>131.7893</v>
      </c>
      <c r="AE62" s="82">
        <f t="shared" si="5"/>
        <v>144.17600000000002</v>
      </c>
      <c r="AF62" s="82">
        <f t="shared" si="6"/>
        <v>15.17</v>
      </c>
      <c r="AG62" s="82">
        <f t="shared" si="6"/>
        <v>37.54</v>
      </c>
      <c r="AH62" s="114"/>
      <c r="AI62" s="114"/>
      <c r="AJ62" s="83">
        <f t="shared" si="7"/>
        <v>328.67530000000005</v>
      </c>
      <c r="AK62" s="82"/>
      <c r="AL62" s="84"/>
      <c r="AM62" s="66"/>
    </row>
    <row r="63" spans="3:39" ht="15.6" x14ac:dyDescent="0.3">
      <c r="C63" s="41" t="s">
        <v>518</v>
      </c>
      <c r="D63" s="41" t="s">
        <v>124</v>
      </c>
      <c r="E63" s="42" t="s">
        <v>88</v>
      </c>
      <c r="G63" s="66"/>
      <c r="H63" s="74">
        <v>196</v>
      </c>
      <c r="I63" s="74">
        <v>170</v>
      </c>
      <c r="J63" s="74">
        <v>170</v>
      </c>
      <c r="K63" s="74">
        <v>160</v>
      </c>
      <c r="L63" s="74">
        <v>133</v>
      </c>
      <c r="M63" s="74">
        <v>73</v>
      </c>
      <c r="N63" s="76" cm="1">
        <f t="array" ref="N63">SUM((H63:L63)/5)</f>
        <v>165.79999999999998</v>
      </c>
      <c r="O63" s="74">
        <v>145</v>
      </c>
      <c r="P63" s="66"/>
      <c r="Q63" s="81">
        <v>49.308</v>
      </c>
      <c r="R63" s="81">
        <v>72.016000000000005</v>
      </c>
      <c r="S63" s="81">
        <v>0.441</v>
      </c>
      <c r="T63" s="81">
        <v>0.441</v>
      </c>
      <c r="U63" s="77">
        <f t="shared" si="8"/>
        <v>58</v>
      </c>
      <c r="V63" s="77">
        <f t="shared" si="9"/>
        <v>87</v>
      </c>
      <c r="W63" s="66"/>
      <c r="X63" s="77">
        <v>15.868</v>
      </c>
      <c r="Y63" s="77">
        <v>27.082380000000001</v>
      </c>
      <c r="Z63" s="79">
        <v>27.082380000000001</v>
      </c>
      <c r="AA63" s="80">
        <f t="shared" si="3"/>
        <v>44.685927000000007</v>
      </c>
      <c r="AB63" s="66"/>
      <c r="AC63" s="81">
        <v>365</v>
      </c>
      <c r="AD63" s="82">
        <f t="shared" si="4"/>
        <v>131.7893</v>
      </c>
      <c r="AE63" s="82">
        <f t="shared" si="5"/>
        <v>144.17600000000002</v>
      </c>
      <c r="AF63" s="82">
        <f t="shared" si="6"/>
        <v>15.71</v>
      </c>
      <c r="AG63" s="82">
        <f t="shared" si="6"/>
        <v>38.880000000000003</v>
      </c>
      <c r="AH63" s="114"/>
      <c r="AI63" s="114"/>
      <c r="AJ63" s="83">
        <f t="shared" si="7"/>
        <v>330.55529999999999</v>
      </c>
      <c r="AK63" s="82"/>
      <c r="AL63" s="84"/>
      <c r="AM63" s="66"/>
    </row>
    <row r="64" spans="3:39" ht="90" x14ac:dyDescent="0.3">
      <c r="C64" s="41" t="s">
        <v>167</v>
      </c>
      <c r="D64" s="41" t="s">
        <v>124</v>
      </c>
      <c r="E64" s="42" t="s">
        <v>88</v>
      </c>
      <c r="G64" s="66"/>
      <c r="H64" s="74">
        <v>1880</v>
      </c>
      <c r="I64" s="74">
        <v>2214</v>
      </c>
      <c r="J64" s="74">
        <v>1543</v>
      </c>
      <c r="K64" s="74">
        <v>1486</v>
      </c>
      <c r="L64" s="74">
        <v>1205</v>
      </c>
      <c r="M64" s="74">
        <v>489</v>
      </c>
      <c r="N64" s="76" cm="1">
        <f t="array" ref="N64">SUM((H64:L64)/5)</f>
        <v>1665.6000000000001</v>
      </c>
      <c r="O64" s="74">
        <v>1600</v>
      </c>
      <c r="P64" s="66"/>
      <c r="Q64" s="81">
        <v>50.334000000000003</v>
      </c>
      <c r="R64" s="81">
        <v>63.256999999999998</v>
      </c>
      <c r="S64" s="81">
        <v>0.441</v>
      </c>
      <c r="T64" s="81">
        <v>0.441</v>
      </c>
      <c r="U64" s="77">
        <f t="shared" si="8"/>
        <v>640</v>
      </c>
      <c r="V64" s="77">
        <f t="shared" si="9"/>
        <v>960</v>
      </c>
      <c r="W64" s="66"/>
      <c r="X64" s="77" t="s">
        <v>150</v>
      </c>
      <c r="Y64" s="77" t="s">
        <v>168</v>
      </c>
      <c r="Z64" s="79">
        <f>SUM(27.40875+24.9778+25.35245)/3</f>
        <v>25.913</v>
      </c>
      <c r="AA64" s="80">
        <f t="shared" si="3"/>
        <v>42.756450000000001</v>
      </c>
      <c r="AB64" s="66"/>
      <c r="AC64" s="81">
        <v>365</v>
      </c>
      <c r="AD64" s="82">
        <f t="shared" si="4"/>
        <v>115.7603</v>
      </c>
      <c r="AE64" s="82">
        <f t="shared" si="5"/>
        <v>126.64049999999999</v>
      </c>
      <c r="AF64" s="82">
        <f t="shared" si="6"/>
        <v>165.84</v>
      </c>
      <c r="AG64" s="82">
        <f t="shared" si="6"/>
        <v>410.46</v>
      </c>
      <c r="AH64" s="114"/>
      <c r="AI64" s="114"/>
      <c r="AJ64" s="83">
        <f t="shared" si="7"/>
        <v>818.70080000000007</v>
      </c>
      <c r="AK64" s="82"/>
      <c r="AL64" s="84"/>
      <c r="AM64" s="66"/>
    </row>
    <row r="65" spans="3:39" ht="15.6" x14ac:dyDescent="0.3">
      <c r="C65" s="41" t="s">
        <v>520</v>
      </c>
      <c r="D65" s="41" t="s">
        <v>124</v>
      </c>
      <c r="E65" s="42" t="s">
        <v>88</v>
      </c>
      <c r="G65" s="66"/>
      <c r="H65" s="74">
        <v>404</v>
      </c>
      <c r="I65" s="74">
        <v>537</v>
      </c>
      <c r="J65" s="74">
        <v>356</v>
      </c>
      <c r="K65" s="74">
        <v>229</v>
      </c>
      <c r="L65" s="74">
        <v>140</v>
      </c>
      <c r="M65" s="74">
        <v>97</v>
      </c>
      <c r="N65" s="76" cm="1">
        <f t="array" ref="N65">SUM((H65:L65)/5)</f>
        <v>333.2</v>
      </c>
      <c r="O65" s="74">
        <v>300</v>
      </c>
      <c r="P65" s="66"/>
      <c r="Q65" s="81">
        <v>49.308</v>
      </c>
      <c r="R65" s="81">
        <v>72.016000000000005</v>
      </c>
      <c r="S65" s="81">
        <v>0.441</v>
      </c>
      <c r="T65" s="81">
        <v>0.441</v>
      </c>
      <c r="U65" s="77">
        <f t="shared" si="8"/>
        <v>120</v>
      </c>
      <c r="V65" s="77">
        <f t="shared" si="9"/>
        <v>180</v>
      </c>
      <c r="W65" s="66"/>
      <c r="X65" s="77">
        <v>15.868</v>
      </c>
      <c r="Y65" s="77">
        <v>27.081289999999999</v>
      </c>
      <c r="Z65" s="79">
        <v>27.081289999999999</v>
      </c>
      <c r="AA65" s="80">
        <f t="shared" si="3"/>
        <v>44.6841285</v>
      </c>
      <c r="AB65" s="66"/>
      <c r="AC65" s="81">
        <v>365</v>
      </c>
      <c r="AD65" s="82">
        <f t="shared" si="4"/>
        <v>131.7893</v>
      </c>
      <c r="AE65" s="82">
        <f t="shared" si="5"/>
        <v>144.17600000000002</v>
      </c>
      <c r="AF65" s="82">
        <f t="shared" si="6"/>
        <v>32.5</v>
      </c>
      <c r="AG65" s="82">
        <f t="shared" si="6"/>
        <v>80.430000000000007</v>
      </c>
      <c r="AH65" s="114"/>
      <c r="AI65" s="114"/>
      <c r="AJ65" s="83">
        <f t="shared" si="7"/>
        <v>388.89530000000002</v>
      </c>
      <c r="AK65" s="82"/>
      <c r="AL65" s="84"/>
      <c r="AM65" s="66"/>
    </row>
    <row r="66" spans="3:39" ht="15.6" x14ac:dyDescent="0.3">
      <c r="C66" s="41" t="s">
        <v>521</v>
      </c>
      <c r="D66" s="41" t="s">
        <v>124</v>
      </c>
      <c r="E66" s="42" t="s">
        <v>88</v>
      </c>
      <c r="G66" s="66"/>
      <c r="H66" s="74">
        <v>217</v>
      </c>
      <c r="I66" s="74">
        <v>161</v>
      </c>
      <c r="J66" s="74">
        <v>100</v>
      </c>
      <c r="K66" s="74">
        <v>56</v>
      </c>
      <c r="L66" s="74">
        <v>117</v>
      </c>
      <c r="M66" s="74">
        <v>52</v>
      </c>
      <c r="N66" s="76" cm="1">
        <f t="array" ref="N66">SUM((H66:L66)/5)</f>
        <v>130.19999999999999</v>
      </c>
      <c r="O66" s="74">
        <v>130</v>
      </c>
      <c r="P66" s="66"/>
      <c r="Q66" s="81">
        <v>49.308</v>
      </c>
      <c r="R66" s="81">
        <v>72.016000000000005</v>
      </c>
      <c r="S66" s="81">
        <v>0.441</v>
      </c>
      <c r="T66" s="81">
        <v>0.441</v>
      </c>
      <c r="U66" s="77">
        <f t="shared" si="8"/>
        <v>52</v>
      </c>
      <c r="V66" s="77">
        <f t="shared" si="9"/>
        <v>78</v>
      </c>
      <c r="W66" s="66"/>
      <c r="X66" s="77">
        <v>15.868</v>
      </c>
      <c r="Y66" s="77">
        <v>27.084230000000002</v>
      </c>
      <c r="Z66" s="79">
        <v>27.084230000000002</v>
      </c>
      <c r="AA66" s="80">
        <f t="shared" si="3"/>
        <v>44.688979500000002</v>
      </c>
      <c r="AB66" s="66"/>
      <c r="AC66" s="81">
        <v>365</v>
      </c>
      <c r="AD66" s="82">
        <f t="shared" si="4"/>
        <v>131.7893</v>
      </c>
      <c r="AE66" s="82">
        <f t="shared" si="5"/>
        <v>144.17600000000002</v>
      </c>
      <c r="AF66" s="82">
        <f t="shared" si="6"/>
        <v>14.08</v>
      </c>
      <c r="AG66" s="82">
        <f t="shared" si="6"/>
        <v>34.86</v>
      </c>
      <c r="AH66" s="114"/>
      <c r="AI66" s="114"/>
      <c r="AJ66" s="83">
        <f t="shared" si="7"/>
        <v>324.90530000000001</v>
      </c>
      <c r="AK66" s="82"/>
      <c r="AL66" s="84"/>
      <c r="AM66" s="66"/>
    </row>
    <row r="67" spans="3:39" ht="90" x14ac:dyDescent="0.3">
      <c r="C67" s="41" t="s">
        <v>169</v>
      </c>
      <c r="D67" s="41" t="s">
        <v>124</v>
      </c>
      <c r="E67" s="42" t="s">
        <v>88</v>
      </c>
      <c r="G67" s="66"/>
      <c r="H67" s="74">
        <v>1292</v>
      </c>
      <c r="I67" s="74">
        <v>1164</v>
      </c>
      <c r="J67" s="74">
        <v>1023</v>
      </c>
      <c r="K67" s="74">
        <v>964</v>
      </c>
      <c r="L67" s="74">
        <v>863</v>
      </c>
      <c r="M67" s="74">
        <v>305</v>
      </c>
      <c r="N67" s="76" cm="1">
        <f t="array" ref="N67">SUM((H67:L67)/5)</f>
        <v>1061.1999999999998</v>
      </c>
      <c r="O67" s="74">
        <v>1060</v>
      </c>
      <c r="P67" s="66"/>
      <c r="Q67" s="81">
        <v>50.334000000000003</v>
      </c>
      <c r="R67" s="81">
        <v>63.256999999999998</v>
      </c>
      <c r="S67" s="81">
        <v>0.441</v>
      </c>
      <c r="T67" s="81">
        <v>0.441</v>
      </c>
      <c r="U67" s="77">
        <f t="shared" si="8"/>
        <v>424</v>
      </c>
      <c r="V67" s="77">
        <f t="shared" si="9"/>
        <v>636</v>
      </c>
      <c r="W67" s="66"/>
      <c r="X67" s="77" t="s">
        <v>150</v>
      </c>
      <c r="Y67" s="77" t="s">
        <v>170</v>
      </c>
      <c r="Z67" s="79">
        <f>SUM(27.33331+24.90246+25.27685)/3</f>
        <v>25.837540000000001</v>
      </c>
      <c r="AA67" s="80">
        <f t="shared" si="3"/>
        <v>42.631940999999998</v>
      </c>
      <c r="AB67" s="66"/>
      <c r="AC67" s="81">
        <v>365</v>
      </c>
      <c r="AD67" s="82">
        <f t="shared" si="4"/>
        <v>115.7603</v>
      </c>
      <c r="AE67" s="82">
        <f t="shared" si="5"/>
        <v>126.64049999999999</v>
      </c>
      <c r="AF67" s="82">
        <f t="shared" si="6"/>
        <v>109.55</v>
      </c>
      <c r="AG67" s="82">
        <f t="shared" si="6"/>
        <v>271.14</v>
      </c>
      <c r="AH67" s="114"/>
      <c r="AI67" s="114"/>
      <c r="AJ67" s="83">
        <f t="shared" si="7"/>
        <v>623.09079999999994</v>
      </c>
      <c r="AK67" s="82"/>
      <c r="AL67" s="84"/>
      <c r="AM67" s="66"/>
    </row>
    <row r="68" spans="3:39" ht="15.6" x14ac:dyDescent="0.3">
      <c r="C68" s="41" t="s">
        <v>522</v>
      </c>
      <c r="D68" s="41" t="s">
        <v>124</v>
      </c>
      <c r="E68" s="42" t="s">
        <v>88</v>
      </c>
      <c r="G68" s="66"/>
      <c r="H68" s="74">
        <v>1043</v>
      </c>
      <c r="I68" s="74">
        <v>606</v>
      </c>
      <c r="J68" s="74">
        <v>451</v>
      </c>
      <c r="K68" s="74">
        <v>413</v>
      </c>
      <c r="L68" s="74">
        <v>432</v>
      </c>
      <c r="M68" s="74">
        <v>195</v>
      </c>
      <c r="N68" s="76" cm="1">
        <f t="array" ref="N68">SUM((H68:L68)/5)</f>
        <v>589</v>
      </c>
      <c r="O68" s="74">
        <v>590</v>
      </c>
      <c r="P68" s="66"/>
      <c r="Q68" s="81">
        <v>49.308</v>
      </c>
      <c r="R68" s="81">
        <v>72.016000000000005</v>
      </c>
      <c r="S68" s="81">
        <v>0.441</v>
      </c>
      <c r="T68" s="81">
        <v>0.441</v>
      </c>
      <c r="U68" s="77">
        <f t="shared" si="8"/>
        <v>236</v>
      </c>
      <c r="V68" s="77">
        <f t="shared" si="9"/>
        <v>354</v>
      </c>
      <c r="W68" s="66"/>
      <c r="X68" s="77">
        <v>15.868</v>
      </c>
      <c r="Y68" s="77">
        <v>27.083400000000001</v>
      </c>
      <c r="Z68" s="79">
        <v>27.083400000000001</v>
      </c>
      <c r="AA68" s="80">
        <f t="shared" si="3"/>
        <v>44.687610000000006</v>
      </c>
      <c r="AB68" s="66"/>
      <c r="AC68" s="81">
        <v>365</v>
      </c>
      <c r="AD68" s="82">
        <f t="shared" si="4"/>
        <v>131.7893</v>
      </c>
      <c r="AE68" s="82">
        <f t="shared" si="5"/>
        <v>144.17600000000002</v>
      </c>
      <c r="AF68" s="82">
        <f t="shared" si="6"/>
        <v>63.92</v>
      </c>
      <c r="AG68" s="82">
        <f t="shared" si="6"/>
        <v>158.19</v>
      </c>
      <c r="AH68" s="114"/>
      <c r="AI68" s="114"/>
      <c r="AJ68" s="83">
        <f t="shared" si="7"/>
        <v>498.07530000000003</v>
      </c>
      <c r="AK68" s="82"/>
      <c r="AL68" s="84"/>
      <c r="AM68" s="66"/>
    </row>
    <row r="69" spans="3:39" ht="15.6" x14ac:dyDescent="0.3">
      <c r="C69" s="41" t="s">
        <v>523</v>
      </c>
      <c r="D69" s="41" t="s">
        <v>124</v>
      </c>
      <c r="E69" s="42" t="s">
        <v>88</v>
      </c>
      <c r="G69" s="66"/>
      <c r="H69" s="74">
        <v>340</v>
      </c>
      <c r="I69" s="74">
        <v>634</v>
      </c>
      <c r="J69" s="74">
        <v>454</v>
      </c>
      <c r="K69" s="74">
        <v>442</v>
      </c>
      <c r="L69" s="74">
        <v>481</v>
      </c>
      <c r="M69" s="74">
        <v>19</v>
      </c>
      <c r="N69" s="76" cm="1">
        <f t="array" ref="N69">SUM((H69:L69)/5)</f>
        <v>470.2</v>
      </c>
      <c r="O69" s="74">
        <v>470</v>
      </c>
      <c r="P69" s="66"/>
      <c r="Q69" s="81">
        <v>49.308</v>
      </c>
      <c r="R69" s="81">
        <v>72.016000000000005</v>
      </c>
      <c r="S69" s="81">
        <v>0.441</v>
      </c>
      <c r="T69" s="81">
        <v>0.441</v>
      </c>
      <c r="U69" s="77">
        <f t="shared" si="8"/>
        <v>188</v>
      </c>
      <c r="V69" s="77">
        <f t="shared" si="9"/>
        <v>282</v>
      </c>
      <c r="W69" s="66"/>
      <c r="X69" s="77">
        <v>15.868</v>
      </c>
      <c r="Y69" s="77">
        <v>27.082139999999999</v>
      </c>
      <c r="Z69" s="79">
        <v>27.082139999999999</v>
      </c>
      <c r="AA69" s="80">
        <f t="shared" si="3"/>
        <v>44.685530999999997</v>
      </c>
      <c r="AB69" s="66"/>
      <c r="AC69" s="81">
        <v>365</v>
      </c>
      <c r="AD69" s="82">
        <f t="shared" si="4"/>
        <v>131.7893</v>
      </c>
      <c r="AE69" s="82">
        <f t="shared" si="5"/>
        <v>144.17600000000002</v>
      </c>
      <c r="AF69" s="82">
        <f t="shared" si="6"/>
        <v>50.91</v>
      </c>
      <c r="AG69" s="82">
        <f t="shared" si="6"/>
        <v>126.01</v>
      </c>
      <c r="AH69" s="114"/>
      <c r="AI69" s="114"/>
      <c r="AJ69" s="83">
        <f t="shared" si="7"/>
        <v>452.88530000000003</v>
      </c>
      <c r="AK69" s="82"/>
      <c r="AL69" s="84"/>
      <c r="AM69" s="66"/>
    </row>
    <row r="70" spans="3:39" ht="15.6" x14ac:dyDescent="0.3">
      <c r="C70" s="41" t="s">
        <v>523</v>
      </c>
      <c r="D70" s="41" t="s">
        <v>124</v>
      </c>
      <c r="E70" s="42" t="s">
        <v>88</v>
      </c>
      <c r="G70" s="66"/>
      <c r="H70" s="74">
        <v>805</v>
      </c>
      <c r="I70" s="74">
        <v>746</v>
      </c>
      <c r="J70" s="74">
        <v>756</v>
      </c>
      <c r="K70" s="74">
        <v>753</v>
      </c>
      <c r="L70" s="74">
        <v>732</v>
      </c>
      <c r="M70" s="74">
        <v>302</v>
      </c>
      <c r="N70" s="76" cm="1">
        <f t="array" ref="N70">SUM((H70:L70)/5)</f>
        <v>758.4</v>
      </c>
      <c r="O70" s="74">
        <v>760</v>
      </c>
      <c r="P70" s="66"/>
      <c r="Q70" s="81">
        <v>49.308</v>
      </c>
      <c r="R70" s="81">
        <v>72.016000000000005</v>
      </c>
      <c r="S70" s="81">
        <v>0.441</v>
      </c>
      <c r="T70" s="81">
        <v>0.441</v>
      </c>
      <c r="U70" s="77">
        <f t="shared" si="8"/>
        <v>304</v>
      </c>
      <c r="V70" s="77">
        <f t="shared" si="9"/>
        <v>456</v>
      </c>
      <c r="W70" s="66"/>
      <c r="X70" s="77">
        <v>15.868</v>
      </c>
      <c r="Y70" s="77">
        <v>27.083369999999999</v>
      </c>
      <c r="Z70" s="79">
        <v>27.083369999999999</v>
      </c>
      <c r="AA70" s="80">
        <f t="shared" si="3"/>
        <v>44.687560500000004</v>
      </c>
      <c r="AB70" s="66"/>
      <c r="AC70" s="81">
        <v>365</v>
      </c>
      <c r="AD70" s="82">
        <f t="shared" si="4"/>
        <v>131.7893</v>
      </c>
      <c r="AE70" s="82">
        <f t="shared" si="5"/>
        <v>144.17600000000002</v>
      </c>
      <c r="AF70" s="82">
        <f t="shared" si="6"/>
        <v>82.33</v>
      </c>
      <c r="AG70" s="82">
        <f t="shared" si="6"/>
        <v>203.78</v>
      </c>
      <c r="AH70" s="114"/>
      <c r="AI70" s="114"/>
      <c r="AJ70" s="83">
        <f t="shared" si="7"/>
        <v>562.07529999999997</v>
      </c>
      <c r="AK70" s="82"/>
      <c r="AL70" s="84"/>
      <c r="AM70" s="66"/>
    </row>
    <row r="71" spans="3:39" ht="15.6" x14ac:dyDescent="0.3">
      <c r="C71" s="41" t="s">
        <v>523</v>
      </c>
      <c r="D71" s="41" t="s">
        <v>124</v>
      </c>
      <c r="E71" s="42" t="s">
        <v>88</v>
      </c>
      <c r="G71" s="66"/>
      <c r="H71" s="74">
        <v>396</v>
      </c>
      <c r="I71" s="74">
        <v>453</v>
      </c>
      <c r="J71" s="74">
        <v>464</v>
      </c>
      <c r="K71" s="74">
        <v>340</v>
      </c>
      <c r="L71" s="74">
        <v>361</v>
      </c>
      <c r="M71" s="74">
        <v>273</v>
      </c>
      <c r="N71" s="76" cm="1">
        <f t="array" ref="N71">SUM((H71:L71)/5)</f>
        <v>402.8</v>
      </c>
      <c r="O71" s="74">
        <v>400</v>
      </c>
      <c r="P71" s="66"/>
      <c r="Q71" s="81">
        <v>49.308</v>
      </c>
      <c r="R71" s="81">
        <v>72.016000000000005</v>
      </c>
      <c r="S71" s="81">
        <v>0.441</v>
      </c>
      <c r="T71" s="81">
        <v>0.441</v>
      </c>
      <c r="U71" s="77">
        <f t="shared" si="8"/>
        <v>160</v>
      </c>
      <c r="V71" s="77">
        <f t="shared" si="9"/>
        <v>240</v>
      </c>
      <c r="W71" s="66"/>
      <c r="X71" s="77">
        <v>15.868</v>
      </c>
      <c r="Y71" s="77">
        <v>27.081980000000001</v>
      </c>
      <c r="Z71" s="79">
        <v>27.081980000000001</v>
      </c>
      <c r="AA71" s="80">
        <f t="shared" si="3"/>
        <v>44.685267000000003</v>
      </c>
      <c r="AB71" s="66"/>
      <c r="AC71" s="81">
        <v>365</v>
      </c>
      <c r="AD71" s="82">
        <f t="shared" si="4"/>
        <v>131.7893</v>
      </c>
      <c r="AE71" s="82">
        <f t="shared" si="5"/>
        <v>144.17600000000002</v>
      </c>
      <c r="AF71" s="82">
        <f t="shared" si="6"/>
        <v>43.33</v>
      </c>
      <c r="AG71" s="82">
        <f t="shared" si="6"/>
        <v>107.24</v>
      </c>
      <c r="AH71" s="114"/>
      <c r="AI71" s="114"/>
      <c r="AJ71" s="83">
        <f t="shared" si="7"/>
        <v>426.53530000000001</v>
      </c>
      <c r="AK71" s="82"/>
      <c r="AL71" s="84"/>
      <c r="AM71" s="66"/>
    </row>
    <row r="72" spans="3:39" ht="15.6" x14ac:dyDescent="0.3">
      <c r="C72" s="41" t="s">
        <v>523</v>
      </c>
      <c r="D72" s="41" t="s">
        <v>124</v>
      </c>
      <c r="E72" s="42" t="s">
        <v>88</v>
      </c>
      <c r="G72" s="66"/>
      <c r="H72" s="74">
        <v>1095</v>
      </c>
      <c r="I72" s="74">
        <v>1064</v>
      </c>
      <c r="J72" s="74">
        <v>964</v>
      </c>
      <c r="K72" s="74">
        <v>1012</v>
      </c>
      <c r="L72" s="74">
        <v>1069</v>
      </c>
      <c r="M72" s="74">
        <v>432</v>
      </c>
      <c r="N72" s="76" cm="1">
        <f t="array" ref="N72">SUM((H72:L72)/5)</f>
        <v>1040.8</v>
      </c>
      <c r="O72" s="74">
        <v>1050</v>
      </c>
      <c r="P72" s="66"/>
      <c r="Q72" s="81">
        <v>49.308</v>
      </c>
      <c r="R72" s="81">
        <v>72.016000000000005</v>
      </c>
      <c r="S72" s="81">
        <v>0.441</v>
      </c>
      <c r="T72" s="81">
        <v>0.441</v>
      </c>
      <c r="U72" s="77">
        <f t="shared" si="8"/>
        <v>420</v>
      </c>
      <c r="V72" s="77">
        <f t="shared" si="9"/>
        <v>630</v>
      </c>
      <c r="W72" s="66"/>
      <c r="X72" s="77">
        <v>15.868</v>
      </c>
      <c r="Y72" s="77">
        <v>27.082979999999999</v>
      </c>
      <c r="Z72" s="79">
        <v>27.082979999999999</v>
      </c>
      <c r="AA72" s="80">
        <f t="shared" si="3"/>
        <v>44.686916999999994</v>
      </c>
      <c r="AB72" s="66"/>
      <c r="AC72" s="81">
        <v>365</v>
      </c>
      <c r="AD72" s="82">
        <f t="shared" si="4"/>
        <v>131.7893</v>
      </c>
      <c r="AE72" s="82">
        <f t="shared" si="5"/>
        <v>144.17600000000002</v>
      </c>
      <c r="AF72" s="82">
        <f t="shared" si="6"/>
        <v>113.75</v>
      </c>
      <c r="AG72" s="82">
        <f t="shared" si="6"/>
        <v>281.52999999999997</v>
      </c>
      <c r="AH72" s="114"/>
      <c r="AI72" s="114"/>
      <c r="AJ72" s="83">
        <f t="shared" si="7"/>
        <v>671.24530000000004</v>
      </c>
      <c r="AK72" s="82"/>
      <c r="AL72" s="84"/>
      <c r="AM72" s="66"/>
    </row>
    <row r="73" spans="3:39" ht="60" x14ac:dyDescent="0.3">
      <c r="C73" s="41" t="s">
        <v>524</v>
      </c>
      <c r="D73" s="41" t="s">
        <v>124</v>
      </c>
      <c r="E73" s="42" t="s">
        <v>88</v>
      </c>
      <c r="G73" s="66"/>
      <c r="H73" s="74">
        <v>1041</v>
      </c>
      <c r="I73" s="74">
        <v>587</v>
      </c>
      <c r="J73" s="74">
        <v>613</v>
      </c>
      <c r="K73" s="74">
        <v>462</v>
      </c>
      <c r="L73" s="74">
        <v>443</v>
      </c>
      <c r="M73" s="74">
        <v>217</v>
      </c>
      <c r="N73" s="76" cm="1">
        <f t="array" ref="N73">SUM((H73:L73)/5)</f>
        <v>629.20000000000005</v>
      </c>
      <c r="O73" s="74">
        <v>620</v>
      </c>
      <c r="P73" s="66"/>
      <c r="Q73" s="81">
        <v>50.334000000000003</v>
      </c>
      <c r="R73" s="81">
        <v>63.256999999999998</v>
      </c>
      <c r="S73" s="81">
        <v>0.441</v>
      </c>
      <c r="T73" s="81">
        <v>0.441</v>
      </c>
      <c r="U73" s="77">
        <f t="shared" ref="U73:U136" si="10">IF(E73="Gas",O73*R68,O73*$R$4)</f>
        <v>248</v>
      </c>
      <c r="V73" s="77">
        <f t="shared" ref="V73:V136" si="11">IF(E73="Gas",O73*T68,O73*$T$4)</f>
        <v>372</v>
      </c>
      <c r="W73" s="66"/>
      <c r="X73" s="77" t="s">
        <v>171</v>
      </c>
      <c r="Y73" s="77" t="s">
        <v>172</v>
      </c>
      <c r="Z73" s="79">
        <f>SUM(26.73014+25.09986)/2</f>
        <v>25.914999999999999</v>
      </c>
      <c r="AA73" s="80">
        <f t="shared" ref="AA73:AA136" si="12">SUM(Z73+Z73*$AA$4)</f>
        <v>42.759749999999997</v>
      </c>
      <c r="AB73" s="66"/>
      <c r="AC73" s="81">
        <v>365</v>
      </c>
      <c r="AD73" s="82">
        <f t="shared" ref="AD73:AD136" si="13">ROUND(R73*183,2)/100</f>
        <v>115.7603</v>
      </c>
      <c r="AE73" s="82">
        <f t="shared" ref="AE73:AE136" si="14">ROUND((R73+R73*$AE$4)*(365-183),2)/100</f>
        <v>126.64049999999999</v>
      </c>
      <c r="AF73" s="82">
        <f t="shared" ref="AF73:AG136" si="15">ROUND((U73*Z73)/100,2)</f>
        <v>64.27</v>
      </c>
      <c r="AG73" s="82">
        <f t="shared" si="15"/>
        <v>159.07</v>
      </c>
      <c r="AH73" s="114"/>
      <c r="AI73" s="114"/>
      <c r="AJ73" s="83">
        <f t="shared" ref="AJ73:AJ136" si="16">SUM(AD73:AG73)</f>
        <v>465.74079999999998</v>
      </c>
      <c r="AK73" s="82"/>
      <c r="AL73" s="84"/>
      <c r="AM73" s="66"/>
    </row>
    <row r="74" spans="3:39" ht="60" x14ac:dyDescent="0.3">
      <c r="C74" s="41" t="s">
        <v>524</v>
      </c>
      <c r="D74" s="41" t="s">
        <v>124</v>
      </c>
      <c r="E74" s="42" t="s">
        <v>88</v>
      </c>
      <c r="G74" s="66"/>
      <c r="H74" s="74">
        <v>35</v>
      </c>
      <c r="I74" s="74">
        <v>117</v>
      </c>
      <c r="J74" s="74">
        <v>46</v>
      </c>
      <c r="K74" s="74">
        <v>388</v>
      </c>
      <c r="L74" s="74">
        <v>693</v>
      </c>
      <c r="M74" s="74">
        <v>441</v>
      </c>
      <c r="N74" s="76" cm="1">
        <f t="array" ref="N74">SUM((H74:L74)/5)</f>
        <v>255.79999999999998</v>
      </c>
      <c r="O74" s="74">
        <v>500</v>
      </c>
      <c r="P74" s="66"/>
      <c r="Q74" s="81">
        <v>50.334000000000003</v>
      </c>
      <c r="R74" s="81">
        <v>63.256999999999998</v>
      </c>
      <c r="S74" s="81">
        <v>0.441</v>
      </c>
      <c r="T74" s="81">
        <v>0.441</v>
      </c>
      <c r="U74" s="77">
        <f t="shared" si="10"/>
        <v>200</v>
      </c>
      <c r="V74" s="77">
        <f t="shared" si="11"/>
        <v>300</v>
      </c>
      <c r="W74" s="66"/>
      <c r="X74" s="77" t="s">
        <v>171</v>
      </c>
      <c r="Y74" s="77" t="s">
        <v>173</v>
      </c>
      <c r="Z74" s="79">
        <f>SUM(26.85771+25.18882)/2</f>
        <v>26.023265000000002</v>
      </c>
      <c r="AA74" s="80">
        <f t="shared" si="12"/>
        <v>42.938387250000005</v>
      </c>
      <c r="AB74" s="66"/>
      <c r="AC74" s="81">
        <v>365</v>
      </c>
      <c r="AD74" s="82">
        <f t="shared" si="13"/>
        <v>115.7603</v>
      </c>
      <c r="AE74" s="82">
        <f t="shared" si="14"/>
        <v>126.64049999999999</v>
      </c>
      <c r="AF74" s="82">
        <f t="shared" si="15"/>
        <v>52.05</v>
      </c>
      <c r="AG74" s="82">
        <f t="shared" si="15"/>
        <v>128.82</v>
      </c>
      <c r="AH74" s="114"/>
      <c r="AI74" s="114"/>
      <c r="AJ74" s="83">
        <f t="shared" si="16"/>
        <v>423.27080000000001</v>
      </c>
      <c r="AK74" s="82"/>
      <c r="AL74" s="84"/>
      <c r="AM74" s="66"/>
    </row>
    <row r="75" spans="3:39" ht="15.6" x14ac:dyDescent="0.3">
      <c r="C75" s="41" t="s">
        <v>525</v>
      </c>
      <c r="D75" s="41" t="s">
        <v>124</v>
      </c>
      <c r="E75" s="42" t="s">
        <v>88</v>
      </c>
      <c r="G75" s="66"/>
      <c r="H75" s="74">
        <v>507</v>
      </c>
      <c r="I75" s="74">
        <v>6</v>
      </c>
      <c r="J75" s="74">
        <v>196</v>
      </c>
      <c r="K75" s="74">
        <v>190</v>
      </c>
      <c r="L75" s="74">
        <v>197</v>
      </c>
      <c r="M75" s="74">
        <v>42</v>
      </c>
      <c r="N75" s="76" cm="1">
        <f t="array" ref="N75">SUM((H75:L75)/5)</f>
        <v>219.20000000000002</v>
      </c>
      <c r="O75" s="74">
        <v>220</v>
      </c>
      <c r="P75" s="66"/>
      <c r="Q75" s="81">
        <v>49.308</v>
      </c>
      <c r="R75" s="81">
        <v>72.016000000000005</v>
      </c>
      <c r="S75" s="81">
        <v>0.441</v>
      </c>
      <c r="T75" s="81">
        <v>0.441</v>
      </c>
      <c r="U75" s="77">
        <f t="shared" si="10"/>
        <v>88</v>
      </c>
      <c r="V75" s="77">
        <f t="shared" si="11"/>
        <v>132</v>
      </c>
      <c r="W75" s="66"/>
      <c r="X75" s="77">
        <v>15.868</v>
      </c>
      <c r="Y75" s="77">
        <v>27.081009999999999</v>
      </c>
      <c r="Z75" s="79">
        <v>27.081009999999999</v>
      </c>
      <c r="AA75" s="80">
        <f t="shared" si="12"/>
        <v>44.683666500000001</v>
      </c>
      <c r="AB75" s="66"/>
      <c r="AC75" s="81">
        <v>365</v>
      </c>
      <c r="AD75" s="82">
        <f t="shared" si="13"/>
        <v>131.7893</v>
      </c>
      <c r="AE75" s="82">
        <f t="shared" si="14"/>
        <v>144.17600000000002</v>
      </c>
      <c r="AF75" s="82">
        <f t="shared" si="15"/>
        <v>23.83</v>
      </c>
      <c r="AG75" s="82">
        <f t="shared" si="15"/>
        <v>58.98</v>
      </c>
      <c r="AH75" s="114"/>
      <c r="AI75" s="114"/>
      <c r="AJ75" s="83">
        <f t="shared" si="16"/>
        <v>358.77530000000002</v>
      </c>
      <c r="AK75" s="82"/>
      <c r="AL75" s="84"/>
      <c r="AM75" s="66"/>
    </row>
    <row r="76" spans="3:39" ht="60" x14ac:dyDescent="0.3">
      <c r="C76" s="41" t="s">
        <v>526</v>
      </c>
      <c r="D76" s="41" t="s">
        <v>124</v>
      </c>
      <c r="E76" s="42" t="s">
        <v>88</v>
      </c>
      <c r="G76" s="66"/>
      <c r="H76" s="74">
        <v>909</v>
      </c>
      <c r="I76" s="74">
        <v>1017</v>
      </c>
      <c r="J76" s="74">
        <v>956</v>
      </c>
      <c r="K76" s="74">
        <v>623</v>
      </c>
      <c r="L76" s="74">
        <v>525</v>
      </c>
      <c r="M76" s="74">
        <v>28</v>
      </c>
      <c r="N76" s="76" cm="1">
        <f t="array" ref="N76">SUM((H76:L76)/5)</f>
        <v>806.00000000000011</v>
      </c>
      <c r="O76" s="74">
        <v>800</v>
      </c>
      <c r="P76" s="66"/>
      <c r="Q76" s="81">
        <v>49.325000000000003</v>
      </c>
      <c r="R76" s="81">
        <v>72.016000000000005</v>
      </c>
      <c r="S76" s="81">
        <v>0.441</v>
      </c>
      <c r="T76" s="81">
        <v>0.441</v>
      </c>
      <c r="U76" s="77">
        <f t="shared" si="10"/>
        <v>320</v>
      </c>
      <c r="V76" s="77">
        <f t="shared" si="11"/>
        <v>480</v>
      </c>
      <c r="W76" s="66"/>
      <c r="X76" s="77" t="s">
        <v>174</v>
      </c>
      <c r="Y76" s="77" t="s">
        <v>175</v>
      </c>
      <c r="Z76" s="79">
        <f>SUM(27.1637+25.04057)/2</f>
        <v>26.102134999999997</v>
      </c>
      <c r="AA76" s="80">
        <f t="shared" si="12"/>
        <v>43.06852275</v>
      </c>
      <c r="AB76" s="66"/>
      <c r="AC76" s="81">
        <v>365</v>
      </c>
      <c r="AD76" s="82">
        <f t="shared" si="13"/>
        <v>131.7893</v>
      </c>
      <c r="AE76" s="82">
        <f t="shared" si="14"/>
        <v>144.17600000000002</v>
      </c>
      <c r="AF76" s="82">
        <f t="shared" si="15"/>
        <v>83.53</v>
      </c>
      <c r="AG76" s="82">
        <f t="shared" si="15"/>
        <v>206.73</v>
      </c>
      <c r="AH76" s="114"/>
      <c r="AI76" s="114"/>
      <c r="AJ76" s="83">
        <f t="shared" si="16"/>
        <v>566.22530000000006</v>
      </c>
      <c r="AK76" s="82"/>
      <c r="AL76" s="84"/>
      <c r="AM76" s="66"/>
    </row>
    <row r="77" spans="3:39" ht="60" x14ac:dyDescent="0.3">
      <c r="C77" s="41" t="s">
        <v>526</v>
      </c>
      <c r="D77" s="41" t="s">
        <v>124</v>
      </c>
      <c r="E77" s="42" t="s">
        <v>88</v>
      </c>
      <c r="G77" s="66"/>
      <c r="H77" s="74">
        <v>734</v>
      </c>
      <c r="I77" s="74">
        <v>695</v>
      </c>
      <c r="J77" s="74">
        <v>655</v>
      </c>
      <c r="K77" s="74">
        <v>897</v>
      </c>
      <c r="L77" s="74">
        <v>773</v>
      </c>
      <c r="M77" s="74">
        <v>351</v>
      </c>
      <c r="N77" s="76" cm="1">
        <f t="array" ref="N77">SUM((H77:L77)/5)</f>
        <v>750.80000000000007</v>
      </c>
      <c r="O77" s="74">
        <v>750</v>
      </c>
      <c r="P77" s="66"/>
      <c r="Q77" s="81">
        <v>49.325000000000003</v>
      </c>
      <c r="R77" s="81">
        <v>72.016000000000005</v>
      </c>
      <c r="S77" s="81">
        <v>0.441</v>
      </c>
      <c r="T77" s="81">
        <v>0.441</v>
      </c>
      <c r="U77" s="77">
        <f t="shared" si="10"/>
        <v>300</v>
      </c>
      <c r="V77" s="77">
        <f t="shared" si="11"/>
        <v>450</v>
      </c>
      <c r="W77" s="66"/>
      <c r="X77" s="77" t="s">
        <v>176</v>
      </c>
      <c r="Y77" s="77" t="s">
        <v>177</v>
      </c>
      <c r="Z77" s="79">
        <f>SUM(27.13226+25.00908)/2</f>
        <v>26.07067</v>
      </c>
      <c r="AA77" s="80">
        <f t="shared" si="12"/>
        <v>43.016605499999997</v>
      </c>
      <c r="AB77" s="66"/>
      <c r="AC77" s="81">
        <v>365</v>
      </c>
      <c r="AD77" s="82">
        <f t="shared" si="13"/>
        <v>131.7893</v>
      </c>
      <c r="AE77" s="82">
        <f t="shared" si="14"/>
        <v>144.17600000000002</v>
      </c>
      <c r="AF77" s="82">
        <f t="shared" si="15"/>
        <v>78.209999999999994</v>
      </c>
      <c r="AG77" s="82">
        <f t="shared" si="15"/>
        <v>193.57</v>
      </c>
      <c r="AH77" s="114"/>
      <c r="AI77" s="114"/>
      <c r="AJ77" s="83">
        <f t="shared" si="16"/>
        <v>547.74530000000004</v>
      </c>
      <c r="AK77" s="82"/>
      <c r="AL77" s="84"/>
      <c r="AM77" s="66"/>
    </row>
    <row r="78" spans="3:39" ht="60" x14ac:dyDescent="0.3">
      <c r="C78" s="41" t="s">
        <v>526</v>
      </c>
      <c r="D78" s="41" t="s">
        <v>124</v>
      </c>
      <c r="E78" s="42" t="s">
        <v>88</v>
      </c>
      <c r="G78" s="66"/>
      <c r="H78" s="74">
        <v>708</v>
      </c>
      <c r="I78" s="74">
        <v>716</v>
      </c>
      <c r="J78" s="74">
        <v>727</v>
      </c>
      <c r="K78" s="74">
        <v>802</v>
      </c>
      <c r="L78" s="74">
        <v>584</v>
      </c>
      <c r="M78" s="74">
        <v>322</v>
      </c>
      <c r="N78" s="76" cm="1">
        <f t="array" ref="N78">SUM((H78:L78)/5)</f>
        <v>707.39999999999986</v>
      </c>
      <c r="O78" s="74">
        <v>700</v>
      </c>
      <c r="P78" s="66"/>
      <c r="Q78" s="81">
        <v>49.325000000000003</v>
      </c>
      <c r="R78" s="81">
        <v>72.016000000000005</v>
      </c>
      <c r="S78" s="81">
        <v>0.441</v>
      </c>
      <c r="T78" s="81">
        <v>0.441</v>
      </c>
      <c r="U78" s="77">
        <f t="shared" si="10"/>
        <v>280</v>
      </c>
      <c r="V78" s="77">
        <f t="shared" si="11"/>
        <v>420</v>
      </c>
      <c r="W78" s="66"/>
      <c r="X78" s="77" t="s">
        <v>176</v>
      </c>
      <c r="Y78" s="77" t="s">
        <v>178</v>
      </c>
      <c r="Z78" s="79">
        <f>SUM(27.15107+25.02671)/2</f>
        <v>26.088889999999999</v>
      </c>
      <c r="AA78" s="80">
        <f t="shared" si="12"/>
        <v>43.046668499999996</v>
      </c>
      <c r="AB78" s="66"/>
      <c r="AC78" s="81">
        <v>365</v>
      </c>
      <c r="AD78" s="82">
        <f t="shared" si="13"/>
        <v>131.7893</v>
      </c>
      <c r="AE78" s="82">
        <f t="shared" si="14"/>
        <v>144.17600000000002</v>
      </c>
      <c r="AF78" s="82">
        <f t="shared" si="15"/>
        <v>73.05</v>
      </c>
      <c r="AG78" s="82">
        <f t="shared" si="15"/>
        <v>180.8</v>
      </c>
      <c r="AH78" s="114"/>
      <c r="AI78" s="114"/>
      <c r="AJ78" s="83">
        <f t="shared" si="16"/>
        <v>529.81529999999998</v>
      </c>
      <c r="AK78" s="82"/>
      <c r="AL78" s="84"/>
      <c r="AM78" s="66"/>
    </row>
    <row r="79" spans="3:39" ht="60" x14ac:dyDescent="0.3">
      <c r="C79" s="41" t="s">
        <v>527</v>
      </c>
      <c r="D79" s="41" t="s">
        <v>124</v>
      </c>
      <c r="E79" s="42" t="s">
        <v>88</v>
      </c>
      <c r="G79" s="66"/>
      <c r="H79" s="74">
        <v>1406</v>
      </c>
      <c r="I79" s="74">
        <v>1663</v>
      </c>
      <c r="J79" s="74">
        <v>2106</v>
      </c>
      <c r="K79" s="74">
        <v>1996</v>
      </c>
      <c r="L79" s="74">
        <v>1276</v>
      </c>
      <c r="M79" s="74">
        <v>409</v>
      </c>
      <c r="N79" s="76" cm="1">
        <f t="array" ref="N79">SUM((H79:L79)/5)</f>
        <v>1689.4</v>
      </c>
      <c r="O79" s="74">
        <v>1700</v>
      </c>
      <c r="P79" s="66"/>
      <c r="Q79" s="81">
        <v>49.325000000000003</v>
      </c>
      <c r="R79" s="81">
        <v>72.016000000000005</v>
      </c>
      <c r="S79" s="81">
        <v>0.441</v>
      </c>
      <c r="T79" s="81">
        <v>0.441</v>
      </c>
      <c r="U79" s="77">
        <f t="shared" si="10"/>
        <v>680</v>
      </c>
      <c r="V79" s="77">
        <f t="shared" si="11"/>
        <v>1020</v>
      </c>
      <c r="W79" s="66"/>
      <c r="X79" s="77" t="s">
        <v>176</v>
      </c>
      <c r="Y79" s="77" t="s">
        <v>179</v>
      </c>
      <c r="Z79" s="79">
        <f>SUM(27.35586+25.18882)/2</f>
        <v>26.27234</v>
      </c>
      <c r="AA79" s="80">
        <f t="shared" si="12"/>
        <v>43.349361000000002</v>
      </c>
      <c r="AB79" s="66"/>
      <c r="AC79" s="81">
        <v>365</v>
      </c>
      <c r="AD79" s="82">
        <f t="shared" si="13"/>
        <v>131.7893</v>
      </c>
      <c r="AE79" s="82">
        <f t="shared" si="14"/>
        <v>144.17600000000002</v>
      </c>
      <c r="AF79" s="82">
        <f t="shared" si="15"/>
        <v>178.65</v>
      </c>
      <c r="AG79" s="82">
        <f t="shared" si="15"/>
        <v>442.16</v>
      </c>
      <c r="AH79" s="114"/>
      <c r="AI79" s="114"/>
      <c r="AJ79" s="83">
        <f t="shared" si="16"/>
        <v>896.77530000000002</v>
      </c>
      <c r="AK79" s="82"/>
      <c r="AL79" s="84"/>
      <c r="AM79" s="66"/>
    </row>
    <row r="80" spans="3:39" ht="15.6" x14ac:dyDescent="0.3">
      <c r="C80" s="41" t="s">
        <v>528</v>
      </c>
      <c r="D80" s="41" t="s">
        <v>124</v>
      </c>
      <c r="E80" s="42" t="s">
        <v>88</v>
      </c>
      <c r="G80" s="66"/>
      <c r="H80" s="74">
        <v>465</v>
      </c>
      <c r="I80" s="74">
        <v>444</v>
      </c>
      <c r="J80" s="74">
        <v>349</v>
      </c>
      <c r="K80" s="74">
        <v>434</v>
      </c>
      <c r="L80" s="74">
        <v>485</v>
      </c>
      <c r="M80" s="74">
        <v>281</v>
      </c>
      <c r="N80" s="76" cm="1">
        <f t="array" ref="N80">SUM((H80:L80)/5)</f>
        <v>435.40000000000003</v>
      </c>
      <c r="O80" s="74">
        <v>435</v>
      </c>
      <c r="P80" s="66"/>
      <c r="Q80" s="81">
        <v>49.308</v>
      </c>
      <c r="R80" s="81">
        <v>72.016000000000005</v>
      </c>
      <c r="S80" s="81">
        <v>0.441</v>
      </c>
      <c r="T80" s="81">
        <v>0.441</v>
      </c>
      <c r="U80" s="77">
        <f t="shared" si="10"/>
        <v>174</v>
      </c>
      <c r="V80" s="77">
        <f t="shared" si="11"/>
        <v>261</v>
      </c>
      <c r="W80" s="66"/>
      <c r="X80" s="77">
        <v>15.868</v>
      </c>
      <c r="Y80" s="77">
        <v>27.081980000000001</v>
      </c>
      <c r="Z80" s="79">
        <v>27.081980000000001</v>
      </c>
      <c r="AA80" s="80">
        <f t="shared" si="12"/>
        <v>44.685267000000003</v>
      </c>
      <c r="AB80" s="66"/>
      <c r="AC80" s="81">
        <v>365</v>
      </c>
      <c r="AD80" s="82">
        <f t="shared" si="13"/>
        <v>131.7893</v>
      </c>
      <c r="AE80" s="82">
        <f t="shared" si="14"/>
        <v>144.17600000000002</v>
      </c>
      <c r="AF80" s="82">
        <f t="shared" si="15"/>
        <v>47.12</v>
      </c>
      <c r="AG80" s="82">
        <f t="shared" si="15"/>
        <v>116.63</v>
      </c>
      <c r="AH80" s="114"/>
      <c r="AI80" s="114"/>
      <c r="AJ80" s="83">
        <f t="shared" si="16"/>
        <v>439.71530000000001</v>
      </c>
      <c r="AK80" s="82"/>
      <c r="AL80" s="84"/>
      <c r="AM80" s="66"/>
    </row>
    <row r="81" spans="3:39" ht="15.6" x14ac:dyDescent="0.3">
      <c r="C81" s="41" t="s">
        <v>528</v>
      </c>
      <c r="D81" s="41" t="s">
        <v>124</v>
      </c>
      <c r="E81" s="42" t="s">
        <v>88</v>
      </c>
      <c r="G81" s="66"/>
      <c r="H81" s="74">
        <v>389</v>
      </c>
      <c r="I81" s="74">
        <v>547</v>
      </c>
      <c r="J81" s="74">
        <v>513</v>
      </c>
      <c r="K81" s="74">
        <v>612</v>
      </c>
      <c r="L81" s="74">
        <v>607</v>
      </c>
      <c r="M81" s="74">
        <v>35</v>
      </c>
      <c r="N81" s="76" cm="1">
        <f t="array" ref="N81">SUM((H81:L81)/5)</f>
        <v>533.59999999999991</v>
      </c>
      <c r="O81" s="74">
        <v>600</v>
      </c>
      <c r="P81" s="66"/>
      <c r="Q81" s="81">
        <v>49.308</v>
      </c>
      <c r="R81" s="81">
        <v>72.016000000000005</v>
      </c>
      <c r="S81" s="81">
        <v>0.441</v>
      </c>
      <c r="T81" s="81">
        <v>0.441</v>
      </c>
      <c r="U81" s="77">
        <f t="shared" si="10"/>
        <v>240</v>
      </c>
      <c r="V81" s="77">
        <f t="shared" si="11"/>
        <v>360</v>
      </c>
      <c r="W81" s="66"/>
      <c r="X81" s="77">
        <v>15.868</v>
      </c>
      <c r="Y81" s="77">
        <v>27.083010000000002</v>
      </c>
      <c r="Z81" s="79">
        <v>27.083010000000002</v>
      </c>
      <c r="AA81" s="80">
        <f t="shared" si="12"/>
        <v>44.686966500000004</v>
      </c>
      <c r="AB81" s="66"/>
      <c r="AC81" s="81">
        <v>365</v>
      </c>
      <c r="AD81" s="82">
        <f t="shared" si="13"/>
        <v>131.7893</v>
      </c>
      <c r="AE81" s="82">
        <f t="shared" si="14"/>
        <v>144.17600000000002</v>
      </c>
      <c r="AF81" s="82">
        <f t="shared" si="15"/>
        <v>65</v>
      </c>
      <c r="AG81" s="82">
        <f t="shared" si="15"/>
        <v>160.87</v>
      </c>
      <c r="AH81" s="114"/>
      <c r="AI81" s="114"/>
      <c r="AJ81" s="83">
        <f t="shared" si="16"/>
        <v>501.83530000000002</v>
      </c>
      <c r="AK81" s="82"/>
      <c r="AL81" s="84"/>
      <c r="AM81" s="66"/>
    </row>
    <row r="82" spans="3:39" ht="15.6" x14ac:dyDescent="0.3">
      <c r="C82" s="41" t="s">
        <v>528</v>
      </c>
      <c r="D82" s="41" t="s">
        <v>124</v>
      </c>
      <c r="E82" s="42" t="s">
        <v>88</v>
      </c>
      <c r="G82" s="66"/>
      <c r="H82" s="74">
        <v>549</v>
      </c>
      <c r="I82" s="74">
        <v>514</v>
      </c>
      <c r="J82" s="74">
        <v>596</v>
      </c>
      <c r="K82" s="74">
        <v>839</v>
      </c>
      <c r="L82" s="74">
        <v>656</v>
      </c>
      <c r="M82" s="74">
        <v>355</v>
      </c>
      <c r="N82" s="76" cm="1">
        <f t="array" ref="N82">SUM((H82:L82)/5)</f>
        <v>630.79999999999995</v>
      </c>
      <c r="O82" s="74">
        <v>730</v>
      </c>
      <c r="P82" s="66"/>
      <c r="Q82" s="81">
        <v>49.308</v>
      </c>
      <c r="R82" s="81">
        <v>72.016000000000005</v>
      </c>
      <c r="S82" s="81">
        <v>0.441</v>
      </c>
      <c r="T82" s="81">
        <v>0.441</v>
      </c>
      <c r="U82" s="77">
        <f t="shared" si="10"/>
        <v>292</v>
      </c>
      <c r="V82" s="77">
        <f t="shared" si="11"/>
        <v>438</v>
      </c>
      <c r="W82" s="66"/>
      <c r="X82" s="77">
        <v>15.868</v>
      </c>
      <c r="Y82" s="77">
        <v>27.08324</v>
      </c>
      <c r="Z82" s="79">
        <v>27.08324</v>
      </c>
      <c r="AA82" s="80">
        <f t="shared" si="12"/>
        <v>44.687346000000005</v>
      </c>
      <c r="AB82" s="66"/>
      <c r="AC82" s="81">
        <v>365</v>
      </c>
      <c r="AD82" s="82">
        <f t="shared" si="13"/>
        <v>131.7893</v>
      </c>
      <c r="AE82" s="82">
        <f t="shared" si="14"/>
        <v>144.17600000000002</v>
      </c>
      <c r="AF82" s="82">
        <f t="shared" si="15"/>
        <v>79.08</v>
      </c>
      <c r="AG82" s="82">
        <f t="shared" si="15"/>
        <v>195.73</v>
      </c>
      <c r="AH82" s="114"/>
      <c r="AI82" s="114"/>
      <c r="AJ82" s="83">
        <f t="shared" si="16"/>
        <v>550.77530000000002</v>
      </c>
      <c r="AK82" s="82"/>
      <c r="AL82" s="84"/>
      <c r="AM82" s="66"/>
    </row>
    <row r="83" spans="3:39" ht="60" x14ac:dyDescent="0.3">
      <c r="C83" s="41" t="s">
        <v>180</v>
      </c>
      <c r="D83" s="41" t="s">
        <v>124</v>
      </c>
      <c r="E83" s="42" t="s">
        <v>88</v>
      </c>
      <c r="G83" s="66"/>
      <c r="H83" s="74">
        <v>1081</v>
      </c>
      <c r="I83" s="74">
        <v>1751</v>
      </c>
      <c r="J83" s="74">
        <v>1656</v>
      </c>
      <c r="K83" s="74">
        <v>1635</v>
      </c>
      <c r="L83" s="74">
        <v>1431</v>
      </c>
      <c r="M83" s="74">
        <v>595</v>
      </c>
      <c r="N83" s="76" cm="1">
        <f t="array" ref="N83">SUM((H83:L83)/5)</f>
        <v>1510.8</v>
      </c>
      <c r="O83" s="74">
        <v>1510</v>
      </c>
      <c r="P83" s="66"/>
      <c r="Q83" s="81">
        <v>50.334000000000003</v>
      </c>
      <c r="R83" s="81">
        <v>63.256999999999998</v>
      </c>
      <c r="S83" s="81">
        <v>0.441</v>
      </c>
      <c r="T83" s="81">
        <v>0.441</v>
      </c>
      <c r="U83" s="77">
        <f t="shared" si="10"/>
        <v>604</v>
      </c>
      <c r="V83" s="77">
        <f t="shared" si="11"/>
        <v>906</v>
      </c>
      <c r="W83" s="66"/>
      <c r="X83" s="77" t="s">
        <v>181</v>
      </c>
      <c r="Y83" s="77" t="s">
        <v>182</v>
      </c>
      <c r="Z83" s="79">
        <f>SUM(26.70836+25.07765)/2</f>
        <v>25.893004999999999</v>
      </c>
      <c r="AA83" s="80">
        <f t="shared" si="12"/>
        <v>42.72345825</v>
      </c>
      <c r="AB83" s="66"/>
      <c r="AC83" s="81">
        <v>365</v>
      </c>
      <c r="AD83" s="82">
        <f t="shared" si="13"/>
        <v>115.7603</v>
      </c>
      <c r="AE83" s="82">
        <f t="shared" si="14"/>
        <v>126.64049999999999</v>
      </c>
      <c r="AF83" s="82">
        <f t="shared" si="15"/>
        <v>156.38999999999999</v>
      </c>
      <c r="AG83" s="82">
        <f t="shared" si="15"/>
        <v>387.07</v>
      </c>
      <c r="AH83" s="114"/>
      <c r="AI83" s="114"/>
      <c r="AJ83" s="83">
        <f t="shared" si="16"/>
        <v>785.86079999999993</v>
      </c>
      <c r="AK83" s="82"/>
      <c r="AL83" s="84"/>
      <c r="AM83" s="66"/>
    </row>
    <row r="84" spans="3:39" ht="90" x14ac:dyDescent="0.3">
      <c r="C84" s="41" t="s">
        <v>180</v>
      </c>
      <c r="D84" s="41" t="s">
        <v>124</v>
      </c>
      <c r="E84" s="42" t="s">
        <v>88</v>
      </c>
      <c r="G84" s="66"/>
      <c r="H84" s="74">
        <v>731</v>
      </c>
      <c r="I84" s="74">
        <v>840</v>
      </c>
      <c r="J84" s="74">
        <v>1043</v>
      </c>
      <c r="K84" s="74">
        <v>1024</v>
      </c>
      <c r="L84" s="74">
        <v>1661</v>
      </c>
      <c r="M84" s="74">
        <v>554</v>
      </c>
      <c r="N84" s="76" cm="1">
        <f t="array" ref="N84">SUM((H84:L84)/5)</f>
        <v>1059.8</v>
      </c>
      <c r="O84" s="74">
        <v>1300</v>
      </c>
      <c r="P84" s="66"/>
      <c r="Q84" s="81">
        <v>50.334000000000003</v>
      </c>
      <c r="R84" s="81">
        <v>63.256999999999998</v>
      </c>
      <c r="S84" s="81">
        <v>0.441</v>
      </c>
      <c r="T84" s="81">
        <v>0.441</v>
      </c>
      <c r="U84" s="77">
        <f t="shared" si="10"/>
        <v>520</v>
      </c>
      <c r="V84" s="77">
        <f t="shared" si="11"/>
        <v>780</v>
      </c>
      <c r="W84" s="66"/>
      <c r="X84" s="77" t="s">
        <v>183</v>
      </c>
      <c r="Y84" s="77" t="s">
        <v>184</v>
      </c>
      <c r="Z84" s="79">
        <f>SUM(27.48304+25.05264+25.37103)/3</f>
        <v>25.968903333333333</v>
      </c>
      <c r="AA84" s="80">
        <f t="shared" si="12"/>
        <v>42.848690500000004</v>
      </c>
      <c r="AB84" s="66"/>
      <c r="AC84" s="81">
        <v>365</v>
      </c>
      <c r="AD84" s="82">
        <f t="shared" si="13"/>
        <v>115.7603</v>
      </c>
      <c r="AE84" s="82">
        <f t="shared" si="14"/>
        <v>126.64049999999999</v>
      </c>
      <c r="AF84" s="82">
        <f t="shared" si="15"/>
        <v>135.04</v>
      </c>
      <c r="AG84" s="82">
        <f t="shared" si="15"/>
        <v>334.22</v>
      </c>
      <c r="AH84" s="114"/>
      <c r="AI84" s="114"/>
      <c r="AJ84" s="83">
        <f t="shared" si="16"/>
        <v>711.66079999999999</v>
      </c>
      <c r="AK84" s="82"/>
      <c r="AL84" s="84"/>
      <c r="AM84" s="66"/>
    </row>
    <row r="85" spans="3:39" ht="90" x14ac:dyDescent="0.3">
      <c r="C85" s="41" t="s">
        <v>180</v>
      </c>
      <c r="D85" s="41" t="s">
        <v>124</v>
      </c>
      <c r="E85" s="42" t="s">
        <v>88</v>
      </c>
      <c r="G85" s="66"/>
      <c r="H85" s="74">
        <v>992</v>
      </c>
      <c r="I85" s="74">
        <v>1532</v>
      </c>
      <c r="J85" s="74">
        <v>1529</v>
      </c>
      <c r="K85" s="74">
        <v>1558</v>
      </c>
      <c r="L85" s="74">
        <v>1331</v>
      </c>
      <c r="M85" s="74">
        <v>596</v>
      </c>
      <c r="N85" s="76" cm="1">
        <f t="array" ref="N85">SUM((H85:L85)/5)</f>
        <v>1388.3999999999999</v>
      </c>
      <c r="O85" s="74">
        <v>1400</v>
      </c>
      <c r="P85" s="66"/>
      <c r="Q85" s="81">
        <v>50.334000000000003</v>
      </c>
      <c r="R85" s="81">
        <v>63.256999999999998</v>
      </c>
      <c r="S85" s="81">
        <v>0.441</v>
      </c>
      <c r="T85" s="81">
        <v>0.441</v>
      </c>
      <c r="U85" s="77">
        <f t="shared" si="10"/>
        <v>560</v>
      </c>
      <c r="V85" s="77">
        <f t="shared" si="11"/>
        <v>840</v>
      </c>
      <c r="W85" s="66"/>
      <c r="X85" s="77" t="s">
        <v>185</v>
      </c>
      <c r="Y85" s="77" t="s">
        <v>186</v>
      </c>
      <c r="Z85" s="79">
        <f>SUM(27.41702+24.9875+25.30713)/3</f>
        <v>25.903883333333336</v>
      </c>
      <c r="AA85" s="80">
        <f t="shared" si="12"/>
        <v>42.741407500000008</v>
      </c>
      <c r="AB85" s="66"/>
      <c r="AC85" s="81">
        <v>365</v>
      </c>
      <c r="AD85" s="82">
        <f t="shared" si="13"/>
        <v>115.7603</v>
      </c>
      <c r="AE85" s="82">
        <f t="shared" si="14"/>
        <v>126.64049999999999</v>
      </c>
      <c r="AF85" s="82">
        <f t="shared" si="15"/>
        <v>145.06</v>
      </c>
      <c r="AG85" s="82">
        <f t="shared" si="15"/>
        <v>359.03</v>
      </c>
      <c r="AH85" s="114"/>
      <c r="AI85" s="114"/>
      <c r="AJ85" s="83">
        <f t="shared" si="16"/>
        <v>746.49080000000004</v>
      </c>
      <c r="AK85" s="82"/>
      <c r="AL85" s="84"/>
      <c r="AM85" s="66"/>
    </row>
    <row r="86" spans="3:39" ht="90" x14ac:dyDescent="0.3">
      <c r="C86" s="41" t="s">
        <v>529</v>
      </c>
      <c r="D86" s="41" t="s">
        <v>124</v>
      </c>
      <c r="E86" s="42" t="s">
        <v>88</v>
      </c>
      <c r="G86" s="66"/>
      <c r="H86" s="74">
        <v>790</v>
      </c>
      <c r="I86" s="74">
        <v>751</v>
      </c>
      <c r="J86" s="74">
        <v>728</v>
      </c>
      <c r="K86" s="74">
        <v>698</v>
      </c>
      <c r="L86" s="74">
        <v>647</v>
      </c>
      <c r="M86" s="74">
        <v>291</v>
      </c>
      <c r="N86" s="76" cm="1">
        <f t="array" ref="N86">SUM((H86:L86)/5)</f>
        <v>722.8</v>
      </c>
      <c r="O86" s="74">
        <v>720</v>
      </c>
      <c r="P86" s="66"/>
      <c r="Q86" s="81">
        <v>50.334000000000003</v>
      </c>
      <c r="R86" s="81">
        <v>63.256999999999998</v>
      </c>
      <c r="S86" s="81">
        <v>0.441</v>
      </c>
      <c r="T86" s="81">
        <v>0.441</v>
      </c>
      <c r="U86" s="77">
        <f t="shared" si="10"/>
        <v>288</v>
      </c>
      <c r="V86" s="77">
        <f t="shared" si="11"/>
        <v>432</v>
      </c>
      <c r="W86" s="66"/>
      <c r="X86" s="77" t="s">
        <v>187</v>
      </c>
      <c r="Y86" s="77" t="s">
        <v>188</v>
      </c>
      <c r="Z86" s="79">
        <f>SUM(27.38995+24.95712+25.27654)/3</f>
        <v>25.874536666666668</v>
      </c>
      <c r="AA86" s="80">
        <f t="shared" si="12"/>
        <v>42.692985500000006</v>
      </c>
      <c r="AB86" s="66"/>
      <c r="AC86" s="81">
        <v>365</v>
      </c>
      <c r="AD86" s="82">
        <f t="shared" si="13"/>
        <v>115.7603</v>
      </c>
      <c r="AE86" s="82">
        <f t="shared" si="14"/>
        <v>126.64049999999999</v>
      </c>
      <c r="AF86" s="82">
        <f t="shared" si="15"/>
        <v>74.52</v>
      </c>
      <c r="AG86" s="82">
        <f t="shared" si="15"/>
        <v>184.43</v>
      </c>
      <c r="AH86" s="114"/>
      <c r="AI86" s="114"/>
      <c r="AJ86" s="83">
        <f t="shared" si="16"/>
        <v>501.35079999999999</v>
      </c>
      <c r="AK86" s="82"/>
      <c r="AL86" s="84"/>
      <c r="AM86" s="66"/>
    </row>
    <row r="87" spans="3:39" ht="90" x14ac:dyDescent="0.3">
      <c r="C87" s="41" t="s">
        <v>530</v>
      </c>
      <c r="D87" s="41" t="s">
        <v>124</v>
      </c>
      <c r="E87" s="42" t="s">
        <v>88</v>
      </c>
      <c r="G87" s="66"/>
      <c r="H87" s="74">
        <v>1616</v>
      </c>
      <c r="I87" s="74">
        <v>1936</v>
      </c>
      <c r="J87" s="74">
        <v>1639</v>
      </c>
      <c r="K87" s="74">
        <v>1559</v>
      </c>
      <c r="L87" s="74">
        <v>2005</v>
      </c>
      <c r="M87" s="74">
        <v>854</v>
      </c>
      <c r="N87" s="76" cm="1">
        <f t="array" ref="N87">SUM((H87:L87)/5)</f>
        <v>1751</v>
      </c>
      <c r="O87" s="74">
        <v>1750</v>
      </c>
      <c r="P87" s="66"/>
      <c r="Q87" s="81">
        <v>50.334000000000003</v>
      </c>
      <c r="R87" s="81">
        <v>63.256999999999998</v>
      </c>
      <c r="S87" s="81">
        <v>0.441</v>
      </c>
      <c r="T87" s="81">
        <v>0.441</v>
      </c>
      <c r="U87" s="77">
        <f t="shared" si="10"/>
        <v>700</v>
      </c>
      <c r="V87" s="77">
        <f t="shared" si="11"/>
        <v>1050</v>
      </c>
      <c r="W87" s="66"/>
      <c r="X87" s="77" t="s">
        <v>187</v>
      </c>
      <c r="Y87" s="77" t="s">
        <v>189</v>
      </c>
      <c r="Z87" s="79">
        <f>SUM(27.47077+25.04083+25.36048)/3</f>
        <v>25.957359999999998</v>
      </c>
      <c r="AA87" s="80">
        <f t="shared" si="12"/>
        <v>42.829644000000002</v>
      </c>
      <c r="AB87" s="66"/>
      <c r="AC87" s="81">
        <v>365</v>
      </c>
      <c r="AD87" s="82">
        <f t="shared" si="13"/>
        <v>115.7603</v>
      </c>
      <c r="AE87" s="82">
        <f t="shared" si="14"/>
        <v>126.64049999999999</v>
      </c>
      <c r="AF87" s="82">
        <f t="shared" si="15"/>
        <v>181.7</v>
      </c>
      <c r="AG87" s="82">
        <f t="shared" si="15"/>
        <v>449.71</v>
      </c>
      <c r="AH87" s="114"/>
      <c r="AI87" s="114"/>
      <c r="AJ87" s="83">
        <f t="shared" si="16"/>
        <v>873.81079999999997</v>
      </c>
      <c r="AK87" s="82"/>
      <c r="AL87" s="84"/>
      <c r="AM87" s="66"/>
    </row>
    <row r="88" spans="3:39" ht="15.6" x14ac:dyDescent="0.3">
      <c r="C88" s="41" t="s">
        <v>530</v>
      </c>
      <c r="D88" s="41" t="s">
        <v>124</v>
      </c>
      <c r="E88" s="42" t="s">
        <v>88</v>
      </c>
      <c r="G88" s="66"/>
      <c r="H88" s="74">
        <v>1468</v>
      </c>
      <c r="I88" s="74">
        <v>824</v>
      </c>
      <c r="J88" s="74">
        <v>492</v>
      </c>
      <c r="K88" s="74">
        <v>478</v>
      </c>
      <c r="L88" s="74">
        <v>351</v>
      </c>
      <c r="M88" s="74">
        <v>272</v>
      </c>
      <c r="N88" s="76" cm="1">
        <f t="array" ref="N88">SUM((H88:L88)/5)</f>
        <v>722.60000000000014</v>
      </c>
      <c r="O88" s="74">
        <v>700</v>
      </c>
      <c r="P88" s="66"/>
      <c r="Q88" s="81">
        <v>49.308</v>
      </c>
      <c r="R88" s="81">
        <v>72.016000000000005</v>
      </c>
      <c r="S88" s="81">
        <v>0.441</v>
      </c>
      <c r="T88" s="81">
        <v>0.441</v>
      </c>
      <c r="U88" s="77">
        <f t="shared" si="10"/>
        <v>280</v>
      </c>
      <c r="V88" s="77">
        <f t="shared" si="11"/>
        <v>420</v>
      </c>
      <c r="W88" s="66"/>
      <c r="X88" s="77">
        <v>15.868</v>
      </c>
      <c r="Y88" s="77">
        <v>27.083390000000001</v>
      </c>
      <c r="Z88" s="79">
        <v>27.083390000000001</v>
      </c>
      <c r="AA88" s="80">
        <f t="shared" si="12"/>
        <v>44.687593500000006</v>
      </c>
      <c r="AB88" s="66"/>
      <c r="AC88" s="81">
        <v>365</v>
      </c>
      <c r="AD88" s="82">
        <f t="shared" si="13"/>
        <v>131.7893</v>
      </c>
      <c r="AE88" s="82">
        <f t="shared" si="14"/>
        <v>144.17600000000002</v>
      </c>
      <c r="AF88" s="82">
        <f t="shared" si="15"/>
        <v>75.83</v>
      </c>
      <c r="AG88" s="82">
        <f t="shared" si="15"/>
        <v>187.69</v>
      </c>
      <c r="AH88" s="114"/>
      <c r="AI88" s="114"/>
      <c r="AJ88" s="83">
        <f t="shared" si="16"/>
        <v>539.48530000000005</v>
      </c>
      <c r="AK88" s="82"/>
      <c r="AL88" s="84"/>
      <c r="AM88" s="66"/>
    </row>
    <row r="89" spans="3:39" ht="90" x14ac:dyDescent="0.3">
      <c r="C89" s="41" t="s">
        <v>530</v>
      </c>
      <c r="D89" s="41" t="s">
        <v>124</v>
      </c>
      <c r="E89" s="42" t="s">
        <v>88</v>
      </c>
      <c r="G89" s="66"/>
      <c r="H89" s="74">
        <v>1720</v>
      </c>
      <c r="I89" s="74">
        <v>1875</v>
      </c>
      <c r="J89" s="74">
        <v>1235</v>
      </c>
      <c r="K89" s="74">
        <v>899</v>
      </c>
      <c r="L89" s="74">
        <v>1412</v>
      </c>
      <c r="M89" s="74">
        <v>1259</v>
      </c>
      <c r="N89" s="76" cm="1">
        <f t="array" ref="N89">SUM((H89:L89)/5)</f>
        <v>1428.1999999999998</v>
      </c>
      <c r="O89" s="74">
        <v>1420</v>
      </c>
      <c r="P89" s="66"/>
      <c r="Q89" s="81">
        <v>50.334000000000003</v>
      </c>
      <c r="R89" s="81">
        <v>63.256999999999998</v>
      </c>
      <c r="S89" s="81">
        <v>0.441</v>
      </c>
      <c r="T89" s="81">
        <v>0.441</v>
      </c>
      <c r="U89" s="77">
        <f t="shared" si="10"/>
        <v>568</v>
      </c>
      <c r="V89" s="77">
        <f t="shared" si="11"/>
        <v>852</v>
      </c>
      <c r="W89" s="66"/>
      <c r="X89" s="77" t="s">
        <v>190</v>
      </c>
      <c r="Y89" s="77" t="s">
        <v>191</v>
      </c>
      <c r="Z89" s="79">
        <f>SUM(27.47974+25.05006+23.36915)/3</f>
        <v>25.29965</v>
      </c>
      <c r="AA89" s="80">
        <f t="shared" si="12"/>
        <v>41.744422499999999</v>
      </c>
      <c r="AB89" s="66"/>
      <c r="AC89" s="81">
        <v>365</v>
      </c>
      <c r="AD89" s="82">
        <f t="shared" si="13"/>
        <v>115.7603</v>
      </c>
      <c r="AE89" s="82">
        <f t="shared" si="14"/>
        <v>126.64049999999999</v>
      </c>
      <c r="AF89" s="82">
        <f t="shared" si="15"/>
        <v>143.69999999999999</v>
      </c>
      <c r="AG89" s="82">
        <f t="shared" si="15"/>
        <v>355.66</v>
      </c>
      <c r="AH89" s="114"/>
      <c r="AI89" s="114"/>
      <c r="AJ89" s="83">
        <f t="shared" si="16"/>
        <v>741.76080000000002</v>
      </c>
      <c r="AK89" s="82"/>
      <c r="AL89" s="84"/>
      <c r="AM89" s="66"/>
    </row>
    <row r="90" spans="3:39" ht="15.6" x14ac:dyDescent="0.3">
      <c r="C90" s="41" t="s">
        <v>530</v>
      </c>
      <c r="D90" s="41" t="s">
        <v>124</v>
      </c>
      <c r="E90" s="42" t="s">
        <v>88</v>
      </c>
      <c r="G90" s="66"/>
      <c r="H90" s="74">
        <v>1554</v>
      </c>
      <c r="I90" s="74">
        <v>1752</v>
      </c>
      <c r="J90" s="74">
        <v>1888</v>
      </c>
      <c r="K90" s="74">
        <v>2027</v>
      </c>
      <c r="L90" s="74">
        <v>1602</v>
      </c>
      <c r="M90" s="74">
        <v>1058</v>
      </c>
      <c r="N90" s="76" cm="1">
        <f t="array" ref="N90">SUM((H90:L90)/5)</f>
        <v>1764.6000000000004</v>
      </c>
      <c r="O90" s="74">
        <v>1770</v>
      </c>
      <c r="P90" s="66"/>
      <c r="Q90" s="81">
        <v>49.308</v>
      </c>
      <c r="R90" s="81">
        <v>72.016000000000005</v>
      </c>
      <c r="S90" s="81">
        <v>0.441</v>
      </c>
      <c r="T90" s="81">
        <v>0.441</v>
      </c>
      <c r="U90" s="77">
        <f t="shared" si="10"/>
        <v>708</v>
      </c>
      <c r="V90" s="77">
        <f t="shared" si="11"/>
        <v>1062</v>
      </c>
      <c r="W90" s="66"/>
      <c r="X90" s="77">
        <v>15.868</v>
      </c>
      <c r="Y90" s="77">
        <v>27.082609999999999</v>
      </c>
      <c r="Z90" s="79">
        <v>27.082609999999999</v>
      </c>
      <c r="AA90" s="80">
        <f t="shared" si="12"/>
        <v>44.686306500000001</v>
      </c>
      <c r="AB90" s="66"/>
      <c r="AC90" s="81">
        <v>365</v>
      </c>
      <c r="AD90" s="82">
        <f t="shared" si="13"/>
        <v>131.7893</v>
      </c>
      <c r="AE90" s="82">
        <f t="shared" si="14"/>
        <v>144.17600000000002</v>
      </c>
      <c r="AF90" s="82">
        <f t="shared" si="15"/>
        <v>191.74</v>
      </c>
      <c r="AG90" s="82">
        <f t="shared" si="15"/>
        <v>474.57</v>
      </c>
      <c r="AH90" s="114"/>
      <c r="AI90" s="114"/>
      <c r="AJ90" s="83">
        <f t="shared" si="16"/>
        <v>942.27530000000002</v>
      </c>
      <c r="AK90" s="82"/>
      <c r="AL90" s="84"/>
      <c r="AM90" s="66"/>
    </row>
    <row r="91" spans="3:39" ht="15.6" x14ac:dyDescent="0.3">
      <c r="C91" s="41" t="s">
        <v>531</v>
      </c>
      <c r="D91" s="41" t="s">
        <v>124</v>
      </c>
      <c r="E91" s="42" t="s">
        <v>88</v>
      </c>
      <c r="G91" s="66"/>
      <c r="H91" s="74">
        <v>2194</v>
      </c>
      <c r="I91" s="74">
        <v>1997</v>
      </c>
      <c r="J91" s="74">
        <v>1532</v>
      </c>
      <c r="K91" s="74">
        <v>1818</v>
      </c>
      <c r="L91" s="74">
        <v>1632</v>
      </c>
      <c r="M91" s="74">
        <v>1185</v>
      </c>
      <c r="N91" s="76" cm="1">
        <f t="array" ref="N91">SUM((H91:L91)/5)</f>
        <v>1834.6</v>
      </c>
      <c r="O91" s="74">
        <v>1835</v>
      </c>
      <c r="P91" s="66"/>
      <c r="Q91" s="81">
        <v>49.828000000000003</v>
      </c>
      <c r="R91" s="81">
        <v>63.256999999999998</v>
      </c>
      <c r="S91" s="81">
        <v>0.441</v>
      </c>
      <c r="T91" s="81">
        <v>0.441</v>
      </c>
      <c r="U91" s="77">
        <f t="shared" si="10"/>
        <v>734</v>
      </c>
      <c r="V91" s="77">
        <f t="shared" si="11"/>
        <v>1101</v>
      </c>
      <c r="W91" s="66"/>
      <c r="X91" s="77">
        <v>15.061999999999999</v>
      </c>
      <c r="Y91" s="77">
        <v>26.506270000000001</v>
      </c>
      <c r="Z91" s="79">
        <v>26.506270000000001</v>
      </c>
      <c r="AA91" s="80">
        <f t="shared" si="12"/>
        <v>43.735345500000001</v>
      </c>
      <c r="AB91" s="66"/>
      <c r="AC91" s="81">
        <v>365</v>
      </c>
      <c r="AD91" s="82">
        <f t="shared" si="13"/>
        <v>115.7603</v>
      </c>
      <c r="AE91" s="82">
        <f t="shared" si="14"/>
        <v>126.64049999999999</v>
      </c>
      <c r="AF91" s="82">
        <f t="shared" si="15"/>
        <v>194.56</v>
      </c>
      <c r="AG91" s="82">
        <f t="shared" si="15"/>
        <v>481.53</v>
      </c>
      <c r="AH91" s="114"/>
      <c r="AI91" s="114"/>
      <c r="AJ91" s="83">
        <f t="shared" si="16"/>
        <v>918.49080000000004</v>
      </c>
      <c r="AK91" s="82"/>
      <c r="AL91" s="84"/>
      <c r="AM91" s="66"/>
    </row>
    <row r="92" spans="3:39" ht="60" x14ac:dyDescent="0.3">
      <c r="C92" s="41" t="s">
        <v>532</v>
      </c>
      <c r="D92" s="41" t="s">
        <v>124</v>
      </c>
      <c r="E92" s="42" t="s">
        <v>88</v>
      </c>
      <c r="G92" s="66"/>
      <c r="H92" s="74">
        <v>1557</v>
      </c>
      <c r="I92" s="74">
        <v>1521</v>
      </c>
      <c r="J92" s="74">
        <v>1624</v>
      </c>
      <c r="K92" s="74">
        <v>1732</v>
      </c>
      <c r="L92" s="74">
        <v>1293</v>
      </c>
      <c r="M92" s="74">
        <v>777</v>
      </c>
      <c r="N92" s="76" cm="1">
        <f t="array" ref="N92">SUM((H92:L92)/5)</f>
        <v>1545.3999999999996</v>
      </c>
      <c r="O92" s="74">
        <v>1545</v>
      </c>
      <c r="P92" s="66"/>
      <c r="Q92" s="81">
        <v>50.334000000000003</v>
      </c>
      <c r="R92" s="81">
        <v>63.256999999999998</v>
      </c>
      <c r="S92" s="81">
        <v>0.441</v>
      </c>
      <c r="T92" s="81">
        <v>0.441</v>
      </c>
      <c r="U92" s="77">
        <f t="shared" si="10"/>
        <v>618</v>
      </c>
      <c r="V92" s="77">
        <f t="shared" si="11"/>
        <v>927</v>
      </c>
      <c r="W92" s="66"/>
      <c r="X92" s="77" t="s">
        <v>171</v>
      </c>
      <c r="Y92" s="77" t="s">
        <v>192</v>
      </c>
      <c r="Z92" s="79">
        <f>SUM(26.72709+25.09636)/2</f>
        <v>25.911725000000001</v>
      </c>
      <c r="AA92" s="80">
        <f t="shared" si="12"/>
        <v>42.754346249999998</v>
      </c>
      <c r="AB92" s="66"/>
      <c r="AC92" s="81">
        <v>365</v>
      </c>
      <c r="AD92" s="82">
        <f t="shared" si="13"/>
        <v>115.7603</v>
      </c>
      <c r="AE92" s="82">
        <f t="shared" si="14"/>
        <v>126.64049999999999</v>
      </c>
      <c r="AF92" s="82">
        <f t="shared" si="15"/>
        <v>160.13</v>
      </c>
      <c r="AG92" s="82">
        <f t="shared" si="15"/>
        <v>396.33</v>
      </c>
      <c r="AH92" s="114"/>
      <c r="AI92" s="114"/>
      <c r="AJ92" s="83">
        <f t="shared" si="16"/>
        <v>798.86079999999993</v>
      </c>
      <c r="AK92" s="82"/>
      <c r="AL92" s="84"/>
      <c r="AM92" s="66"/>
    </row>
    <row r="93" spans="3:39" ht="90" x14ac:dyDescent="0.3">
      <c r="C93" s="41" t="s">
        <v>533</v>
      </c>
      <c r="D93" s="41" t="s">
        <v>124</v>
      </c>
      <c r="E93" s="42" t="s">
        <v>88</v>
      </c>
      <c r="G93" s="66"/>
      <c r="H93" s="74">
        <v>3202</v>
      </c>
      <c r="I93" s="74">
        <v>2812</v>
      </c>
      <c r="J93" s="74">
        <v>2276</v>
      </c>
      <c r="K93" s="74">
        <v>2264</v>
      </c>
      <c r="L93" s="74">
        <v>1791</v>
      </c>
      <c r="M93" s="74">
        <v>1001</v>
      </c>
      <c r="N93" s="76" cm="1">
        <f t="array" ref="N93">SUM((H93:L93)/5)</f>
        <v>2469</v>
      </c>
      <c r="O93" s="74">
        <v>2450</v>
      </c>
      <c r="P93" s="66"/>
      <c r="Q93" s="81">
        <v>50.334000000000003</v>
      </c>
      <c r="R93" s="81">
        <v>63.256999999999998</v>
      </c>
      <c r="S93" s="81">
        <v>0.441</v>
      </c>
      <c r="T93" s="81">
        <v>0.441</v>
      </c>
      <c r="U93" s="77">
        <f t="shared" si="10"/>
        <v>980</v>
      </c>
      <c r="V93" s="77">
        <f t="shared" si="11"/>
        <v>1470</v>
      </c>
      <c r="W93" s="66"/>
      <c r="X93" s="77" t="s">
        <v>185</v>
      </c>
      <c r="Y93" s="77" t="s">
        <v>193</v>
      </c>
      <c r="Z93" s="79">
        <f>SUM(27.47312+25.04395+25.36357)/3</f>
        <v>25.960213333333332</v>
      </c>
      <c r="AA93" s="80">
        <f t="shared" si="12"/>
        <v>42.834351999999996</v>
      </c>
      <c r="AB93" s="66"/>
      <c r="AC93" s="81">
        <v>365</v>
      </c>
      <c r="AD93" s="82">
        <f t="shared" si="13"/>
        <v>115.7603</v>
      </c>
      <c r="AE93" s="82">
        <f t="shared" si="14"/>
        <v>126.64049999999999</v>
      </c>
      <c r="AF93" s="82">
        <f t="shared" si="15"/>
        <v>254.41</v>
      </c>
      <c r="AG93" s="82">
        <f t="shared" si="15"/>
        <v>629.66</v>
      </c>
      <c r="AH93" s="114"/>
      <c r="AI93" s="114"/>
      <c r="AJ93" s="83">
        <f t="shared" si="16"/>
        <v>1126.4708000000001</v>
      </c>
      <c r="AK93" s="82"/>
      <c r="AL93" s="84"/>
      <c r="AM93" s="66"/>
    </row>
    <row r="94" spans="3:39" ht="90" x14ac:dyDescent="0.3">
      <c r="C94" s="41" t="s">
        <v>533</v>
      </c>
      <c r="D94" s="41" t="s">
        <v>124</v>
      </c>
      <c r="E94" s="42" t="s">
        <v>88</v>
      </c>
      <c r="G94" s="66"/>
      <c r="H94" s="74">
        <v>1194</v>
      </c>
      <c r="I94" s="74">
        <v>2866</v>
      </c>
      <c r="J94" s="74">
        <v>4038</v>
      </c>
      <c r="K94" s="74">
        <v>2813</v>
      </c>
      <c r="L94" s="74">
        <v>2941</v>
      </c>
      <c r="M94" s="74">
        <v>1561</v>
      </c>
      <c r="N94" s="76" cm="1">
        <f t="array" ref="N94">SUM((H94:L94)/5)</f>
        <v>2770.3999999999996</v>
      </c>
      <c r="O94" s="74">
        <v>2770</v>
      </c>
      <c r="P94" s="66"/>
      <c r="Q94" s="77">
        <v>50.334000000000003</v>
      </c>
      <c r="R94" s="77">
        <v>63.256999999999998</v>
      </c>
      <c r="S94" s="77">
        <v>0.441</v>
      </c>
      <c r="T94" s="77">
        <v>0.441</v>
      </c>
      <c r="U94" s="77">
        <f t="shared" si="10"/>
        <v>1108</v>
      </c>
      <c r="V94" s="77">
        <f t="shared" si="11"/>
        <v>1662</v>
      </c>
      <c r="W94" s="66"/>
      <c r="X94" s="77" t="s">
        <v>194</v>
      </c>
      <c r="Y94" s="77" t="s">
        <v>195</v>
      </c>
      <c r="Z94" s="79">
        <f>SUM(27.45641+25.02647+25.3456)/3</f>
        <v>25.942826666666665</v>
      </c>
      <c r="AA94" s="80">
        <f t="shared" si="12"/>
        <v>42.805663999999993</v>
      </c>
      <c r="AB94" s="66"/>
      <c r="AC94" s="81">
        <v>365</v>
      </c>
      <c r="AD94" s="82">
        <f t="shared" si="13"/>
        <v>115.7603</v>
      </c>
      <c r="AE94" s="82">
        <f t="shared" si="14"/>
        <v>126.64049999999999</v>
      </c>
      <c r="AF94" s="82">
        <f t="shared" si="15"/>
        <v>287.45</v>
      </c>
      <c r="AG94" s="82">
        <f t="shared" si="15"/>
        <v>711.43</v>
      </c>
      <c r="AH94" s="114"/>
      <c r="AI94" s="114"/>
      <c r="AJ94" s="83">
        <f t="shared" si="16"/>
        <v>1241.2808</v>
      </c>
      <c r="AK94" s="82"/>
      <c r="AL94" s="84"/>
      <c r="AM94" s="66"/>
    </row>
    <row r="95" spans="3:39" ht="90" x14ac:dyDescent="0.3">
      <c r="C95" s="41" t="s">
        <v>534</v>
      </c>
      <c r="D95" s="41" t="s">
        <v>124</v>
      </c>
      <c r="E95" s="42" t="s">
        <v>88</v>
      </c>
      <c r="G95" s="66"/>
      <c r="H95" s="74">
        <v>1680</v>
      </c>
      <c r="I95" s="74">
        <v>1578</v>
      </c>
      <c r="J95" s="74">
        <v>1601</v>
      </c>
      <c r="K95" s="74">
        <v>1635</v>
      </c>
      <c r="L95" s="74">
        <v>1263</v>
      </c>
      <c r="M95" s="74">
        <v>756</v>
      </c>
      <c r="N95" s="76" cm="1">
        <f t="array" ref="N95">SUM((H95:L95)/5)</f>
        <v>1551.3999999999999</v>
      </c>
      <c r="O95" s="74">
        <v>1550</v>
      </c>
      <c r="P95" s="66"/>
      <c r="Q95" s="77">
        <v>50.334000000000003</v>
      </c>
      <c r="R95" s="77">
        <v>63.256999999999998</v>
      </c>
      <c r="S95" s="77">
        <v>0.441</v>
      </c>
      <c r="T95" s="77">
        <v>0.441</v>
      </c>
      <c r="U95" s="77">
        <f t="shared" si="10"/>
        <v>620</v>
      </c>
      <c r="V95" s="77">
        <f t="shared" si="11"/>
        <v>930</v>
      </c>
      <c r="W95" s="66"/>
      <c r="X95" s="77" t="s">
        <v>196</v>
      </c>
      <c r="Y95" s="77" t="s">
        <v>197</v>
      </c>
      <c r="Z95" s="79">
        <f>SUM(27.45618+25.02723+25.34619)/3</f>
        <v>25.943200000000001</v>
      </c>
      <c r="AA95" s="80">
        <f t="shared" si="12"/>
        <v>42.806280000000001</v>
      </c>
      <c r="AB95" s="66"/>
      <c r="AC95" s="81">
        <v>365</v>
      </c>
      <c r="AD95" s="82">
        <f t="shared" si="13"/>
        <v>115.7603</v>
      </c>
      <c r="AE95" s="82">
        <f t="shared" si="14"/>
        <v>126.64049999999999</v>
      </c>
      <c r="AF95" s="82">
        <f t="shared" si="15"/>
        <v>160.85</v>
      </c>
      <c r="AG95" s="82">
        <f t="shared" si="15"/>
        <v>398.1</v>
      </c>
      <c r="AH95" s="114"/>
      <c r="AI95" s="114"/>
      <c r="AJ95" s="83">
        <f t="shared" si="16"/>
        <v>801.35080000000005</v>
      </c>
      <c r="AK95" s="82"/>
      <c r="AL95" s="84"/>
      <c r="AM95" s="66"/>
    </row>
    <row r="96" spans="3:39" ht="90" x14ac:dyDescent="0.3">
      <c r="C96" s="41" t="s">
        <v>534</v>
      </c>
      <c r="D96" s="41" t="s">
        <v>124</v>
      </c>
      <c r="E96" s="42" t="s">
        <v>88</v>
      </c>
      <c r="G96" s="66"/>
      <c r="H96" s="74">
        <v>2260</v>
      </c>
      <c r="I96" s="74">
        <v>2406</v>
      </c>
      <c r="J96" s="74">
        <v>2153</v>
      </c>
      <c r="K96" s="74">
        <v>2215</v>
      </c>
      <c r="L96" s="74">
        <v>1710</v>
      </c>
      <c r="M96" s="74">
        <v>888</v>
      </c>
      <c r="N96" s="76" cm="1">
        <f t="array" ref="N96">SUM((H96:L96)/5)</f>
        <v>2148.8000000000002</v>
      </c>
      <c r="O96" s="74">
        <v>2150</v>
      </c>
      <c r="P96" s="66"/>
      <c r="Q96" s="77">
        <v>50.334000000000003</v>
      </c>
      <c r="R96" s="77">
        <v>63.256999999999998</v>
      </c>
      <c r="S96" s="77">
        <v>0.441</v>
      </c>
      <c r="T96" s="77">
        <v>0.441</v>
      </c>
      <c r="U96" s="77">
        <f t="shared" si="10"/>
        <v>860</v>
      </c>
      <c r="V96" s="77">
        <f t="shared" si="11"/>
        <v>1290</v>
      </c>
      <c r="W96" s="66"/>
      <c r="X96" s="77" t="s">
        <v>185</v>
      </c>
      <c r="Y96" s="77" t="s">
        <v>198</v>
      </c>
      <c r="Z96" s="79">
        <f>SUM(27.36322+24.9346+25.25356)/3</f>
        <v>25.850459999999998</v>
      </c>
      <c r="AA96" s="80">
        <f t="shared" si="12"/>
        <v>42.653258999999998</v>
      </c>
      <c r="AB96" s="66"/>
      <c r="AC96" s="81">
        <v>365</v>
      </c>
      <c r="AD96" s="82">
        <f t="shared" si="13"/>
        <v>115.7603</v>
      </c>
      <c r="AE96" s="82">
        <f t="shared" si="14"/>
        <v>126.64049999999999</v>
      </c>
      <c r="AF96" s="82">
        <f t="shared" si="15"/>
        <v>222.31</v>
      </c>
      <c r="AG96" s="82">
        <f t="shared" si="15"/>
        <v>550.23</v>
      </c>
      <c r="AH96" s="114"/>
      <c r="AI96" s="114"/>
      <c r="AJ96" s="83">
        <f t="shared" si="16"/>
        <v>1014.9408000000001</v>
      </c>
      <c r="AK96" s="82"/>
      <c r="AL96" s="84"/>
      <c r="AM96" s="66"/>
    </row>
    <row r="97" spans="3:39" ht="15.6" x14ac:dyDescent="0.3">
      <c r="C97" s="41" t="s">
        <v>535</v>
      </c>
      <c r="D97" s="41" t="s">
        <v>124</v>
      </c>
      <c r="E97" s="42" t="s">
        <v>88</v>
      </c>
      <c r="G97" s="66"/>
      <c r="H97" s="74">
        <v>618</v>
      </c>
      <c r="I97" s="74">
        <v>1050</v>
      </c>
      <c r="J97" s="74">
        <v>842</v>
      </c>
      <c r="K97" s="74">
        <v>944</v>
      </c>
      <c r="L97" s="74">
        <v>884</v>
      </c>
      <c r="M97" s="74">
        <v>423</v>
      </c>
      <c r="N97" s="76" cm="1">
        <f t="array" ref="N97">SUM((H97:L97)/5)</f>
        <v>867.59999999999991</v>
      </c>
      <c r="O97" s="74">
        <v>870</v>
      </c>
      <c r="P97" s="66"/>
      <c r="Q97" s="77">
        <v>49.828000000000003</v>
      </c>
      <c r="R97" s="77">
        <v>63.256999999999998</v>
      </c>
      <c r="S97" s="77">
        <v>0.441</v>
      </c>
      <c r="T97" s="77">
        <v>0.441</v>
      </c>
      <c r="U97" s="77">
        <f t="shared" si="10"/>
        <v>348</v>
      </c>
      <c r="V97" s="77">
        <f t="shared" si="11"/>
        <v>522</v>
      </c>
      <c r="W97" s="66"/>
      <c r="X97" s="77">
        <v>15.061999999999999</v>
      </c>
      <c r="Y97" s="77">
        <v>26.506799999999998</v>
      </c>
      <c r="Z97" s="79">
        <v>26.506799999999998</v>
      </c>
      <c r="AA97" s="80">
        <f t="shared" si="12"/>
        <v>43.736220000000003</v>
      </c>
      <c r="AB97" s="66"/>
      <c r="AC97" s="81">
        <v>365</v>
      </c>
      <c r="AD97" s="82">
        <f t="shared" si="13"/>
        <v>115.7603</v>
      </c>
      <c r="AE97" s="82">
        <f t="shared" si="14"/>
        <v>126.64049999999999</v>
      </c>
      <c r="AF97" s="82">
        <f t="shared" si="15"/>
        <v>92.24</v>
      </c>
      <c r="AG97" s="82">
        <f t="shared" si="15"/>
        <v>228.3</v>
      </c>
      <c r="AH97" s="114"/>
      <c r="AI97" s="114"/>
      <c r="AJ97" s="83">
        <f t="shared" si="16"/>
        <v>562.94080000000008</v>
      </c>
      <c r="AK97" s="82"/>
      <c r="AL97" s="84"/>
      <c r="AM97" s="66"/>
    </row>
    <row r="98" spans="3:39" ht="60" x14ac:dyDescent="0.3">
      <c r="C98" s="41" t="s">
        <v>199</v>
      </c>
      <c r="D98" s="41" t="s">
        <v>124</v>
      </c>
      <c r="E98" s="42" t="s">
        <v>88</v>
      </c>
      <c r="G98" s="66"/>
      <c r="H98" s="74">
        <v>684</v>
      </c>
      <c r="I98" s="74">
        <v>859</v>
      </c>
      <c r="J98" s="74">
        <v>1325</v>
      </c>
      <c r="K98" s="74">
        <v>1466</v>
      </c>
      <c r="L98" s="74">
        <v>1401</v>
      </c>
      <c r="M98" s="74">
        <v>775</v>
      </c>
      <c r="N98" s="76" cm="1">
        <f t="array" ref="N98">SUM((H98:L98)/5)</f>
        <v>1147</v>
      </c>
      <c r="O98" s="74">
        <v>1430</v>
      </c>
      <c r="P98" s="66"/>
      <c r="Q98" s="77">
        <v>49.325000000000003</v>
      </c>
      <c r="R98" s="77">
        <v>72.016000000000005</v>
      </c>
      <c r="S98" s="77">
        <v>0.441</v>
      </c>
      <c r="T98" s="77">
        <v>0.441</v>
      </c>
      <c r="U98" s="77">
        <f t="shared" si="10"/>
        <v>572</v>
      </c>
      <c r="V98" s="77">
        <f t="shared" si="11"/>
        <v>858</v>
      </c>
      <c r="W98" s="66"/>
      <c r="X98" s="77" t="s">
        <v>200</v>
      </c>
      <c r="Y98" s="77" t="s">
        <v>201</v>
      </c>
      <c r="Z98" s="79">
        <f>SUM(27.018191+25.05432)/2</f>
        <v>26.036255500000003</v>
      </c>
      <c r="AA98" s="80">
        <f t="shared" si="12"/>
        <v>42.959821575000007</v>
      </c>
      <c r="AB98" s="66"/>
      <c r="AC98" s="81">
        <v>365</v>
      </c>
      <c r="AD98" s="82">
        <f t="shared" si="13"/>
        <v>131.7893</v>
      </c>
      <c r="AE98" s="82">
        <f t="shared" si="14"/>
        <v>144.17600000000002</v>
      </c>
      <c r="AF98" s="82">
        <f t="shared" si="15"/>
        <v>148.93</v>
      </c>
      <c r="AG98" s="82">
        <f t="shared" si="15"/>
        <v>368.6</v>
      </c>
      <c r="AH98" s="114"/>
      <c r="AI98" s="114"/>
      <c r="AJ98" s="83">
        <f t="shared" si="16"/>
        <v>793.49530000000004</v>
      </c>
      <c r="AK98" s="82"/>
      <c r="AL98" s="84"/>
      <c r="AM98" s="66"/>
    </row>
    <row r="99" spans="3:39" ht="15.6" x14ac:dyDescent="0.3">
      <c r="C99" s="41" t="s">
        <v>536</v>
      </c>
      <c r="D99" s="41" t="s">
        <v>124</v>
      </c>
      <c r="E99" s="42" t="s">
        <v>88</v>
      </c>
      <c r="G99" s="66"/>
      <c r="H99" s="74">
        <v>405</v>
      </c>
      <c r="I99" s="74">
        <v>289</v>
      </c>
      <c r="J99" s="74">
        <v>320</v>
      </c>
      <c r="K99" s="74">
        <v>301</v>
      </c>
      <c r="L99" s="74">
        <v>265</v>
      </c>
      <c r="M99" s="74">
        <v>118</v>
      </c>
      <c r="N99" s="76" cm="1">
        <f t="array" ref="N99">SUM((H99:L99)/5)</f>
        <v>316</v>
      </c>
      <c r="O99" s="74">
        <v>320</v>
      </c>
      <c r="P99" s="66"/>
      <c r="Q99" s="77">
        <v>49.308</v>
      </c>
      <c r="R99" s="77">
        <v>72.016000000000005</v>
      </c>
      <c r="S99" s="77">
        <v>0.441</v>
      </c>
      <c r="T99" s="77">
        <v>0.441</v>
      </c>
      <c r="U99" s="77">
        <f t="shared" si="10"/>
        <v>128</v>
      </c>
      <c r="V99" s="77">
        <f t="shared" si="11"/>
        <v>192</v>
      </c>
      <c r="W99" s="66"/>
      <c r="X99" s="77">
        <v>15.868</v>
      </c>
      <c r="Y99" s="77">
        <v>27.08371</v>
      </c>
      <c r="Z99" s="79">
        <v>27.08371</v>
      </c>
      <c r="AA99" s="80">
        <f t="shared" si="12"/>
        <v>44.688121500000001</v>
      </c>
      <c r="AB99" s="66"/>
      <c r="AC99" s="81">
        <v>365</v>
      </c>
      <c r="AD99" s="82">
        <f t="shared" si="13"/>
        <v>131.7893</v>
      </c>
      <c r="AE99" s="82">
        <f t="shared" si="14"/>
        <v>144.17600000000002</v>
      </c>
      <c r="AF99" s="82">
        <f t="shared" si="15"/>
        <v>34.67</v>
      </c>
      <c r="AG99" s="82">
        <f t="shared" si="15"/>
        <v>85.8</v>
      </c>
      <c r="AH99" s="114"/>
      <c r="AI99" s="114"/>
      <c r="AJ99" s="83">
        <f t="shared" si="16"/>
        <v>396.43530000000004</v>
      </c>
      <c r="AK99" s="82"/>
      <c r="AL99" s="84"/>
      <c r="AM99" s="66"/>
    </row>
    <row r="100" spans="3:39" ht="60" x14ac:dyDescent="0.3">
      <c r="C100" s="41" t="s">
        <v>202</v>
      </c>
      <c r="D100" s="41" t="s">
        <v>124</v>
      </c>
      <c r="E100" s="42" t="s">
        <v>88</v>
      </c>
      <c r="G100" s="66"/>
      <c r="H100" s="74">
        <v>405</v>
      </c>
      <c r="I100" s="74">
        <v>219</v>
      </c>
      <c r="J100" s="74">
        <v>204</v>
      </c>
      <c r="K100" s="74">
        <v>1004</v>
      </c>
      <c r="L100" s="74">
        <v>1037</v>
      </c>
      <c r="M100" s="74">
        <v>505</v>
      </c>
      <c r="N100" s="76" cm="1">
        <f t="array" ref="N100">SUM((H100:L100)/5)</f>
        <v>573.79999999999995</v>
      </c>
      <c r="O100" s="74">
        <v>1000</v>
      </c>
      <c r="P100" s="66"/>
      <c r="Q100" s="77">
        <v>50.334000000000003</v>
      </c>
      <c r="R100" s="77">
        <v>63.256999999999998</v>
      </c>
      <c r="S100" s="77">
        <v>0.441</v>
      </c>
      <c r="T100" s="77">
        <v>0.441</v>
      </c>
      <c r="U100" s="77">
        <f t="shared" si="10"/>
        <v>400</v>
      </c>
      <c r="V100" s="77">
        <f t="shared" si="11"/>
        <v>600</v>
      </c>
      <c r="W100" s="66"/>
      <c r="X100" s="77" t="s">
        <v>203</v>
      </c>
      <c r="Y100" s="77" t="s">
        <v>204</v>
      </c>
      <c r="Z100" s="79">
        <f>SUM(26.71635+25.0773)/2</f>
        <v>25.896825</v>
      </c>
      <c r="AA100" s="80">
        <f t="shared" si="12"/>
        <v>42.729761249999996</v>
      </c>
      <c r="AB100" s="66"/>
      <c r="AC100" s="81">
        <v>365</v>
      </c>
      <c r="AD100" s="82">
        <f t="shared" si="13"/>
        <v>115.7603</v>
      </c>
      <c r="AE100" s="82">
        <f t="shared" si="14"/>
        <v>126.64049999999999</v>
      </c>
      <c r="AF100" s="82">
        <f t="shared" si="15"/>
        <v>103.59</v>
      </c>
      <c r="AG100" s="82">
        <f t="shared" si="15"/>
        <v>256.38</v>
      </c>
      <c r="AH100" s="114"/>
      <c r="AI100" s="114"/>
      <c r="AJ100" s="83">
        <f t="shared" si="16"/>
        <v>602.37080000000003</v>
      </c>
      <c r="AK100" s="82"/>
      <c r="AL100" s="84"/>
      <c r="AM100" s="66"/>
    </row>
    <row r="101" spans="3:39" ht="60" x14ac:dyDescent="0.3">
      <c r="C101" s="41" t="s">
        <v>202</v>
      </c>
      <c r="D101" s="41" t="s">
        <v>124</v>
      </c>
      <c r="E101" s="42" t="s">
        <v>88</v>
      </c>
      <c r="G101" s="66"/>
      <c r="H101" s="74">
        <v>586</v>
      </c>
      <c r="I101" s="74">
        <v>572</v>
      </c>
      <c r="J101" s="74">
        <v>699</v>
      </c>
      <c r="K101" s="74">
        <v>920</v>
      </c>
      <c r="L101" s="74">
        <v>867</v>
      </c>
      <c r="M101" s="74">
        <v>543</v>
      </c>
      <c r="N101" s="76" cm="1">
        <f t="array" ref="N101">SUM((H101:L101)/5)</f>
        <v>728.80000000000007</v>
      </c>
      <c r="O101" s="74">
        <v>900</v>
      </c>
      <c r="P101" s="66"/>
      <c r="Q101" s="77">
        <v>50.334000000000003</v>
      </c>
      <c r="R101" s="77">
        <v>63.256999999999998</v>
      </c>
      <c r="S101" s="77">
        <v>0.441</v>
      </c>
      <c r="T101" s="77">
        <v>0.441</v>
      </c>
      <c r="U101" s="77">
        <f t="shared" si="10"/>
        <v>360</v>
      </c>
      <c r="V101" s="77">
        <f t="shared" si="11"/>
        <v>540</v>
      </c>
      <c r="W101" s="66"/>
      <c r="X101" s="77" t="s">
        <v>203</v>
      </c>
      <c r="Y101" s="77" t="s">
        <v>205</v>
      </c>
      <c r="Z101" s="79">
        <f>SUM(26.71642+25.07805)/2</f>
        <v>25.897235000000002</v>
      </c>
      <c r="AA101" s="80">
        <f t="shared" si="12"/>
        <v>42.730437750000007</v>
      </c>
      <c r="AB101" s="66"/>
      <c r="AC101" s="81">
        <v>365</v>
      </c>
      <c r="AD101" s="82">
        <f t="shared" si="13"/>
        <v>115.7603</v>
      </c>
      <c r="AE101" s="82">
        <f t="shared" si="14"/>
        <v>126.64049999999999</v>
      </c>
      <c r="AF101" s="82">
        <f t="shared" si="15"/>
        <v>93.23</v>
      </c>
      <c r="AG101" s="82">
        <f t="shared" si="15"/>
        <v>230.74</v>
      </c>
      <c r="AH101" s="114"/>
      <c r="AI101" s="114"/>
      <c r="AJ101" s="83">
        <f t="shared" si="16"/>
        <v>566.37080000000003</v>
      </c>
      <c r="AK101" s="82"/>
      <c r="AL101" s="84"/>
      <c r="AM101" s="66"/>
    </row>
    <row r="102" spans="3:39" ht="15.6" x14ac:dyDescent="0.3">
      <c r="C102" s="41" t="s">
        <v>537</v>
      </c>
      <c r="D102" s="41" t="s">
        <v>124</v>
      </c>
      <c r="E102" s="42" t="s">
        <v>88</v>
      </c>
      <c r="G102" s="66"/>
      <c r="H102" s="74">
        <v>547</v>
      </c>
      <c r="I102" s="74">
        <v>452</v>
      </c>
      <c r="J102" s="74">
        <v>423</v>
      </c>
      <c r="K102" s="74">
        <v>257</v>
      </c>
      <c r="L102" s="74">
        <v>268</v>
      </c>
      <c r="M102" s="74">
        <v>115</v>
      </c>
      <c r="N102" s="76" cm="1">
        <f t="array" ref="N102">SUM((H102:L102)/5)</f>
        <v>389.4</v>
      </c>
      <c r="O102" s="74">
        <v>300</v>
      </c>
      <c r="P102" s="66"/>
      <c r="Q102" s="77">
        <v>49.308</v>
      </c>
      <c r="R102" s="77">
        <v>72.016000000000005</v>
      </c>
      <c r="S102" s="77">
        <v>0.441</v>
      </c>
      <c r="T102" s="77">
        <v>0.441</v>
      </c>
      <c r="U102" s="77">
        <f t="shared" si="10"/>
        <v>120</v>
      </c>
      <c r="V102" s="77">
        <f t="shared" si="11"/>
        <v>180</v>
      </c>
      <c r="W102" s="66"/>
      <c r="X102" s="77">
        <v>15.868</v>
      </c>
      <c r="Y102" s="77">
        <v>27.084579999999999</v>
      </c>
      <c r="Z102" s="79">
        <v>27.084579999999999</v>
      </c>
      <c r="AA102" s="80">
        <f t="shared" si="12"/>
        <v>44.689557000000001</v>
      </c>
      <c r="AB102" s="66"/>
      <c r="AC102" s="81">
        <v>365</v>
      </c>
      <c r="AD102" s="82">
        <f t="shared" si="13"/>
        <v>131.7893</v>
      </c>
      <c r="AE102" s="82">
        <f t="shared" si="14"/>
        <v>144.17600000000002</v>
      </c>
      <c r="AF102" s="82">
        <f t="shared" si="15"/>
        <v>32.5</v>
      </c>
      <c r="AG102" s="82">
        <f t="shared" si="15"/>
        <v>80.44</v>
      </c>
      <c r="AH102" s="114"/>
      <c r="AI102" s="114"/>
      <c r="AJ102" s="83">
        <f t="shared" si="16"/>
        <v>388.90530000000001</v>
      </c>
      <c r="AK102" s="82"/>
      <c r="AL102" s="84"/>
      <c r="AM102" s="66"/>
    </row>
    <row r="103" spans="3:39" ht="15.6" x14ac:dyDescent="0.3">
      <c r="C103" s="41" t="s">
        <v>538</v>
      </c>
      <c r="D103" s="41" t="s">
        <v>124</v>
      </c>
      <c r="E103" s="42" t="s">
        <v>88</v>
      </c>
      <c r="G103" s="66"/>
      <c r="H103" s="74">
        <v>183</v>
      </c>
      <c r="I103" s="74">
        <v>202</v>
      </c>
      <c r="J103" s="74">
        <v>162</v>
      </c>
      <c r="K103" s="74">
        <v>117</v>
      </c>
      <c r="L103" s="74">
        <v>84</v>
      </c>
      <c r="M103" s="74">
        <v>8</v>
      </c>
      <c r="N103" s="76" cm="1">
        <f t="array" ref="N103">SUM((H103:L103)/5)</f>
        <v>149.60000000000002</v>
      </c>
      <c r="O103" s="74">
        <v>150</v>
      </c>
      <c r="P103" s="66"/>
      <c r="Q103" s="77">
        <v>49.828000000000003</v>
      </c>
      <c r="R103" s="77">
        <v>63.256999999999998</v>
      </c>
      <c r="S103" s="77">
        <v>0.441</v>
      </c>
      <c r="T103" s="77">
        <v>0.441</v>
      </c>
      <c r="U103" s="77">
        <f t="shared" si="10"/>
        <v>60</v>
      </c>
      <c r="V103" s="77">
        <f t="shared" si="11"/>
        <v>90</v>
      </c>
      <c r="W103" s="66"/>
      <c r="X103" s="77">
        <v>15.061999999999999</v>
      </c>
      <c r="Y103" s="77">
        <v>26.50967</v>
      </c>
      <c r="Z103" s="79">
        <v>26.50967</v>
      </c>
      <c r="AA103" s="80">
        <f t="shared" si="12"/>
        <v>43.740955499999998</v>
      </c>
      <c r="AB103" s="66"/>
      <c r="AC103" s="81">
        <v>365</v>
      </c>
      <c r="AD103" s="82">
        <f t="shared" si="13"/>
        <v>115.7603</v>
      </c>
      <c r="AE103" s="82">
        <f t="shared" si="14"/>
        <v>126.64049999999999</v>
      </c>
      <c r="AF103" s="82">
        <f t="shared" si="15"/>
        <v>15.91</v>
      </c>
      <c r="AG103" s="82">
        <f t="shared" si="15"/>
        <v>39.369999999999997</v>
      </c>
      <c r="AH103" s="114"/>
      <c r="AI103" s="114"/>
      <c r="AJ103" s="83">
        <f t="shared" si="16"/>
        <v>297.68080000000003</v>
      </c>
      <c r="AK103" s="82"/>
      <c r="AL103" s="84"/>
      <c r="AM103" s="66"/>
    </row>
    <row r="104" spans="3:39" ht="45" x14ac:dyDescent="0.3">
      <c r="C104" s="41" t="s">
        <v>539</v>
      </c>
      <c r="D104" s="41" t="s">
        <v>124</v>
      </c>
      <c r="E104" s="42" t="s">
        <v>88</v>
      </c>
      <c r="G104" s="66"/>
      <c r="H104" s="74">
        <v>439</v>
      </c>
      <c r="I104" s="74">
        <v>1052</v>
      </c>
      <c r="J104" s="74">
        <v>1013</v>
      </c>
      <c r="K104" s="74">
        <v>1153</v>
      </c>
      <c r="L104" s="74">
        <v>561</v>
      </c>
      <c r="M104" s="74">
        <v>0</v>
      </c>
      <c r="N104" s="76" cm="1">
        <f t="array" ref="N104">SUM((H104:L104)/5)</f>
        <v>843.6</v>
      </c>
      <c r="O104" s="74">
        <v>845</v>
      </c>
      <c r="P104" s="66"/>
      <c r="Q104" s="77">
        <v>50.334000000000003</v>
      </c>
      <c r="R104" s="77">
        <v>63.256999999999998</v>
      </c>
      <c r="S104" s="77">
        <v>0.441</v>
      </c>
      <c r="T104" s="77">
        <v>0.441</v>
      </c>
      <c r="U104" s="77">
        <f t="shared" si="10"/>
        <v>338</v>
      </c>
      <c r="V104" s="77">
        <f t="shared" si="11"/>
        <v>507</v>
      </c>
      <c r="W104" s="66"/>
      <c r="X104" s="77" t="s">
        <v>206</v>
      </c>
      <c r="Y104" s="77" t="s">
        <v>207</v>
      </c>
      <c r="Z104" s="79">
        <f>SUM(26.76557+25.28439)/2</f>
        <v>26.024979999999999</v>
      </c>
      <c r="AA104" s="80">
        <f t="shared" si="12"/>
        <v>42.941216999999995</v>
      </c>
      <c r="AB104" s="66"/>
      <c r="AC104" s="81">
        <v>365</v>
      </c>
      <c r="AD104" s="82">
        <f t="shared" si="13"/>
        <v>115.7603</v>
      </c>
      <c r="AE104" s="82">
        <f t="shared" si="14"/>
        <v>126.64049999999999</v>
      </c>
      <c r="AF104" s="82">
        <f t="shared" si="15"/>
        <v>87.96</v>
      </c>
      <c r="AG104" s="82">
        <f t="shared" si="15"/>
        <v>217.71</v>
      </c>
      <c r="AH104" s="114"/>
      <c r="AI104" s="114"/>
      <c r="AJ104" s="83">
        <f t="shared" si="16"/>
        <v>548.07079999999996</v>
      </c>
      <c r="AK104" s="82"/>
      <c r="AL104" s="84"/>
      <c r="AM104" s="66"/>
    </row>
    <row r="105" spans="3:39" ht="60" x14ac:dyDescent="0.3">
      <c r="C105" s="41" t="s">
        <v>539</v>
      </c>
      <c r="D105" s="41" t="s">
        <v>124</v>
      </c>
      <c r="E105" s="42" t="s">
        <v>88</v>
      </c>
      <c r="G105" s="66"/>
      <c r="H105" s="74">
        <v>701</v>
      </c>
      <c r="I105" s="74">
        <v>967</v>
      </c>
      <c r="J105" s="74">
        <v>1031</v>
      </c>
      <c r="K105" s="74">
        <v>1123</v>
      </c>
      <c r="L105" s="74">
        <v>1278</v>
      </c>
      <c r="M105" s="74">
        <v>845</v>
      </c>
      <c r="N105" s="76" cm="1">
        <f t="array" ref="N105">SUM((H105:L105)/5)</f>
        <v>1020</v>
      </c>
      <c r="O105" s="74">
        <v>1150</v>
      </c>
      <c r="P105" s="66"/>
      <c r="Q105" s="77">
        <v>50.334000000000003</v>
      </c>
      <c r="R105" s="77">
        <v>63.256999999999998</v>
      </c>
      <c r="S105" s="77">
        <v>0.441</v>
      </c>
      <c r="T105" s="77">
        <v>0.441</v>
      </c>
      <c r="U105" s="77">
        <f t="shared" si="10"/>
        <v>460</v>
      </c>
      <c r="V105" s="77">
        <f t="shared" si="11"/>
        <v>690</v>
      </c>
      <c r="W105" s="66"/>
      <c r="X105" s="77" t="s">
        <v>139</v>
      </c>
      <c r="Y105" s="77" t="s">
        <v>208</v>
      </c>
      <c r="Z105" s="79">
        <f>SUM(26.71965+25.23863)/2</f>
        <v>25.979140000000001</v>
      </c>
      <c r="AA105" s="80">
        <f t="shared" si="12"/>
        <v>42.865581000000006</v>
      </c>
      <c r="AB105" s="66"/>
      <c r="AC105" s="81">
        <v>365</v>
      </c>
      <c r="AD105" s="82">
        <f t="shared" si="13"/>
        <v>115.7603</v>
      </c>
      <c r="AE105" s="82">
        <f t="shared" si="14"/>
        <v>126.64049999999999</v>
      </c>
      <c r="AF105" s="82">
        <f t="shared" si="15"/>
        <v>119.5</v>
      </c>
      <c r="AG105" s="82">
        <f t="shared" si="15"/>
        <v>295.77</v>
      </c>
      <c r="AH105" s="114"/>
      <c r="AI105" s="114"/>
      <c r="AJ105" s="83">
        <f t="shared" si="16"/>
        <v>657.67079999999999</v>
      </c>
      <c r="AK105" s="82"/>
      <c r="AL105" s="84"/>
      <c r="AM105" s="66"/>
    </row>
    <row r="106" spans="3:39" ht="60" x14ac:dyDescent="0.3">
      <c r="C106" s="41" t="s">
        <v>539</v>
      </c>
      <c r="D106" s="41" t="s">
        <v>124</v>
      </c>
      <c r="E106" s="42" t="s">
        <v>88</v>
      </c>
      <c r="G106" s="66"/>
      <c r="H106" s="74">
        <v>644</v>
      </c>
      <c r="I106" s="74">
        <v>715</v>
      </c>
      <c r="J106" s="74">
        <v>982</v>
      </c>
      <c r="K106" s="74">
        <v>875</v>
      </c>
      <c r="L106" s="74">
        <v>781</v>
      </c>
      <c r="M106" s="74">
        <v>322</v>
      </c>
      <c r="N106" s="76" cm="1">
        <f t="array" ref="N106">SUM((H106:L106)/5)</f>
        <v>799.40000000000009</v>
      </c>
      <c r="O106" s="74">
        <v>800</v>
      </c>
      <c r="P106" s="66"/>
      <c r="Q106" s="77">
        <v>50.334000000000003</v>
      </c>
      <c r="R106" s="77">
        <v>63.256999999999998</v>
      </c>
      <c r="S106" s="77">
        <v>0.441</v>
      </c>
      <c r="T106" s="77">
        <v>0.441</v>
      </c>
      <c r="U106" s="77">
        <f t="shared" si="10"/>
        <v>320</v>
      </c>
      <c r="V106" s="77">
        <f t="shared" si="11"/>
        <v>480</v>
      </c>
      <c r="W106" s="66"/>
      <c r="X106" s="77" t="s">
        <v>181</v>
      </c>
      <c r="Y106" s="77" t="s">
        <v>209</v>
      </c>
      <c r="Z106" s="79">
        <f>SUM(26.71064+25.07988)/2</f>
        <v>25.89526</v>
      </c>
      <c r="AA106" s="80">
        <f t="shared" si="12"/>
        <v>42.727179</v>
      </c>
      <c r="AB106" s="66"/>
      <c r="AC106" s="81">
        <v>365</v>
      </c>
      <c r="AD106" s="82">
        <f t="shared" si="13"/>
        <v>115.7603</v>
      </c>
      <c r="AE106" s="82">
        <f t="shared" si="14"/>
        <v>126.64049999999999</v>
      </c>
      <c r="AF106" s="82">
        <f t="shared" si="15"/>
        <v>82.86</v>
      </c>
      <c r="AG106" s="82">
        <f t="shared" si="15"/>
        <v>205.09</v>
      </c>
      <c r="AH106" s="114"/>
      <c r="AI106" s="114"/>
      <c r="AJ106" s="83">
        <f t="shared" si="16"/>
        <v>530.35080000000005</v>
      </c>
      <c r="AK106" s="82"/>
      <c r="AL106" s="84"/>
      <c r="AM106" s="66"/>
    </row>
    <row r="107" spans="3:39" ht="60" x14ac:dyDescent="0.3">
      <c r="C107" s="41" t="s">
        <v>540</v>
      </c>
      <c r="D107" s="41" t="s">
        <v>124</v>
      </c>
      <c r="E107" s="42" t="s">
        <v>88</v>
      </c>
      <c r="G107" s="66"/>
      <c r="H107" s="74">
        <v>710</v>
      </c>
      <c r="I107" s="74">
        <v>732</v>
      </c>
      <c r="J107" s="74">
        <v>1015</v>
      </c>
      <c r="K107" s="74">
        <v>1328</v>
      </c>
      <c r="L107" s="74">
        <v>1288</v>
      </c>
      <c r="M107" s="74">
        <v>647</v>
      </c>
      <c r="N107" s="76" cm="1">
        <f t="array" ref="N107">SUM((H107:L107)/5)</f>
        <v>1014.6</v>
      </c>
      <c r="O107" s="74">
        <v>1290</v>
      </c>
      <c r="P107" s="66"/>
      <c r="Q107" s="77">
        <v>50.334000000000003</v>
      </c>
      <c r="R107" s="77">
        <v>63.256999999999998</v>
      </c>
      <c r="S107" s="77">
        <v>0.441</v>
      </c>
      <c r="T107" s="77">
        <v>0.441</v>
      </c>
      <c r="U107" s="77">
        <f t="shared" si="10"/>
        <v>516</v>
      </c>
      <c r="V107" s="77">
        <f t="shared" si="11"/>
        <v>774</v>
      </c>
      <c r="W107" s="66"/>
      <c r="X107" s="77" t="s">
        <v>181</v>
      </c>
      <c r="Y107" s="77" t="s">
        <v>210</v>
      </c>
      <c r="Z107" s="79">
        <f>SUM(26.73487+25.10423)/2</f>
        <v>25.919550000000001</v>
      </c>
      <c r="AA107" s="80">
        <f t="shared" si="12"/>
        <v>42.767257499999999</v>
      </c>
      <c r="AB107" s="66"/>
      <c r="AC107" s="81">
        <v>365</v>
      </c>
      <c r="AD107" s="82">
        <f t="shared" si="13"/>
        <v>115.7603</v>
      </c>
      <c r="AE107" s="82">
        <f t="shared" si="14"/>
        <v>126.64049999999999</v>
      </c>
      <c r="AF107" s="82">
        <f t="shared" si="15"/>
        <v>133.74</v>
      </c>
      <c r="AG107" s="82">
        <f t="shared" si="15"/>
        <v>331.02</v>
      </c>
      <c r="AH107" s="114"/>
      <c r="AI107" s="114"/>
      <c r="AJ107" s="83">
        <f t="shared" si="16"/>
        <v>707.16079999999999</v>
      </c>
      <c r="AK107" s="82"/>
      <c r="AL107" s="84"/>
      <c r="AM107" s="66"/>
    </row>
    <row r="108" spans="3:39" ht="15.6" x14ac:dyDescent="0.3">
      <c r="C108" s="41" t="s">
        <v>540</v>
      </c>
      <c r="D108" s="41" t="s">
        <v>124</v>
      </c>
      <c r="E108" s="42" t="s">
        <v>88</v>
      </c>
      <c r="G108" s="66"/>
      <c r="H108" s="74">
        <v>690</v>
      </c>
      <c r="I108" s="74">
        <v>791</v>
      </c>
      <c r="J108" s="74">
        <v>1106</v>
      </c>
      <c r="K108" s="74">
        <v>982</v>
      </c>
      <c r="L108" s="74">
        <v>855</v>
      </c>
      <c r="M108" s="74">
        <v>348</v>
      </c>
      <c r="N108" s="76" cm="1">
        <f t="array" ref="N108">SUM((H108:L108)/5)</f>
        <v>884.8</v>
      </c>
      <c r="O108" s="74">
        <v>930</v>
      </c>
      <c r="P108" s="66"/>
      <c r="Q108" s="77">
        <v>49.828000000000003</v>
      </c>
      <c r="R108" s="77">
        <v>63.256999999999998</v>
      </c>
      <c r="S108" s="77">
        <v>0.441</v>
      </c>
      <c r="T108" s="77">
        <v>0.441</v>
      </c>
      <c r="U108" s="77">
        <f t="shared" si="10"/>
        <v>372</v>
      </c>
      <c r="V108" s="77">
        <f t="shared" si="11"/>
        <v>558</v>
      </c>
      <c r="W108" s="66"/>
      <c r="X108" s="77">
        <v>15.061999999999999</v>
      </c>
      <c r="Y108" s="77">
        <v>26.505669999999999</v>
      </c>
      <c r="Z108" s="79">
        <v>26.505669999999999</v>
      </c>
      <c r="AA108" s="80">
        <f t="shared" si="12"/>
        <v>43.734355499999999</v>
      </c>
      <c r="AB108" s="66"/>
      <c r="AC108" s="81">
        <v>365</v>
      </c>
      <c r="AD108" s="82">
        <f t="shared" si="13"/>
        <v>115.7603</v>
      </c>
      <c r="AE108" s="82">
        <f t="shared" si="14"/>
        <v>126.64049999999999</v>
      </c>
      <c r="AF108" s="82">
        <f t="shared" si="15"/>
        <v>98.6</v>
      </c>
      <c r="AG108" s="82">
        <f t="shared" si="15"/>
        <v>244.04</v>
      </c>
      <c r="AH108" s="114"/>
      <c r="AI108" s="114"/>
      <c r="AJ108" s="83">
        <f t="shared" si="16"/>
        <v>585.04079999999999</v>
      </c>
      <c r="AK108" s="82"/>
      <c r="AL108" s="84"/>
      <c r="AM108" s="66"/>
    </row>
    <row r="109" spans="3:39" ht="60" x14ac:dyDescent="0.3">
      <c r="C109" s="41" t="s">
        <v>541</v>
      </c>
      <c r="D109" s="41" t="s">
        <v>124</v>
      </c>
      <c r="E109" s="42" t="s">
        <v>88</v>
      </c>
      <c r="G109" s="66"/>
      <c r="H109" s="74">
        <v>660</v>
      </c>
      <c r="I109" s="74">
        <v>705</v>
      </c>
      <c r="J109" s="74">
        <v>1182</v>
      </c>
      <c r="K109" s="74">
        <v>1290</v>
      </c>
      <c r="L109" s="74">
        <v>1274</v>
      </c>
      <c r="M109" s="74">
        <v>637</v>
      </c>
      <c r="N109" s="76" cm="1">
        <f t="array" ref="N109">SUM((H109:L109)/5)</f>
        <v>1022.2</v>
      </c>
      <c r="O109" s="74">
        <v>1250</v>
      </c>
      <c r="P109" s="66"/>
      <c r="Q109" s="77">
        <v>50.334000000000003</v>
      </c>
      <c r="R109" s="77">
        <v>63.256999999999998</v>
      </c>
      <c r="S109" s="77">
        <v>0.441</v>
      </c>
      <c r="T109" s="77">
        <v>0.441</v>
      </c>
      <c r="U109" s="77">
        <f t="shared" si="10"/>
        <v>500</v>
      </c>
      <c r="V109" s="77">
        <f t="shared" si="11"/>
        <v>750</v>
      </c>
      <c r="W109" s="66"/>
      <c r="X109" s="77" t="s">
        <v>181</v>
      </c>
      <c r="Y109" s="77" t="s">
        <v>211</v>
      </c>
      <c r="Z109" s="79">
        <f>SUM(26.73389+25.10319)/2</f>
        <v>25.91854</v>
      </c>
      <c r="AA109" s="80">
        <f t="shared" si="12"/>
        <v>42.765591000000001</v>
      </c>
      <c r="AB109" s="66"/>
      <c r="AC109" s="81">
        <v>365</v>
      </c>
      <c r="AD109" s="82">
        <f t="shared" si="13"/>
        <v>115.7603</v>
      </c>
      <c r="AE109" s="82">
        <f t="shared" si="14"/>
        <v>126.64049999999999</v>
      </c>
      <c r="AF109" s="82">
        <f t="shared" si="15"/>
        <v>129.59</v>
      </c>
      <c r="AG109" s="82">
        <f t="shared" si="15"/>
        <v>320.74</v>
      </c>
      <c r="AH109" s="114"/>
      <c r="AI109" s="114"/>
      <c r="AJ109" s="83">
        <f t="shared" si="16"/>
        <v>692.73080000000004</v>
      </c>
      <c r="AK109" s="82"/>
      <c r="AL109" s="84"/>
      <c r="AM109" s="66"/>
    </row>
    <row r="110" spans="3:39" ht="60" x14ac:dyDescent="0.3">
      <c r="C110" s="41" t="s">
        <v>542</v>
      </c>
      <c r="D110" s="41" t="s">
        <v>124</v>
      </c>
      <c r="E110" s="42" t="s">
        <v>88</v>
      </c>
      <c r="G110" s="66"/>
      <c r="H110" s="74">
        <v>736</v>
      </c>
      <c r="I110" s="74">
        <v>881</v>
      </c>
      <c r="J110" s="74">
        <v>1131</v>
      </c>
      <c r="K110" s="74">
        <v>1053</v>
      </c>
      <c r="L110" s="74">
        <v>1162</v>
      </c>
      <c r="M110" s="74">
        <v>572</v>
      </c>
      <c r="N110" s="76" cm="1">
        <f t="array" ref="N110">SUM((H110:L110)/5)</f>
        <v>992.59999999999991</v>
      </c>
      <c r="O110" s="74">
        <v>1100</v>
      </c>
      <c r="P110" s="66"/>
      <c r="Q110" s="77">
        <v>50.334000000000003</v>
      </c>
      <c r="R110" s="77">
        <v>63.256999999999998</v>
      </c>
      <c r="S110" s="77">
        <v>0.441</v>
      </c>
      <c r="T110" s="77">
        <v>0.441</v>
      </c>
      <c r="U110" s="77">
        <f t="shared" si="10"/>
        <v>440</v>
      </c>
      <c r="V110" s="77">
        <f t="shared" si="11"/>
        <v>660</v>
      </c>
      <c r="W110" s="66"/>
      <c r="X110" s="77" t="s">
        <v>206</v>
      </c>
      <c r="Y110" s="77" t="s">
        <v>212</v>
      </c>
      <c r="Z110" s="79">
        <f>SUM(26.70339+25.07233)/2</f>
        <v>25.88786</v>
      </c>
      <c r="AA110" s="80">
        <f t="shared" si="12"/>
        <v>42.714968999999996</v>
      </c>
      <c r="AB110" s="66"/>
      <c r="AC110" s="81">
        <v>365</v>
      </c>
      <c r="AD110" s="82">
        <f t="shared" si="13"/>
        <v>115.7603</v>
      </c>
      <c r="AE110" s="82">
        <f t="shared" si="14"/>
        <v>126.64049999999999</v>
      </c>
      <c r="AF110" s="82">
        <f t="shared" si="15"/>
        <v>113.91</v>
      </c>
      <c r="AG110" s="82">
        <f t="shared" si="15"/>
        <v>281.92</v>
      </c>
      <c r="AH110" s="114"/>
      <c r="AI110" s="114"/>
      <c r="AJ110" s="83">
        <f t="shared" si="16"/>
        <v>638.23080000000004</v>
      </c>
      <c r="AK110" s="82"/>
      <c r="AL110" s="84"/>
      <c r="AM110" s="66"/>
    </row>
    <row r="111" spans="3:39" ht="45" x14ac:dyDescent="0.3">
      <c r="C111" s="41" t="s">
        <v>213</v>
      </c>
      <c r="D111" s="41" t="s">
        <v>124</v>
      </c>
      <c r="E111" s="42" t="s">
        <v>88</v>
      </c>
      <c r="G111" s="66"/>
      <c r="H111" s="74">
        <v>0</v>
      </c>
      <c r="I111" s="74">
        <v>0</v>
      </c>
      <c r="J111" s="74">
        <v>114</v>
      </c>
      <c r="K111" s="74">
        <v>387</v>
      </c>
      <c r="L111" s="74">
        <v>384</v>
      </c>
      <c r="M111" s="74">
        <v>19</v>
      </c>
      <c r="N111" s="76" cm="1">
        <f t="array" ref="N111">SUM((H111:L111)/5)</f>
        <v>177</v>
      </c>
      <c r="O111" s="74">
        <v>385</v>
      </c>
      <c r="P111" s="66"/>
      <c r="Q111" s="77">
        <v>50.334000000000003</v>
      </c>
      <c r="R111" s="77">
        <v>63.256999999999998</v>
      </c>
      <c r="S111" s="77">
        <v>0.441</v>
      </c>
      <c r="T111" s="77">
        <v>0.441</v>
      </c>
      <c r="U111" s="77">
        <f t="shared" si="10"/>
        <v>154</v>
      </c>
      <c r="V111" s="77">
        <f t="shared" si="11"/>
        <v>231</v>
      </c>
      <c r="W111" s="66"/>
      <c r="X111" s="77" t="s">
        <v>139</v>
      </c>
      <c r="Y111" s="77" t="s">
        <v>214</v>
      </c>
      <c r="Z111" s="79">
        <f>SUM(26.64352+25.1622)/2</f>
        <v>25.902859999999997</v>
      </c>
      <c r="AA111" s="80">
        <f t="shared" si="12"/>
        <v>42.739718999999994</v>
      </c>
      <c r="AB111" s="66"/>
      <c r="AC111" s="81">
        <v>365</v>
      </c>
      <c r="AD111" s="82">
        <f t="shared" si="13"/>
        <v>115.7603</v>
      </c>
      <c r="AE111" s="82">
        <f t="shared" si="14"/>
        <v>126.64049999999999</v>
      </c>
      <c r="AF111" s="82">
        <f t="shared" si="15"/>
        <v>39.89</v>
      </c>
      <c r="AG111" s="82">
        <f t="shared" si="15"/>
        <v>98.73</v>
      </c>
      <c r="AH111" s="114"/>
      <c r="AI111" s="114"/>
      <c r="AJ111" s="83">
        <f t="shared" si="16"/>
        <v>381.02080000000001</v>
      </c>
      <c r="AK111" s="82"/>
      <c r="AL111" s="84"/>
      <c r="AM111" s="66"/>
    </row>
    <row r="112" spans="3:39" ht="60" x14ac:dyDescent="0.3">
      <c r="C112" s="41" t="s">
        <v>215</v>
      </c>
      <c r="D112" s="41" t="s">
        <v>124</v>
      </c>
      <c r="E112" s="42" t="s">
        <v>88</v>
      </c>
      <c r="G112" s="66"/>
      <c r="H112" s="74">
        <v>2061</v>
      </c>
      <c r="I112" s="74">
        <v>2332</v>
      </c>
      <c r="J112" s="74">
        <v>2950</v>
      </c>
      <c r="K112" s="74">
        <v>2950</v>
      </c>
      <c r="L112" s="74">
        <v>2834</v>
      </c>
      <c r="M112" s="74">
        <v>966</v>
      </c>
      <c r="N112" s="76" cm="1">
        <f t="array" ref="N112">SUM((H112:L112)/5)</f>
        <v>2625.3999999999996</v>
      </c>
      <c r="O112" s="74">
        <v>2900</v>
      </c>
      <c r="P112" s="66"/>
      <c r="Q112" s="77">
        <v>50.334000000000003</v>
      </c>
      <c r="R112" s="77">
        <v>63.256999999999998</v>
      </c>
      <c r="S112" s="77">
        <v>0.441</v>
      </c>
      <c r="T112" s="77">
        <v>0.441</v>
      </c>
      <c r="U112" s="77">
        <f t="shared" si="10"/>
        <v>1160</v>
      </c>
      <c r="V112" s="77">
        <f t="shared" si="11"/>
        <v>1740</v>
      </c>
      <c r="W112" s="66"/>
      <c r="X112" s="77" t="s">
        <v>181</v>
      </c>
      <c r="Y112" s="77" t="s">
        <v>216</v>
      </c>
      <c r="Z112" s="79">
        <f>SUM(26.72725+25.0963)/2</f>
        <v>25.911774999999999</v>
      </c>
      <c r="AA112" s="80">
        <f t="shared" si="12"/>
        <v>42.754428750000002</v>
      </c>
      <c r="AB112" s="66"/>
      <c r="AC112" s="81">
        <v>365</v>
      </c>
      <c r="AD112" s="82">
        <f t="shared" si="13"/>
        <v>115.7603</v>
      </c>
      <c r="AE112" s="82">
        <f t="shared" si="14"/>
        <v>126.64049999999999</v>
      </c>
      <c r="AF112" s="82">
        <f t="shared" si="15"/>
        <v>300.58</v>
      </c>
      <c r="AG112" s="82">
        <f t="shared" si="15"/>
        <v>743.93</v>
      </c>
      <c r="AH112" s="114"/>
      <c r="AI112" s="114"/>
      <c r="AJ112" s="83">
        <f t="shared" si="16"/>
        <v>1286.9108000000001</v>
      </c>
      <c r="AK112" s="82"/>
      <c r="AL112" s="84"/>
      <c r="AM112" s="66"/>
    </row>
    <row r="113" spans="3:39" ht="90" x14ac:dyDescent="0.3">
      <c r="C113" s="41" t="s">
        <v>543</v>
      </c>
      <c r="D113" s="41" t="s">
        <v>124</v>
      </c>
      <c r="E113" s="42" t="s">
        <v>88</v>
      </c>
      <c r="G113" s="66"/>
      <c r="H113" s="74">
        <v>1821</v>
      </c>
      <c r="I113" s="74">
        <v>1163</v>
      </c>
      <c r="J113" s="74">
        <v>1029</v>
      </c>
      <c r="K113" s="74">
        <v>1229</v>
      </c>
      <c r="L113" s="74">
        <v>1113</v>
      </c>
      <c r="M113" s="74">
        <v>583</v>
      </c>
      <c r="N113" s="76" cm="1">
        <f t="array" ref="N113">SUM((H113:L113)/5)</f>
        <v>1270.9999999999998</v>
      </c>
      <c r="O113" s="74">
        <v>1260</v>
      </c>
      <c r="P113" s="66"/>
      <c r="Q113" s="77">
        <v>50.334000000000003</v>
      </c>
      <c r="R113" s="77">
        <v>63.256999999999998</v>
      </c>
      <c r="S113" s="77">
        <v>0.441</v>
      </c>
      <c r="T113" s="77">
        <v>0.441</v>
      </c>
      <c r="U113" s="77">
        <f t="shared" si="10"/>
        <v>504</v>
      </c>
      <c r="V113" s="77">
        <f t="shared" si="11"/>
        <v>756</v>
      </c>
      <c r="W113" s="66"/>
      <c r="X113" s="77" t="s">
        <v>185</v>
      </c>
      <c r="Y113" s="77" t="s">
        <v>217</v>
      </c>
      <c r="Z113" s="79">
        <f>SUM(27.36907+24.94011+25.25968)/3</f>
        <v>25.856286666666666</v>
      </c>
      <c r="AA113" s="80">
        <f t="shared" si="12"/>
        <v>42.662872999999998</v>
      </c>
      <c r="AB113" s="66"/>
      <c r="AC113" s="81">
        <v>365</v>
      </c>
      <c r="AD113" s="82">
        <f t="shared" si="13"/>
        <v>115.7603</v>
      </c>
      <c r="AE113" s="82">
        <f t="shared" si="14"/>
        <v>126.64049999999999</v>
      </c>
      <c r="AF113" s="82">
        <f t="shared" si="15"/>
        <v>130.32</v>
      </c>
      <c r="AG113" s="82">
        <f t="shared" si="15"/>
        <v>322.52999999999997</v>
      </c>
      <c r="AH113" s="114"/>
      <c r="AI113" s="114"/>
      <c r="AJ113" s="83">
        <f t="shared" si="16"/>
        <v>695.25080000000003</v>
      </c>
      <c r="AK113" s="82"/>
      <c r="AL113" s="84"/>
      <c r="AM113" s="66"/>
    </row>
    <row r="114" spans="3:39" ht="90" x14ac:dyDescent="0.3">
      <c r="C114" s="41" t="s">
        <v>544</v>
      </c>
      <c r="D114" s="41" t="s">
        <v>124</v>
      </c>
      <c r="E114" s="42" t="s">
        <v>88</v>
      </c>
      <c r="G114" s="66"/>
      <c r="H114" s="74">
        <v>841</v>
      </c>
      <c r="I114" s="74">
        <v>811</v>
      </c>
      <c r="J114" s="74">
        <v>865</v>
      </c>
      <c r="K114" s="74">
        <v>979</v>
      </c>
      <c r="L114" s="74">
        <v>806</v>
      </c>
      <c r="M114" s="74">
        <v>383</v>
      </c>
      <c r="N114" s="76" cm="1">
        <f t="array" ref="N114">SUM((H114:L114)/5)</f>
        <v>860.40000000000009</v>
      </c>
      <c r="O114" s="74">
        <v>890</v>
      </c>
      <c r="P114" s="66"/>
      <c r="Q114" s="77">
        <v>50.334000000000003</v>
      </c>
      <c r="R114" s="77">
        <v>63.256999999999998</v>
      </c>
      <c r="S114" s="77">
        <v>0.441</v>
      </c>
      <c r="T114" s="77">
        <v>0.441</v>
      </c>
      <c r="U114" s="77">
        <f t="shared" si="10"/>
        <v>356</v>
      </c>
      <c r="V114" s="77">
        <f t="shared" si="11"/>
        <v>534</v>
      </c>
      <c r="W114" s="66"/>
      <c r="X114" s="77" t="s">
        <v>185</v>
      </c>
      <c r="Y114" s="77" t="s">
        <v>218</v>
      </c>
      <c r="Z114" s="79">
        <f>SUM(27.33065+24.90255+25.22171)/3</f>
        <v>25.818303333333333</v>
      </c>
      <c r="AA114" s="80">
        <f t="shared" si="12"/>
        <v>42.6002005</v>
      </c>
      <c r="AB114" s="66"/>
      <c r="AC114" s="81">
        <v>365</v>
      </c>
      <c r="AD114" s="82">
        <f t="shared" si="13"/>
        <v>115.7603</v>
      </c>
      <c r="AE114" s="82">
        <f t="shared" si="14"/>
        <v>126.64049999999999</v>
      </c>
      <c r="AF114" s="82">
        <f t="shared" si="15"/>
        <v>91.91</v>
      </c>
      <c r="AG114" s="82">
        <f t="shared" si="15"/>
        <v>227.49</v>
      </c>
      <c r="AH114" s="114"/>
      <c r="AI114" s="114"/>
      <c r="AJ114" s="83">
        <f t="shared" si="16"/>
        <v>561.80079999999998</v>
      </c>
      <c r="AK114" s="82"/>
      <c r="AL114" s="84"/>
      <c r="AM114" s="66"/>
    </row>
    <row r="115" spans="3:39" ht="90" x14ac:dyDescent="0.3">
      <c r="C115" s="41" t="s">
        <v>544</v>
      </c>
      <c r="D115" s="41" t="s">
        <v>124</v>
      </c>
      <c r="E115" s="42" t="s">
        <v>88</v>
      </c>
      <c r="G115" s="66"/>
      <c r="H115" s="74">
        <v>584</v>
      </c>
      <c r="I115" s="74">
        <v>1038</v>
      </c>
      <c r="J115" s="74">
        <v>1098</v>
      </c>
      <c r="K115" s="74">
        <v>1799</v>
      </c>
      <c r="L115" s="74">
        <v>972</v>
      </c>
      <c r="M115" s="74">
        <v>326</v>
      </c>
      <c r="N115" s="76" cm="1">
        <f t="array" ref="N115">SUM((H115:L115)/5)</f>
        <v>1098.2</v>
      </c>
      <c r="O115" s="74">
        <v>1300</v>
      </c>
      <c r="P115" s="66"/>
      <c r="Q115" s="77">
        <v>50.334000000000003</v>
      </c>
      <c r="R115" s="77">
        <v>63.256999999999998</v>
      </c>
      <c r="S115" s="77">
        <v>0.441</v>
      </c>
      <c r="T115" s="77">
        <v>0.441</v>
      </c>
      <c r="U115" s="77">
        <f t="shared" si="10"/>
        <v>520</v>
      </c>
      <c r="V115" s="77">
        <f t="shared" si="11"/>
        <v>780</v>
      </c>
      <c r="W115" s="66"/>
      <c r="X115" s="77" t="s">
        <v>185</v>
      </c>
      <c r="Y115" s="77" t="s">
        <v>219</v>
      </c>
      <c r="Z115" s="79">
        <f>SUM(27.38133+24.95195+25.27159)/3</f>
        <v>25.868290000000002</v>
      </c>
      <c r="AA115" s="80">
        <f t="shared" si="12"/>
        <v>42.682678500000009</v>
      </c>
      <c r="AB115" s="66"/>
      <c r="AC115" s="81">
        <v>365</v>
      </c>
      <c r="AD115" s="82">
        <f t="shared" si="13"/>
        <v>115.7603</v>
      </c>
      <c r="AE115" s="82">
        <f t="shared" si="14"/>
        <v>126.64049999999999</v>
      </c>
      <c r="AF115" s="82">
        <f t="shared" si="15"/>
        <v>134.52000000000001</v>
      </c>
      <c r="AG115" s="82">
        <f t="shared" si="15"/>
        <v>332.92</v>
      </c>
      <c r="AH115" s="114"/>
      <c r="AI115" s="114"/>
      <c r="AJ115" s="83">
        <f t="shared" si="16"/>
        <v>709.84079999999994</v>
      </c>
      <c r="AK115" s="82"/>
      <c r="AL115" s="84"/>
      <c r="AM115" s="66"/>
    </row>
    <row r="116" spans="3:39" ht="15.6" x14ac:dyDescent="0.3">
      <c r="C116" s="41" t="s">
        <v>544</v>
      </c>
      <c r="D116" s="41" t="s">
        <v>124</v>
      </c>
      <c r="E116" s="42" t="s">
        <v>88</v>
      </c>
      <c r="G116" s="66"/>
      <c r="H116" s="74">
        <v>192</v>
      </c>
      <c r="I116" s="74">
        <v>223</v>
      </c>
      <c r="J116" s="74">
        <v>285</v>
      </c>
      <c r="K116" s="74">
        <v>243</v>
      </c>
      <c r="L116" s="74">
        <v>139</v>
      </c>
      <c r="M116" s="74">
        <v>115</v>
      </c>
      <c r="N116" s="76" cm="1">
        <f t="array" ref="N116">SUM((H116:L116)/5)</f>
        <v>216.4</v>
      </c>
      <c r="O116" s="74">
        <v>220</v>
      </c>
      <c r="P116" s="66"/>
      <c r="Q116" s="77">
        <v>49.308</v>
      </c>
      <c r="R116" s="77">
        <v>72.016000000000005</v>
      </c>
      <c r="S116" s="77">
        <v>0.441</v>
      </c>
      <c r="T116" s="77">
        <v>0.441</v>
      </c>
      <c r="U116" s="77">
        <f t="shared" si="10"/>
        <v>88</v>
      </c>
      <c r="V116" s="77">
        <f t="shared" si="11"/>
        <v>132</v>
      </c>
      <c r="W116" s="66"/>
      <c r="X116" s="77">
        <v>15.868</v>
      </c>
      <c r="Y116" s="77">
        <v>27.082439999999998</v>
      </c>
      <c r="Z116" s="79">
        <v>27.082439999999998</v>
      </c>
      <c r="AA116" s="80">
        <f t="shared" si="12"/>
        <v>44.686025999999998</v>
      </c>
      <c r="AB116" s="66"/>
      <c r="AC116" s="81">
        <v>365</v>
      </c>
      <c r="AD116" s="82">
        <f t="shared" si="13"/>
        <v>131.7893</v>
      </c>
      <c r="AE116" s="82">
        <f t="shared" si="14"/>
        <v>144.17600000000002</v>
      </c>
      <c r="AF116" s="82">
        <f t="shared" si="15"/>
        <v>23.83</v>
      </c>
      <c r="AG116" s="82">
        <f t="shared" si="15"/>
        <v>58.99</v>
      </c>
      <c r="AH116" s="114"/>
      <c r="AI116" s="114"/>
      <c r="AJ116" s="83">
        <f t="shared" si="16"/>
        <v>358.78530000000001</v>
      </c>
      <c r="AK116" s="82"/>
      <c r="AL116" s="84"/>
      <c r="AM116" s="66"/>
    </row>
    <row r="117" spans="3:39" ht="15.6" x14ac:dyDescent="0.3">
      <c r="C117" s="41" t="s">
        <v>544</v>
      </c>
      <c r="D117" s="41" t="s">
        <v>124</v>
      </c>
      <c r="E117" s="42" t="s">
        <v>88</v>
      </c>
      <c r="G117" s="66"/>
      <c r="H117" s="74">
        <v>358</v>
      </c>
      <c r="I117" s="74">
        <v>505</v>
      </c>
      <c r="J117" s="74">
        <v>409</v>
      </c>
      <c r="K117" s="74">
        <v>509</v>
      </c>
      <c r="L117" s="74">
        <v>778</v>
      </c>
      <c r="M117" s="74">
        <v>305</v>
      </c>
      <c r="N117" s="76" cm="1">
        <f t="array" ref="N117">SUM((H117:L117)/5)</f>
        <v>511.79999999999995</v>
      </c>
      <c r="O117" s="74">
        <v>600</v>
      </c>
      <c r="P117" s="66"/>
      <c r="Q117" s="77">
        <v>49.308</v>
      </c>
      <c r="R117" s="77">
        <v>72.016000000000005</v>
      </c>
      <c r="S117" s="77">
        <v>0.441</v>
      </c>
      <c r="T117" s="77">
        <v>0.441</v>
      </c>
      <c r="U117" s="77">
        <f t="shared" si="10"/>
        <v>240</v>
      </c>
      <c r="V117" s="77">
        <f t="shared" si="11"/>
        <v>360</v>
      </c>
      <c r="W117" s="66"/>
      <c r="X117" s="77">
        <v>15.868</v>
      </c>
      <c r="Y117" s="77">
        <v>27.082540000000002</v>
      </c>
      <c r="Z117" s="79">
        <v>27.082540000000002</v>
      </c>
      <c r="AA117" s="80">
        <f t="shared" si="12"/>
        <v>44.686191000000008</v>
      </c>
      <c r="AB117" s="66"/>
      <c r="AC117" s="81">
        <v>365</v>
      </c>
      <c r="AD117" s="82">
        <f t="shared" si="13"/>
        <v>131.7893</v>
      </c>
      <c r="AE117" s="82">
        <f t="shared" si="14"/>
        <v>144.17600000000002</v>
      </c>
      <c r="AF117" s="82">
        <f t="shared" si="15"/>
        <v>65</v>
      </c>
      <c r="AG117" s="82">
        <f t="shared" si="15"/>
        <v>160.87</v>
      </c>
      <c r="AH117" s="114"/>
      <c r="AI117" s="114"/>
      <c r="AJ117" s="83">
        <f t="shared" si="16"/>
        <v>501.83530000000002</v>
      </c>
      <c r="AK117" s="82"/>
      <c r="AL117" s="84"/>
      <c r="AM117" s="66"/>
    </row>
    <row r="118" spans="3:39" ht="15.6" x14ac:dyDescent="0.3">
      <c r="C118" s="41" t="s">
        <v>545</v>
      </c>
      <c r="D118" s="41" t="s">
        <v>124</v>
      </c>
      <c r="E118" s="42" t="s">
        <v>88</v>
      </c>
      <c r="G118" s="66"/>
      <c r="H118" s="74">
        <v>1378</v>
      </c>
      <c r="I118" s="74">
        <v>1534</v>
      </c>
      <c r="J118" s="74">
        <v>2332</v>
      </c>
      <c r="K118" s="74">
        <v>2662</v>
      </c>
      <c r="L118" s="74">
        <v>1949</v>
      </c>
      <c r="M118" s="74">
        <v>1205</v>
      </c>
      <c r="N118" s="76" cm="1">
        <f t="array" ref="N118">SUM((H118:L118)/5)</f>
        <v>1971.0000000000002</v>
      </c>
      <c r="O118" s="74">
        <v>2300</v>
      </c>
      <c r="P118" s="66"/>
      <c r="Q118" s="77">
        <v>49.308</v>
      </c>
      <c r="R118" s="77">
        <v>72.016000000000005</v>
      </c>
      <c r="S118" s="77">
        <v>0.441</v>
      </c>
      <c r="T118" s="77">
        <v>0.441</v>
      </c>
      <c r="U118" s="77">
        <f t="shared" si="10"/>
        <v>920</v>
      </c>
      <c r="V118" s="77">
        <f t="shared" si="11"/>
        <v>1380</v>
      </c>
      <c r="W118" s="66"/>
      <c r="X118" s="77">
        <v>15.868</v>
      </c>
      <c r="Y118" s="77">
        <v>27.08277</v>
      </c>
      <c r="Z118" s="79">
        <v>27.08277</v>
      </c>
      <c r="AA118" s="80">
        <f t="shared" si="12"/>
        <v>44.686570500000002</v>
      </c>
      <c r="AB118" s="66"/>
      <c r="AC118" s="81">
        <v>365</v>
      </c>
      <c r="AD118" s="82">
        <f t="shared" si="13"/>
        <v>131.7893</v>
      </c>
      <c r="AE118" s="82">
        <f t="shared" si="14"/>
        <v>144.17600000000002</v>
      </c>
      <c r="AF118" s="82">
        <f t="shared" si="15"/>
        <v>249.16</v>
      </c>
      <c r="AG118" s="82">
        <f t="shared" si="15"/>
        <v>616.66999999999996</v>
      </c>
      <c r="AH118" s="114"/>
      <c r="AI118" s="114"/>
      <c r="AJ118" s="83">
        <f t="shared" si="16"/>
        <v>1141.7953</v>
      </c>
      <c r="AK118" s="82"/>
      <c r="AL118" s="84"/>
      <c r="AM118" s="66"/>
    </row>
    <row r="119" spans="3:39" ht="15.6" x14ac:dyDescent="0.3">
      <c r="C119" s="41" t="s">
        <v>545</v>
      </c>
      <c r="D119" s="41" t="s">
        <v>124</v>
      </c>
      <c r="E119" s="42" t="s">
        <v>88</v>
      </c>
      <c r="G119" s="66"/>
      <c r="H119" s="74">
        <v>1531</v>
      </c>
      <c r="I119" s="74">
        <v>1482</v>
      </c>
      <c r="J119" s="74">
        <v>1370</v>
      </c>
      <c r="K119" s="74">
        <v>1617</v>
      </c>
      <c r="L119" s="74">
        <v>1525</v>
      </c>
      <c r="M119" s="74">
        <v>666</v>
      </c>
      <c r="N119" s="76" cm="1">
        <f t="array" ref="N119">SUM((H119:L119)/5)</f>
        <v>1505</v>
      </c>
      <c r="O119" s="74">
        <v>1550</v>
      </c>
      <c r="P119" s="66"/>
      <c r="Q119" s="77">
        <v>49.308</v>
      </c>
      <c r="R119" s="77">
        <v>72.016000000000005</v>
      </c>
      <c r="S119" s="77">
        <v>0.441</v>
      </c>
      <c r="T119" s="77">
        <v>0.441</v>
      </c>
      <c r="U119" s="77">
        <f t="shared" si="10"/>
        <v>620</v>
      </c>
      <c r="V119" s="77">
        <f t="shared" si="11"/>
        <v>930</v>
      </c>
      <c r="W119" s="66"/>
      <c r="X119" s="77">
        <v>15.868</v>
      </c>
      <c r="Y119" s="77">
        <v>27.082830000000001</v>
      </c>
      <c r="Z119" s="79">
        <v>27.082830000000001</v>
      </c>
      <c r="AA119" s="80">
        <f t="shared" si="12"/>
        <v>44.686669500000008</v>
      </c>
      <c r="AB119" s="66"/>
      <c r="AC119" s="81">
        <v>365</v>
      </c>
      <c r="AD119" s="82">
        <f t="shared" si="13"/>
        <v>131.7893</v>
      </c>
      <c r="AE119" s="82">
        <f t="shared" si="14"/>
        <v>144.17600000000002</v>
      </c>
      <c r="AF119" s="82">
        <f t="shared" si="15"/>
        <v>167.91</v>
      </c>
      <c r="AG119" s="82">
        <f t="shared" si="15"/>
        <v>415.59</v>
      </c>
      <c r="AH119" s="114"/>
      <c r="AI119" s="114"/>
      <c r="AJ119" s="83">
        <f t="shared" si="16"/>
        <v>859.46530000000007</v>
      </c>
      <c r="AK119" s="82"/>
      <c r="AL119" s="84"/>
      <c r="AM119" s="66"/>
    </row>
    <row r="120" spans="3:39" ht="90" x14ac:dyDescent="0.3">
      <c r="C120" s="41" t="s">
        <v>545</v>
      </c>
      <c r="D120" s="41" t="s">
        <v>124</v>
      </c>
      <c r="E120" s="42" t="s">
        <v>88</v>
      </c>
      <c r="G120" s="66"/>
      <c r="H120" s="74">
        <v>1230</v>
      </c>
      <c r="I120" s="74">
        <v>1301</v>
      </c>
      <c r="J120" s="74">
        <v>1235</v>
      </c>
      <c r="K120" s="74">
        <v>1326</v>
      </c>
      <c r="L120" s="74">
        <v>1086</v>
      </c>
      <c r="M120" s="74">
        <v>498</v>
      </c>
      <c r="N120" s="76" cm="1">
        <f t="array" ref="N120">SUM((H120:L120)/5)</f>
        <v>1235.6000000000001</v>
      </c>
      <c r="O120" s="74">
        <v>1240</v>
      </c>
      <c r="P120" s="66"/>
      <c r="Q120" s="77">
        <v>50.334000000000003</v>
      </c>
      <c r="R120" s="77">
        <v>63.256999999999998</v>
      </c>
      <c r="S120" s="77">
        <v>0.441</v>
      </c>
      <c r="T120" s="77">
        <v>0.441</v>
      </c>
      <c r="U120" s="77">
        <f t="shared" si="10"/>
        <v>496</v>
      </c>
      <c r="V120" s="77">
        <f t="shared" si="11"/>
        <v>744</v>
      </c>
      <c r="W120" s="66"/>
      <c r="X120" s="77" t="s">
        <v>220</v>
      </c>
      <c r="Y120" s="77" t="s">
        <v>221</v>
      </c>
      <c r="Z120" s="79">
        <f>SUM(27.32318+24.89067+25.20896)/3</f>
        <v>25.807603333333333</v>
      </c>
      <c r="AA120" s="80">
        <f t="shared" si="12"/>
        <v>42.582545499999995</v>
      </c>
      <c r="AB120" s="66"/>
      <c r="AC120" s="81">
        <v>365</v>
      </c>
      <c r="AD120" s="82">
        <f t="shared" si="13"/>
        <v>115.7603</v>
      </c>
      <c r="AE120" s="82">
        <f t="shared" si="14"/>
        <v>126.64049999999999</v>
      </c>
      <c r="AF120" s="82">
        <f t="shared" si="15"/>
        <v>128.01</v>
      </c>
      <c r="AG120" s="82">
        <f t="shared" si="15"/>
        <v>316.81</v>
      </c>
      <c r="AH120" s="114"/>
      <c r="AI120" s="114"/>
      <c r="AJ120" s="83">
        <f t="shared" si="16"/>
        <v>687.22080000000005</v>
      </c>
      <c r="AK120" s="82"/>
      <c r="AL120" s="84"/>
      <c r="AM120" s="66"/>
    </row>
    <row r="121" spans="3:39" ht="90" x14ac:dyDescent="0.3">
      <c r="C121" s="41" t="s">
        <v>546</v>
      </c>
      <c r="D121" s="41" t="s">
        <v>124</v>
      </c>
      <c r="E121" s="42" t="s">
        <v>88</v>
      </c>
      <c r="G121" s="66"/>
      <c r="H121" s="74">
        <v>880</v>
      </c>
      <c r="I121" s="74">
        <v>951</v>
      </c>
      <c r="J121" s="74">
        <v>826</v>
      </c>
      <c r="K121" s="74">
        <v>824</v>
      </c>
      <c r="L121" s="74">
        <v>608</v>
      </c>
      <c r="M121" s="74">
        <v>332</v>
      </c>
      <c r="N121" s="76" cm="1">
        <f t="array" ref="N121">SUM((H121:L121)/5)</f>
        <v>817.80000000000007</v>
      </c>
      <c r="O121" s="74">
        <v>820</v>
      </c>
      <c r="P121" s="66"/>
      <c r="Q121" s="77">
        <v>50.334000000000003</v>
      </c>
      <c r="R121" s="77">
        <v>63.256999999999998</v>
      </c>
      <c r="S121" s="77">
        <v>0.441</v>
      </c>
      <c r="T121" s="77">
        <v>0.441</v>
      </c>
      <c r="U121" s="77">
        <f t="shared" si="10"/>
        <v>328</v>
      </c>
      <c r="V121" s="77">
        <f t="shared" si="11"/>
        <v>492</v>
      </c>
      <c r="W121" s="66"/>
      <c r="X121" s="77" t="s">
        <v>220</v>
      </c>
      <c r="Y121" s="77" t="s">
        <v>222</v>
      </c>
      <c r="Z121" s="79">
        <f>SUM(27.32025+24.89055+25.20952)/3</f>
        <v>25.806773333333336</v>
      </c>
      <c r="AA121" s="80">
        <f t="shared" si="12"/>
        <v>42.581176000000006</v>
      </c>
      <c r="AB121" s="66"/>
      <c r="AC121" s="81">
        <v>365</v>
      </c>
      <c r="AD121" s="82">
        <f t="shared" si="13"/>
        <v>115.7603</v>
      </c>
      <c r="AE121" s="82">
        <f t="shared" si="14"/>
        <v>126.64049999999999</v>
      </c>
      <c r="AF121" s="82">
        <f t="shared" si="15"/>
        <v>84.65</v>
      </c>
      <c r="AG121" s="82">
        <f t="shared" si="15"/>
        <v>209.5</v>
      </c>
      <c r="AH121" s="114"/>
      <c r="AI121" s="114"/>
      <c r="AJ121" s="83">
        <f t="shared" si="16"/>
        <v>536.55079999999998</v>
      </c>
      <c r="AK121" s="82"/>
      <c r="AL121" s="84"/>
      <c r="AM121" s="66"/>
    </row>
    <row r="122" spans="3:39" ht="15.6" x14ac:dyDescent="0.3">
      <c r="C122" s="41" t="s">
        <v>547</v>
      </c>
      <c r="D122" s="41" t="s">
        <v>124</v>
      </c>
      <c r="E122" s="42" t="s">
        <v>88</v>
      </c>
      <c r="G122" s="66"/>
      <c r="H122" s="74">
        <v>485</v>
      </c>
      <c r="I122" s="74">
        <v>526</v>
      </c>
      <c r="J122" s="74">
        <v>297</v>
      </c>
      <c r="K122" s="74">
        <v>201</v>
      </c>
      <c r="L122" s="74">
        <v>333</v>
      </c>
      <c r="M122" s="74">
        <v>86</v>
      </c>
      <c r="N122" s="76" cm="1">
        <f t="array" ref="N122">SUM((H122:L122)/5)</f>
        <v>368.4</v>
      </c>
      <c r="O122" s="74">
        <v>360</v>
      </c>
      <c r="P122" s="66"/>
      <c r="Q122" s="77">
        <v>49.308</v>
      </c>
      <c r="R122" s="77">
        <v>72.016000000000005</v>
      </c>
      <c r="S122" s="77">
        <v>0.441</v>
      </c>
      <c r="T122" s="77">
        <v>0.441</v>
      </c>
      <c r="U122" s="77">
        <f t="shared" si="10"/>
        <v>144</v>
      </c>
      <c r="V122" s="77">
        <f t="shared" si="11"/>
        <v>216</v>
      </c>
      <c r="W122" s="66"/>
      <c r="X122" s="77">
        <v>15.868</v>
      </c>
      <c r="Y122" s="77">
        <v>27.08428</v>
      </c>
      <c r="Z122" s="79">
        <v>27.08428</v>
      </c>
      <c r="AA122" s="80">
        <f t="shared" si="12"/>
        <v>44.689062</v>
      </c>
      <c r="AB122" s="66"/>
      <c r="AC122" s="81">
        <v>365</v>
      </c>
      <c r="AD122" s="82">
        <f t="shared" si="13"/>
        <v>131.7893</v>
      </c>
      <c r="AE122" s="82">
        <f t="shared" si="14"/>
        <v>144.17600000000002</v>
      </c>
      <c r="AF122" s="82">
        <f t="shared" si="15"/>
        <v>39</v>
      </c>
      <c r="AG122" s="82">
        <f t="shared" si="15"/>
        <v>96.53</v>
      </c>
      <c r="AH122" s="114"/>
      <c r="AI122" s="114"/>
      <c r="AJ122" s="83">
        <f t="shared" si="16"/>
        <v>411.49530000000004</v>
      </c>
      <c r="AK122" s="82"/>
      <c r="AL122" s="84"/>
      <c r="AM122" s="66"/>
    </row>
    <row r="123" spans="3:39" ht="15.6" x14ac:dyDescent="0.3">
      <c r="C123" s="41" t="s">
        <v>547</v>
      </c>
      <c r="D123" s="41" t="s">
        <v>124</v>
      </c>
      <c r="E123" s="42" t="s">
        <v>88</v>
      </c>
      <c r="G123" s="66"/>
      <c r="H123" s="74">
        <v>364</v>
      </c>
      <c r="I123" s="74">
        <v>595</v>
      </c>
      <c r="J123" s="74">
        <v>580</v>
      </c>
      <c r="K123" s="74">
        <v>444</v>
      </c>
      <c r="L123" s="74">
        <v>304</v>
      </c>
      <c r="M123" s="74">
        <v>133</v>
      </c>
      <c r="N123" s="76" cm="1">
        <f t="array" ref="N123">SUM((H123:L123)/5)</f>
        <v>457.40000000000003</v>
      </c>
      <c r="O123" s="74">
        <v>450</v>
      </c>
      <c r="P123" s="66"/>
      <c r="Q123" s="77">
        <v>49.308</v>
      </c>
      <c r="R123" s="77">
        <v>72.016000000000005</v>
      </c>
      <c r="S123" s="77">
        <v>0.441</v>
      </c>
      <c r="T123" s="77">
        <v>0.441</v>
      </c>
      <c r="U123" s="77">
        <f t="shared" si="10"/>
        <v>180</v>
      </c>
      <c r="V123" s="77">
        <f t="shared" si="11"/>
        <v>270</v>
      </c>
      <c r="W123" s="66"/>
      <c r="X123" s="77">
        <v>15.868</v>
      </c>
      <c r="Y123" s="77">
        <v>27.08137</v>
      </c>
      <c r="Z123" s="79">
        <v>27.08137</v>
      </c>
      <c r="AA123" s="80">
        <f t="shared" si="12"/>
        <v>44.684260500000001</v>
      </c>
      <c r="AB123" s="66"/>
      <c r="AC123" s="81">
        <v>365</v>
      </c>
      <c r="AD123" s="82">
        <f t="shared" si="13"/>
        <v>131.7893</v>
      </c>
      <c r="AE123" s="82">
        <f t="shared" si="14"/>
        <v>144.17600000000002</v>
      </c>
      <c r="AF123" s="82">
        <f t="shared" si="15"/>
        <v>48.75</v>
      </c>
      <c r="AG123" s="82">
        <f t="shared" si="15"/>
        <v>120.65</v>
      </c>
      <c r="AH123" s="114"/>
      <c r="AI123" s="114"/>
      <c r="AJ123" s="83">
        <f t="shared" si="16"/>
        <v>445.36530000000005</v>
      </c>
      <c r="AK123" s="82"/>
      <c r="AL123" s="84"/>
      <c r="AM123" s="66"/>
    </row>
    <row r="124" spans="3:39" ht="60" x14ac:dyDescent="0.3">
      <c r="C124" s="41" t="s">
        <v>223</v>
      </c>
      <c r="D124" s="41" t="s">
        <v>124</v>
      </c>
      <c r="E124" s="42" t="s">
        <v>88</v>
      </c>
      <c r="G124" s="66"/>
      <c r="H124" s="74">
        <v>144</v>
      </c>
      <c r="I124" s="74">
        <v>149</v>
      </c>
      <c r="J124" s="74">
        <v>251</v>
      </c>
      <c r="K124" s="74">
        <v>1236</v>
      </c>
      <c r="L124" s="74">
        <v>1704</v>
      </c>
      <c r="M124" s="74">
        <v>1785</v>
      </c>
      <c r="N124" s="76" cm="1">
        <f t="array" ref="N124">SUM((H124:L124)/5)</f>
        <v>696.8</v>
      </c>
      <c r="O124" s="74">
        <v>1750</v>
      </c>
      <c r="P124" s="66"/>
      <c r="Q124" s="77">
        <v>49.325000000000003</v>
      </c>
      <c r="R124" s="77">
        <v>72.016000000000005</v>
      </c>
      <c r="S124" s="77">
        <v>0.441</v>
      </c>
      <c r="T124" s="77">
        <v>0.441</v>
      </c>
      <c r="U124" s="77">
        <f t="shared" si="10"/>
        <v>700</v>
      </c>
      <c r="V124" s="77">
        <f t="shared" si="11"/>
        <v>1050</v>
      </c>
      <c r="W124" s="66"/>
      <c r="X124" s="77" t="s">
        <v>224</v>
      </c>
      <c r="Y124" s="77" t="s">
        <v>225</v>
      </c>
      <c r="Z124" s="79">
        <f>SUM(27.19392+25.21743)/2</f>
        <v>26.205674999999999</v>
      </c>
      <c r="AA124" s="80">
        <f t="shared" si="12"/>
        <v>43.239363749999995</v>
      </c>
      <c r="AB124" s="66"/>
      <c r="AC124" s="81">
        <v>365</v>
      </c>
      <c r="AD124" s="82">
        <f t="shared" si="13"/>
        <v>131.7893</v>
      </c>
      <c r="AE124" s="82">
        <f t="shared" si="14"/>
        <v>144.17600000000002</v>
      </c>
      <c r="AF124" s="82">
        <f t="shared" si="15"/>
        <v>183.44</v>
      </c>
      <c r="AG124" s="82">
        <f t="shared" si="15"/>
        <v>454.01</v>
      </c>
      <c r="AH124" s="114"/>
      <c r="AI124" s="114"/>
      <c r="AJ124" s="83">
        <f t="shared" si="16"/>
        <v>913.4153</v>
      </c>
      <c r="AK124" s="82"/>
      <c r="AL124" s="84"/>
      <c r="AM124" s="66"/>
    </row>
    <row r="125" spans="3:39" ht="15.6" x14ac:dyDescent="0.3">
      <c r="C125" s="41" t="s">
        <v>548</v>
      </c>
      <c r="D125" s="41" t="s">
        <v>124</v>
      </c>
      <c r="E125" s="42" t="s">
        <v>88</v>
      </c>
      <c r="G125" s="66"/>
      <c r="H125" s="74">
        <v>798</v>
      </c>
      <c r="I125" s="74">
        <v>852</v>
      </c>
      <c r="J125" s="74">
        <v>1292</v>
      </c>
      <c r="K125" s="74">
        <v>1040</v>
      </c>
      <c r="L125" s="74">
        <v>729</v>
      </c>
      <c r="M125" s="74">
        <v>673</v>
      </c>
      <c r="N125" s="76" cm="1">
        <f t="array" ref="N125">SUM((H125:L125)/5)</f>
        <v>942.2</v>
      </c>
      <c r="O125" s="74">
        <v>940</v>
      </c>
      <c r="P125" s="66"/>
      <c r="Q125" s="77">
        <v>49.308</v>
      </c>
      <c r="R125" s="77">
        <v>72.016000000000005</v>
      </c>
      <c r="S125" s="77">
        <v>0.441</v>
      </c>
      <c r="T125" s="77">
        <v>0.441</v>
      </c>
      <c r="U125" s="77">
        <f t="shared" si="10"/>
        <v>376</v>
      </c>
      <c r="V125" s="77">
        <f t="shared" si="11"/>
        <v>564</v>
      </c>
      <c r="W125" s="66"/>
      <c r="X125" s="77">
        <v>15.868</v>
      </c>
      <c r="Y125" s="77">
        <v>27.08239</v>
      </c>
      <c r="Z125" s="79">
        <v>27.08239</v>
      </c>
      <c r="AA125" s="80">
        <f t="shared" si="12"/>
        <v>44.6859435</v>
      </c>
      <c r="AB125" s="66"/>
      <c r="AC125" s="81">
        <v>365</v>
      </c>
      <c r="AD125" s="82">
        <f t="shared" si="13"/>
        <v>131.7893</v>
      </c>
      <c r="AE125" s="82">
        <f t="shared" si="14"/>
        <v>144.17600000000002</v>
      </c>
      <c r="AF125" s="82">
        <f t="shared" si="15"/>
        <v>101.83</v>
      </c>
      <c r="AG125" s="82">
        <f t="shared" si="15"/>
        <v>252.03</v>
      </c>
      <c r="AH125" s="114"/>
      <c r="AI125" s="114"/>
      <c r="AJ125" s="83">
        <f t="shared" si="16"/>
        <v>629.82529999999997</v>
      </c>
      <c r="AK125" s="82"/>
      <c r="AL125" s="84"/>
      <c r="AM125" s="66"/>
    </row>
    <row r="126" spans="3:39" ht="15.6" x14ac:dyDescent="0.3">
      <c r="C126" s="41" t="s">
        <v>548</v>
      </c>
      <c r="D126" s="41" t="s">
        <v>124</v>
      </c>
      <c r="E126" s="42" t="s">
        <v>88</v>
      </c>
      <c r="G126" s="66"/>
      <c r="H126" s="74">
        <v>83</v>
      </c>
      <c r="I126" s="74">
        <v>6</v>
      </c>
      <c r="J126" s="74">
        <v>0</v>
      </c>
      <c r="K126" s="74">
        <v>0</v>
      </c>
      <c r="L126" s="74">
        <v>0</v>
      </c>
      <c r="M126" s="74">
        <v>0</v>
      </c>
      <c r="N126" s="76" cm="1">
        <f t="array" ref="N126">SUM((H126:L126)/5)</f>
        <v>17.8</v>
      </c>
      <c r="O126" s="74">
        <v>20</v>
      </c>
      <c r="P126" s="66"/>
      <c r="Q126" s="77">
        <v>49.308</v>
      </c>
      <c r="R126" s="77">
        <v>72.016000000000005</v>
      </c>
      <c r="S126" s="77">
        <v>0.441</v>
      </c>
      <c r="T126" s="77">
        <v>0.441</v>
      </c>
      <c r="U126" s="77">
        <f t="shared" si="10"/>
        <v>8</v>
      </c>
      <c r="V126" s="77">
        <f t="shared" si="11"/>
        <v>12</v>
      </c>
      <c r="W126" s="66"/>
      <c r="X126" s="77">
        <v>14.641999999999999</v>
      </c>
      <c r="Y126" s="77">
        <v>24.701049999999999</v>
      </c>
      <c r="Z126" s="79">
        <v>24.701049999999999</v>
      </c>
      <c r="AA126" s="80">
        <f t="shared" si="12"/>
        <v>40.756732499999998</v>
      </c>
      <c r="AB126" s="66"/>
      <c r="AC126" s="81">
        <v>365</v>
      </c>
      <c r="AD126" s="82">
        <f t="shared" si="13"/>
        <v>131.7893</v>
      </c>
      <c r="AE126" s="82">
        <f t="shared" si="14"/>
        <v>144.17600000000002</v>
      </c>
      <c r="AF126" s="82">
        <f t="shared" si="15"/>
        <v>1.98</v>
      </c>
      <c r="AG126" s="82">
        <f t="shared" si="15"/>
        <v>4.8899999999999997</v>
      </c>
      <c r="AH126" s="114"/>
      <c r="AI126" s="114"/>
      <c r="AJ126" s="83">
        <f t="shared" si="16"/>
        <v>282.83530000000002</v>
      </c>
      <c r="AK126" s="82"/>
      <c r="AL126" s="84"/>
      <c r="AM126" s="66"/>
    </row>
    <row r="127" spans="3:39" ht="15.6" x14ac:dyDescent="0.3">
      <c r="C127" s="41" t="s">
        <v>548</v>
      </c>
      <c r="D127" s="41" t="s">
        <v>124</v>
      </c>
      <c r="E127" s="42" t="s">
        <v>88</v>
      </c>
      <c r="G127" s="66"/>
      <c r="H127" s="74">
        <v>549</v>
      </c>
      <c r="I127" s="74">
        <v>885</v>
      </c>
      <c r="J127" s="74">
        <v>704</v>
      </c>
      <c r="K127" s="74">
        <v>850</v>
      </c>
      <c r="L127" s="74">
        <v>1159</v>
      </c>
      <c r="M127" s="74">
        <v>525</v>
      </c>
      <c r="N127" s="76" cm="1">
        <f t="array" ref="N127">SUM((H127:L127)/5)</f>
        <v>829.40000000000009</v>
      </c>
      <c r="O127" s="74">
        <v>870</v>
      </c>
      <c r="P127" s="66"/>
      <c r="Q127" s="77">
        <v>49.308</v>
      </c>
      <c r="R127" s="77">
        <v>72.016000000000005</v>
      </c>
      <c r="S127" s="77">
        <v>0.441</v>
      </c>
      <c r="T127" s="77">
        <v>0.441</v>
      </c>
      <c r="U127" s="77">
        <f t="shared" si="10"/>
        <v>348</v>
      </c>
      <c r="V127" s="77">
        <f t="shared" si="11"/>
        <v>522</v>
      </c>
      <c r="W127" s="66"/>
      <c r="X127" s="77">
        <v>15.868</v>
      </c>
      <c r="Y127" s="77">
        <v>27.083120000000001</v>
      </c>
      <c r="Z127" s="79">
        <v>27.083120000000001</v>
      </c>
      <c r="AA127" s="80">
        <f t="shared" si="12"/>
        <v>44.687148000000001</v>
      </c>
      <c r="AB127" s="66"/>
      <c r="AC127" s="81">
        <v>365</v>
      </c>
      <c r="AD127" s="82">
        <f t="shared" si="13"/>
        <v>131.7893</v>
      </c>
      <c r="AE127" s="82">
        <f t="shared" si="14"/>
        <v>144.17600000000002</v>
      </c>
      <c r="AF127" s="82">
        <f t="shared" si="15"/>
        <v>94.25</v>
      </c>
      <c r="AG127" s="82">
        <f t="shared" si="15"/>
        <v>233.27</v>
      </c>
      <c r="AH127" s="114"/>
      <c r="AI127" s="114"/>
      <c r="AJ127" s="83">
        <f t="shared" si="16"/>
        <v>603.48530000000005</v>
      </c>
      <c r="AK127" s="82"/>
      <c r="AL127" s="84"/>
      <c r="AM127" s="66"/>
    </row>
    <row r="128" spans="3:39" ht="15.6" x14ac:dyDescent="0.3">
      <c r="C128" s="41" t="s">
        <v>548</v>
      </c>
      <c r="D128" s="41" t="s">
        <v>124</v>
      </c>
      <c r="E128" s="42" t="s">
        <v>88</v>
      </c>
      <c r="G128" s="66"/>
      <c r="H128" s="74">
        <v>340</v>
      </c>
      <c r="I128" s="74">
        <v>301</v>
      </c>
      <c r="J128" s="74">
        <v>369</v>
      </c>
      <c r="K128" s="74">
        <v>661</v>
      </c>
      <c r="L128" s="74">
        <v>953</v>
      </c>
      <c r="M128" s="74">
        <v>557</v>
      </c>
      <c r="N128" s="76" cm="1">
        <f t="array" ref="N128">SUM((H128:L128)/5)</f>
        <v>524.79999999999995</v>
      </c>
      <c r="O128" s="74">
        <v>800</v>
      </c>
      <c r="P128" s="66"/>
      <c r="Q128" s="77">
        <v>49.308</v>
      </c>
      <c r="R128" s="77">
        <v>72.016000000000005</v>
      </c>
      <c r="S128" s="77">
        <v>0.441</v>
      </c>
      <c r="T128" s="77">
        <v>0.441</v>
      </c>
      <c r="U128" s="77">
        <f t="shared" si="10"/>
        <v>320</v>
      </c>
      <c r="V128" s="77">
        <f t="shared" si="11"/>
        <v>480</v>
      </c>
      <c r="W128" s="66"/>
      <c r="X128" s="77">
        <v>15.868</v>
      </c>
      <c r="Y128" s="77">
        <v>27.08267</v>
      </c>
      <c r="Z128" s="79">
        <v>27.08267</v>
      </c>
      <c r="AA128" s="80">
        <f t="shared" si="12"/>
        <v>44.686405499999999</v>
      </c>
      <c r="AB128" s="66"/>
      <c r="AC128" s="81">
        <v>365</v>
      </c>
      <c r="AD128" s="82">
        <f t="shared" si="13"/>
        <v>131.7893</v>
      </c>
      <c r="AE128" s="82">
        <f t="shared" si="14"/>
        <v>144.17600000000002</v>
      </c>
      <c r="AF128" s="82">
        <f t="shared" si="15"/>
        <v>86.66</v>
      </c>
      <c r="AG128" s="82">
        <f t="shared" si="15"/>
        <v>214.49</v>
      </c>
      <c r="AH128" s="114"/>
      <c r="AI128" s="114"/>
      <c r="AJ128" s="83">
        <f t="shared" si="16"/>
        <v>577.11530000000005</v>
      </c>
      <c r="AK128" s="82"/>
      <c r="AL128" s="84"/>
      <c r="AM128" s="66"/>
    </row>
    <row r="129" spans="3:39" ht="15.6" x14ac:dyDescent="0.3">
      <c r="C129" s="41" t="s">
        <v>548</v>
      </c>
      <c r="D129" s="41" t="s">
        <v>124</v>
      </c>
      <c r="E129" s="42" t="s">
        <v>88</v>
      </c>
      <c r="G129" s="66"/>
      <c r="H129" s="74">
        <v>2201</v>
      </c>
      <c r="I129" s="74">
        <v>1555</v>
      </c>
      <c r="J129" s="74">
        <v>1499</v>
      </c>
      <c r="K129" s="74">
        <v>0</v>
      </c>
      <c r="L129" s="74">
        <v>1226</v>
      </c>
      <c r="M129" s="74">
        <v>726</v>
      </c>
      <c r="N129" s="76" cm="1">
        <f t="array" ref="N129">SUM((H129:L129)/5)</f>
        <v>1296.2</v>
      </c>
      <c r="O129" s="74">
        <v>1290</v>
      </c>
      <c r="P129" s="66"/>
      <c r="Q129" s="77">
        <v>49.308</v>
      </c>
      <c r="R129" s="77">
        <v>72.016000000000005</v>
      </c>
      <c r="S129" s="77">
        <v>0.441</v>
      </c>
      <c r="T129" s="77">
        <v>0.441</v>
      </c>
      <c r="U129" s="77">
        <f t="shared" si="10"/>
        <v>516</v>
      </c>
      <c r="V129" s="77">
        <f t="shared" si="11"/>
        <v>774</v>
      </c>
      <c r="W129" s="66"/>
      <c r="X129" s="77">
        <v>15.868</v>
      </c>
      <c r="Y129" s="77">
        <v>27.08296</v>
      </c>
      <c r="Z129" s="79">
        <v>27.08296</v>
      </c>
      <c r="AA129" s="80">
        <f t="shared" si="12"/>
        <v>44.686883999999999</v>
      </c>
      <c r="AB129" s="66"/>
      <c r="AC129" s="81">
        <v>365</v>
      </c>
      <c r="AD129" s="82">
        <f t="shared" si="13"/>
        <v>131.7893</v>
      </c>
      <c r="AE129" s="82">
        <f t="shared" si="14"/>
        <v>144.17600000000002</v>
      </c>
      <c r="AF129" s="82">
        <f t="shared" si="15"/>
        <v>139.75</v>
      </c>
      <c r="AG129" s="82">
        <f t="shared" si="15"/>
        <v>345.88</v>
      </c>
      <c r="AH129" s="114"/>
      <c r="AI129" s="114"/>
      <c r="AJ129" s="83">
        <f t="shared" si="16"/>
        <v>761.59529999999995</v>
      </c>
      <c r="AK129" s="82"/>
      <c r="AL129" s="84"/>
      <c r="AM129" s="66"/>
    </row>
    <row r="130" spans="3:39" ht="15.6" x14ac:dyDescent="0.3">
      <c r="C130" s="41" t="s">
        <v>548</v>
      </c>
      <c r="D130" s="41" t="s">
        <v>124</v>
      </c>
      <c r="E130" s="42" t="s">
        <v>88</v>
      </c>
      <c r="G130" s="66"/>
      <c r="H130" s="74">
        <v>178</v>
      </c>
      <c r="I130" s="74">
        <v>214</v>
      </c>
      <c r="J130" s="74">
        <v>159</v>
      </c>
      <c r="K130" s="74">
        <v>24</v>
      </c>
      <c r="L130" s="74">
        <v>0</v>
      </c>
      <c r="M130" s="74">
        <v>0</v>
      </c>
      <c r="N130" s="76" cm="1">
        <f t="array" ref="N130">SUM((H130:L130)/5)</f>
        <v>115</v>
      </c>
      <c r="O130" s="74">
        <v>115</v>
      </c>
      <c r="P130" s="66"/>
      <c r="Q130" s="77">
        <v>49.308</v>
      </c>
      <c r="R130" s="77">
        <v>72.016000000000005</v>
      </c>
      <c r="S130" s="77">
        <v>0.441</v>
      </c>
      <c r="T130" s="77">
        <v>0.441</v>
      </c>
      <c r="U130" s="77">
        <f t="shared" si="10"/>
        <v>46</v>
      </c>
      <c r="V130" s="77">
        <f t="shared" si="11"/>
        <v>69</v>
      </c>
      <c r="W130" s="66"/>
      <c r="X130" s="77">
        <v>15.868</v>
      </c>
      <c r="Y130" s="77">
        <v>26.860710000000001</v>
      </c>
      <c r="Z130" s="79">
        <v>26.860710000000001</v>
      </c>
      <c r="AA130" s="80">
        <f t="shared" si="12"/>
        <v>44.320171500000001</v>
      </c>
      <c r="AB130" s="66"/>
      <c r="AC130" s="81">
        <v>365</v>
      </c>
      <c r="AD130" s="82">
        <f t="shared" si="13"/>
        <v>131.7893</v>
      </c>
      <c r="AE130" s="82">
        <f t="shared" si="14"/>
        <v>144.17600000000002</v>
      </c>
      <c r="AF130" s="82">
        <f t="shared" si="15"/>
        <v>12.36</v>
      </c>
      <c r="AG130" s="82">
        <f t="shared" si="15"/>
        <v>30.58</v>
      </c>
      <c r="AH130" s="114"/>
      <c r="AI130" s="114"/>
      <c r="AJ130" s="83">
        <f t="shared" si="16"/>
        <v>318.90530000000001</v>
      </c>
      <c r="AK130" s="82"/>
      <c r="AL130" s="84"/>
      <c r="AM130" s="66"/>
    </row>
    <row r="131" spans="3:39" ht="15.6" x14ac:dyDescent="0.3">
      <c r="C131" s="41" t="s">
        <v>226</v>
      </c>
      <c r="D131" s="41" t="s">
        <v>124</v>
      </c>
      <c r="E131" s="42" t="s">
        <v>88</v>
      </c>
      <c r="G131" s="66"/>
      <c r="H131" s="74">
        <v>594</v>
      </c>
      <c r="I131" s="74">
        <v>759</v>
      </c>
      <c r="J131" s="74">
        <v>1079</v>
      </c>
      <c r="K131" s="74">
        <v>808</v>
      </c>
      <c r="L131" s="74">
        <v>858</v>
      </c>
      <c r="M131" s="74">
        <v>603</v>
      </c>
      <c r="N131" s="76" cm="1">
        <f t="array" ref="N131">SUM((H131:L131)/5)</f>
        <v>819.6</v>
      </c>
      <c r="O131" s="74">
        <v>820</v>
      </c>
      <c r="P131" s="66"/>
      <c r="Q131" s="77">
        <v>49.308</v>
      </c>
      <c r="R131" s="77">
        <v>72.016000000000005</v>
      </c>
      <c r="S131" s="77">
        <v>0.441</v>
      </c>
      <c r="T131" s="77">
        <v>0.441</v>
      </c>
      <c r="U131" s="77">
        <f t="shared" si="10"/>
        <v>328</v>
      </c>
      <c r="V131" s="77">
        <f t="shared" si="11"/>
        <v>492</v>
      </c>
      <c r="W131" s="66"/>
      <c r="X131" s="77">
        <v>15.868</v>
      </c>
      <c r="Y131" s="77">
        <v>27.08306</v>
      </c>
      <c r="Z131" s="79">
        <v>27.08306</v>
      </c>
      <c r="AA131" s="80">
        <f t="shared" si="12"/>
        <v>44.687049000000002</v>
      </c>
      <c r="AB131" s="66"/>
      <c r="AC131" s="81">
        <v>365</v>
      </c>
      <c r="AD131" s="82">
        <f t="shared" si="13"/>
        <v>131.7893</v>
      </c>
      <c r="AE131" s="82">
        <f t="shared" si="14"/>
        <v>144.17600000000002</v>
      </c>
      <c r="AF131" s="82">
        <f t="shared" si="15"/>
        <v>88.83</v>
      </c>
      <c r="AG131" s="82">
        <f t="shared" si="15"/>
        <v>219.86</v>
      </c>
      <c r="AH131" s="114"/>
      <c r="AI131" s="114"/>
      <c r="AJ131" s="83">
        <f t="shared" si="16"/>
        <v>584.65530000000001</v>
      </c>
      <c r="AK131" s="82"/>
      <c r="AL131" s="84"/>
      <c r="AM131" s="66"/>
    </row>
    <row r="132" spans="3:39" ht="15.6" x14ac:dyDescent="0.3">
      <c r="C132" s="41" t="s">
        <v>226</v>
      </c>
      <c r="D132" s="41" t="s">
        <v>124</v>
      </c>
      <c r="E132" s="42" t="s">
        <v>88</v>
      </c>
      <c r="G132" s="66"/>
      <c r="H132" s="74">
        <v>365</v>
      </c>
      <c r="I132" s="74">
        <v>305</v>
      </c>
      <c r="J132" s="74">
        <v>327</v>
      </c>
      <c r="K132" s="74">
        <v>305</v>
      </c>
      <c r="L132" s="74">
        <v>57</v>
      </c>
      <c r="M132" s="74">
        <v>14</v>
      </c>
      <c r="N132" s="76" cm="1">
        <f t="array" ref="N132">SUM((H132:L132)/5)</f>
        <v>271.79999999999995</v>
      </c>
      <c r="O132" s="74">
        <v>270</v>
      </c>
      <c r="P132" s="66"/>
      <c r="Q132" s="77">
        <v>49.308</v>
      </c>
      <c r="R132" s="77">
        <v>72.016000000000005</v>
      </c>
      <c r="S132" s="77">
        <v>0.441</v>
      </c>
      <c r="T132" s="77">
        <v>0.441</v>
      </c>
      <c r="U132" s="77">
        <f t="shared" si="10"/>
        <v>108</v>
      </c>
      <c r="V132" s="77">
        <f t="shared" si="11"/>
        <v>162</v>
      </c>
      <c r="W132" s="66"/>
      <c r="X132" s="77">
        <v>15.868</v>
      </c>
      <c r="Y132" s="77">
        <v>27.085540000000002</v>
      </c>
      <c r="Z132" s="79">
        <v>27.085540000000002</v>
      </c>
      <c r="AA132" s="80">
        <f t="shared" si="12"/>
        <v>44.691141000000002</v>
      </c>
      <c r="AB132" s="66"/>
      <c r="AC132" s="81">
        <v>365</v>
      </c>
      <c r="AD132" s="82">
        <f t="shared" si="13"/>
        <v>131.7893</v>
      </c>
      <c r="AE132" s="82">
        <f t="shared" si="14"/>
        <v>144.17600000000002</v>
      </c>
      <c r="AF132" s="82">
        <f t="shared" si="15"/>
        <v>29.25</v>
      </c>
      <c r="AG132" s="82">
        <f t="shared" si="15"/>
        <v>72.400000000000006</v>
      </c>
      <c r="AH132" s="114"/>
      <c r="AI132" s="114"/>
      <c r="AJ132" s="83">
        <f t="shared" si="16"/>
        <v>377.61530000000005</v>
      </c>
      <c r="AK132" s="82"/>
      <c r="AL132" s="84"/>
      <c r="AM132" s="66"/>
    </row>
    <row r="133" spans="3:39" ht="15.6" x14ac:dyDescent="0.3">
      <c r="C133" s="41" t="s">
        <v>226</v>
      </c>
      <c r="D133" s="41" t="s">
        <v>124</v>
      </c>
      <c r="E133" s="42" t="s">
        <v>88</v>
      </c>
      <c r="G133" s="66"/>
      <c r="H133" s="74">
        <v>693</v>
      </c>
      <c r="I133" s="74">
        <v>796</v>
      </c>
      <c r="J133" s="74">
        <v>764</v>
      </c>
      <c r="K133" s="74">
        <v>557</v>
      </c>
      <c r="L133" s="74">
        <v>603</v>
      </c>
      <c r="M133" s="74">
        <v>549</v>
      </c>
      <c r="N133" s="76" cm="1">
        <f t="array" ref="N133">SUM((H133:L133)/5)</f>
        <v>682.6</v>
      </c>
      <c r="O133" s="74">
        <v>550</v>
      </c>
      <c r="P133" s="66"/>
      <c r="Q133" s="77">
        <v>49.308</v>
      </c>
      <c r="R133" s="77">
        <v>72.016000000000005</v>
      </c>
      <c r="S133" s="77">
        <v>0.441</v>
      </c>
      <c r="T133" s="77">
        <v>0.441</v>
      </c>
      <c r="U133" s="77">
        <f t="shared" si="10"/>
        <v>220</v>
      </c>
      <c r="V133" s="77">
        <f t="shared" si="11"/>
        <v>330</v>
      </c>
      <c r="W133" s="66"/>
      <c r="X133" s="77">
        <v>15.868</v>
      </c>
      <c r="Y133" s="77">
        <v>27.082930000000001</v>
      </c>
      <c r="Z133" s="79">
        <v>27.082930000000001</v>
      </c>
      <c r="AA133" s="80">
        <f t="shared" si="12"/>
        <v>44.686834500000003</v>
      </c>
      <c r="AB133" s="66"/>
      <c r="AC133" s="81">
        <v>365</v>
      </c>
      <c r="AD133" s="82">
        <f t="shared" si="13"/>
        <v>131.7893</v>
      </c>
      <c r="AE133" s="82">
        <f t="shared" si="14"/>
        <v>144.17600000000002</v>
      </c>
      <c r="AF133" s="82">
        <f t="shared" si="15"/>
        <v>59.58</v>
      </c>
      <c r="AG133" s="82">
        <f t="shared" si="15"/>
        <v>147.47</v>
      </c>
      <c r="AH133" s="114"/>
      <c r="AI133" s="114"/>
      <c r="AJ133" s="83">
        <f t="shared" si="16"/>
        <v>483.01530000000002</v>
      </c>
      <c r="AK133" s="82"/>
      <c r="AL133" s="84"/>
      <c r="AM133" s="66"/>
    </row>
    <row r="134" spans="3:39" ht="15.6" x14ac:dyDescent="0.3">
      <c r="C134" s="41" t="s">
        <v>548</v>
      </c>
      <c r="D134" s="41" t="s">
        <v>124</v>
      </c>
      <c r="E134" s="42" t="s">
        <v>88</v>
      </c>
      <c r="G134" s="66"/>
      <c r="H134" s="74">
        <v>1120</v>
      </c>
      <c r="I134" s="74">
        <v>1025</v>
      </c>
      <c r="J134" s="74">
        <v>975</v>
      </c>
      <c r="K134" s="74">
        <v>820</v>
      </c>
      <c r="L134" s="74">
        <v>523</v>
      </c>
      <c r="M134" s="74">
        <v>337</v>
      </c>
      <c r="N134" s="76" cm="1">
        <f t="array" ref="N134">SUM((H134:L134)/5)</f>
        <v>892.6</v>
      </c>
      <c r="O134" s="74">
        <v>650</v>
      </c>
      <c r="P134" s="66"/>
      <c r="Q134" s="77">
        <v>49.308</v>
      </c>
      <c r="R134" s="77">
        <v>72.016000000000005</v>
      </c>
      <c r="S134" s="77">
        <v>0.441</v>
      </c>
      <c r="T134" s="77">
        <v>0.441</v>
      </c>
      <c r="U134" s="77">
        <f t="shared" si="10"/>
        <v>260</v>
      </c>
      <c r="V134" s="77">
        <f t="shared" si="11"/>
        <v>390</v>
      </c>
      <c r="W134" s="66"/>
      <c r="X134" s="77">
        <v>15.868</v>
      </c>
      <c r="Y134" s="77">
        <v>27.083159999999999</v>
      </c>
      <c r="Z134" s="79">
        <v>27.083159999999999</v>
      </c>
      <c r="AA134" s="80">
        <f t="shared" si="12"/>
        <v>44.687213999999997</v>
      </c>
      <c r="AB134" s="66"/>
      <c r="AC134" s="81">
        <v>365</v>
      </c>
      <c r="AD134" s="82">
        <f t="shared" si="13"/>
        <v>131.7893</v>
      </c>
      <c r="AE134" s="82">
        <f t="shared" si="14"/>
        <v>144.17600000000002</v>
      </c>
      <c r="AF134" s="82">
        <f t="shared" si="15"/>
        <v>70.42</v>
      </c>
      <c r="AG134" s="82">
        <f t="shared" si="15"/>
        <v>174.28</v>
      </c>
      <c r="AH134" s="114"/>
      <c r="AI134" s="114"/>
      <c r="AJ134" s="83">
        <f t="shared" si="16"/>
        <v>520.6653</v>
      </c>
      <c r="AK134" s="82"/>
      <c r="AL134" s="84"/>
      <c r="AM134" s="66"/>
    </row>
    <row r="135" spans="3:39" ht="15.6" x14ac:dyDescent="0.3">
      <c r="C135" s="41" t="s">
        <v>548</v>
      </c>
      <c r="D135" s="41" t="s">
        <v>124</v>
      </c>
      <c r="E135" s="42" t="s">
        <v>88</v>
      </c>
      <c r="G135" s="66"/>
      <c r="H135" s="74">
        <v>587</v>
      </c>
      <c r="I135" s="74">
        <v>830</v>
      </c>
      <c r="J135" s="74">
        <v>1353</v>
      </c>
      <c r="K135" s="74">
        <v>1218</v>
      </c>
      <c r="L135" s="74">
        <v>812</v>
      </c>
      <c r="M135" s="74">
        <v>527</v>
      </c>
      <c r="N135" s="76" cm="1">
        <f t="array" ref="N135">SUM((H135:L135)/5)</f>
        <v>960</v>
      </c>
      <c r="O135" s="74">
        <v>960</v>
      </c>
      <c r="P135" s="66"/>
      <c r="Q135" s="77">
        <v>49.308</v>
      </c>
      <c r="R135" s="77">
        <v>72.016000000000005</v>
      </c>
      <c r="S135" s="77">
        <v>0.441</v>
      </c>
      <c r="T135" s="77">
        <v>0.441</v>
      </c>
      <c r="U135" s="77">
        <f t="shared" si="10"/>
        <v>384</v>
      </c>
      <c r="V135" s="77">
        <f t="shared" si="11"/>
        <v>576</v>
      </c>
      <c r="W135" s="66"/>
      <c r="X135" s="77">
        <v>15.868</v>
      </c>
      <c r="Y135" s="77">
        <v>27.083290000000002</v>
      </c>
      <c r="Z135" s="79">
        <v>27.083290000000002</v>
      </c>
      <c r="AA135" s="80">
        <f t="shared" si="12"/>
        <v>44.687428500000003</v>
      </c>
      <c r="AB135" s="66"/>
      <c r="AC135" s="81">
        <v>365</v>
      </c>
      <c r="AD135" s="82">
        <f t="shared" si="13"/>
        <v>131.7893</v>
      </c>
      <c r="AE135" s="82">
        <f t="shared" si="14"/>
        <v>144.17600000000002</v>
      </c>
      <c r="AF135" s="82">
        <f t="shared" si="15"/>
        <v>104</v>
      </c>
      <c r="AG135" s="82">
        <f t="shared" si="15"/>
        <v>257.39999999999998</v>
      </c>
      <c r="AH135" s="114"/>
      <c r="AI135" s="114"/>
      <c r="AJ135" s="83">
        <f t="shared" si="16"/>
        <v>637.36529999999993</v>
      </c>
      <c r="AK135" s="82"/>
      <c r="AL135" s="84"/>
      <c r="AM135" s="66"/>
    </row>
    <row r="136" spans="3:39" ht="15.6" x14ac:dyDescent="0.3">
      <c r="C136" s="41" t="s">
        <v>548</v>
      </c>
      <c r="D136" s="41" t="s">
        <v>124</v>
      </c>
      <c r="E136" s="42" t="s">
        <v>88</v>
      </c>
      <c r="G136" s="66"/>
      <c r="H136" s="74">
        <v>593</v>
      </c>
      <c r="I136" s="74">
        <v>672</v>
      </c>
      <c r="J136" s="74">
        <v>915</v>
      </c>
      <c r="K136" s="74">
        <v>854</v>
      </c>
      <c r="L136" s="74">
        <v>967</v>
      </c>
      <c r="M136" s="74">
        <v>611</v>
      </c>
      <c r="N136" s="76" cm="1">
        <f t="array" ref="N136">SUM((H136:L136)/5)</f>
        <v>800.19999999999993</v>
      </c>
      <c r="O136" s="74">
        <v>800</v>
      </c>
      <c r="P136" s="66"/>
      <c r="Q136" s="77">
        <v>49.308</v>
      </c>
      <c r="R136" s="77">
        <v>72.016000000000005</v>
      </c>
      <c r="S136" s="77">
        <v>0.441</v>
      </c>
      <c r="T136" s="77">
        <v>0.441</v>
      </c>
      <c r="U136" s="77">
        <f t="shared" si="10"/>
        <v>320</v>
      </c>
      <c r="V136" s="77">
        <f t="shared" si="11"/>
        <v>480</v>
      </c>
      <c r="W136" s="66"/>
      <c r="X136" s="77">
        <v>15.868</v>
      </c>
      <c r="Y136" s="77">
        <v>27.08249</v>
      </c>
      <c r="Z136" s="79">
        <v>27.08249</v>
      </c>
      <c r="AA136" s="80">
        <f t="shared" si="12"/>
        <v>44.686108500000003</v>
      </c>
      <c r="AB136" s="66"/>
      <c r="AC136" s="81">
        <v>365</v>
      </c>
      <c r="AD136" s="82">
        <f t="shared" si="13"/>
        <v>131.7893</v>
      </c>
      <c r="AE136" s="82">
        <f t="shared" si="14"/>
        <v>144.17600000000002</v>
      </c>
      <c r="AF136" s="82">
        <f t="shared" si="15"/>
        <v>86.66</v>
      </c>
      <c r="AG136" s="82">
        <f t="shared" si="15"/>
        <v>214.49</v>
      </c>
      <c r="AH136" s="114"/>
      <c r="AI136" s="114"/>
      <c r="AJ136" s="83">
        <f t="shared" si="16"/>
        <v>577.11530000000005</v>
      </c>
      <c r="AK136" s="82"/>
      <c r="AL136" s="84"/>
      <c r="AM136" s="66"/>
    </row>
    <row r="137" spans="3:39" ht="15.6" x14ac:dyDescent="0.3">
      <c r="C137" s="41" t="s">
        <v>548</v>
      </c>
      <c r="D137" s="41" t="s">
        <v>124</v>
      </c>
      <c r="E137" s="42" t="s">
        <v>88</v>
      </c>
      <c r="G137" s="66"/>
      <c r="H137" s="74">
        <v>260</v>
      </c>
      <c r="I137" s="74">
        <v>273</v>
      </c>
      <c r="J137" s="74">
        <v>233</v>
      </c>
      <c r="K137" s="74">
        <v>263</v>
      </c>
      <c r="L137" s="74">
        <v>203</v>
      </c>
      <c r="M137" s="74">
        <v>111</v>
      </c>
      <c r="N137" s="76" cm="1">
        <f t="array" ref="N137">SUM((H137:L137)/5)</f>
        <v>246.39999999999998</v>
      </c>
      <c r="O137" s="74">
        <v>240</v>
      </c>
      <c r="P137" s="66"/>
      <c r="Q137" s="77">
        <v>49.308</v>
      </c>
      <c r="R137" s="77">
        <v>72.016000000000005</v>
      </c>
      <c r="S137" s="77">
        <v>0.441</v>
      </c>
      <c r="T137" s="77">
        <v>0.441</v>
      </c>
      <c r="U137" s="77">
        <f t="shared" ref="U137:U176" si="17">IF(E137="Gas",O137*R132,O137*$R$4)</f>
        <v>96</v>
      </c>
      <c r="V137" s="77">
        <f t="shared" ref="V137:V176" si="18">IF(E137="Gas",O137*T132,O137*$T$4)</f>
        <v>144</v>
      </c>
      <c r="W137" s="66"/>
      <c r="X137" s="77">
        <v>15.868</v>
      </c>
      <c r="Y137" s="77">
        <v>27.08117</v>
      </c>
      <c r="Z137" s="79">
        <v>27.08117</v>
      </c>
      <c r="AA137" s="80">
        <f t="shared" ref="AA137:AA176" si="19">SUM(Z137+Z137*$AA$4)</f>
        <v>44.683930500000002</v>
      </c>
      <c r="AB137" s="66"/>
      <c r="AC137" s="81">
        <v>365</v>
      </c>
      <c r="AD137" s="82">
        <f t="shared" ref="AD137:AD176" si="20">ROUND(R137*183,2)/100</f>
        <v>131.7893</v>
      </c>
      <c r="AE137" s="82">
        <f t="shared" ref="AE137:AE176" si="21">ROUND((R137+R137*$AE$4)*(365-183),2)/100</f>
        <v>144.17600000000002</v>
      </c>
      <c r="AF137" s="82">
        <f t="shared" ref="AF137:AG176" si="22">ROUND((U137*Z137)/100,2)</f>
        <v>26</v>
      </c>
      <c r="AG137" s="82">
        <f t="shared" si="22"/>
        <v>64.34</v>
      </c>
      <c r="AH137" s="114"/>
      <c r="AI137" s="114"/>
      <c r="AJ137" s="83">
        <f t="shared" ref="AJ137:AJ176" si="23">SUM(AD137:AG137)</f>
        <v>366.30529999999999</v>
      </c>
      <c r="AK137" s="82"/>
      <c r="AL137" s="84"/>
      <c r="AM137" s="66"/>
    </row>
    <row r="138" spans="3:39" ht="15.6" x14ac:dyDescent="0.3">
      <c r="C138" s="41" t="s">
        <v>548</v>
      </c>
      <c r="D138" s="41" t="s">
        <v>124</v>
      </c>
      <c r="E138" s="42" t="s">
        <v>88</v>
      </c>
      <c r="G138" s="66"/>
      <c r="H138" s="74">
        <v>155</v>
      </c>
      <c r="I138" s="74">
        <v>811</v>
      </c>
      <c r="J138" s="74">
        <v>858</v>
      </c>
      <c r="K138" s="74">
        <v>870</v>
      </c>
      <c r="L138" s="74">
        <v>316</v>
      </c>
      <c r="M138" s="74">
        <v>48</v>
      </c>
      <c r="N138" s="76" cm="1">
        <f t="array" ref="N138">SUM((H138:L138)/5)</f>
        <v>602</v>
      </c>
      <c r="O138" s="74">
        <v>600</v>
      </c>
      <c r="P138" s="66"/>
      <c r="Q138" s="77">
        <v>49.308</v>
      </c>
      <c r="R138" s="77">
        <v>72.016000000000005</v>
      </c>
      <c r="S138" s="77">
        <v>0.441</v>
      </c>
      <c r="T138" s="77">
        <v>0.441</v>
      </c>
      <c r="U138" s="77">
        <f t="shared" si="17"/>
        <v>240</v>
      </c>
      <c r="V138" s="77">
        <f t="shared" si="18"/>
        <v>360</v>
      </c>
      <c r="W138" s="66"/>
      <c r="X138" s="77">
        <v>15.868</v>
      </c>
      <c r="Y138" s="77">
        <v>27.083069999999999</v>
      </c>
      <c r="Z138" s="79">
        <v>27.083069999999999</v>
      </c>
      <c r="AA138" s="80">
        <f t="shared" si="19"/>
        <v>44.687065500000003</v>
      </c>
      <c r="AB138" s="66"/>
      <c r="AC138" s="81">
        <v>365</v>
      </c>
      <c r="AD138" s="82">
        <f t="shared" si="20"/>
        <v>131.7893</v>
      </c>
      <c r="AE138" s="82">
        <f t="shared" si="21"/>
        <v>144.17600000000002</v>
      </c>
      <c r="AF138" s="82">
        <f t="shared" si="22"/>
        <v>65</v>
      </c>
      <c r="AG138" s="82">
        <f t="shared" si="22"/>
        <v>160.87</v>
      </c>
      <c r="AH138" s="114"/>
      <c r="AI138" s="114"/>
      <c r="AJ138" s="83">
        <f t="shared" si="23"/>
        <v>501.83530000000002</v>
      </c>
      <c r="AK138" s="82"/>
      <c r="AL138" s="84"/>
      <c r="AM138" s="66"/>
    </row>
    <row r="139" spans="3:39" ht="90" x14ac:dyDescent="0.3">
      <c r="C139" s="41" t="s">
        <v>549</v>
      </c>
      <c r="D139" s="41" t="s">
        <v>124</v>
      </c>
      <c r="E139" s="42" t="s">
        <v>88</v>
      </c>
      <c r="G139" s="66"/>
      <c r="H139" s="74">
        <v>1384</v>
      </c>
      <c r="I139" s="74">
        <v>1338</v>
      </c>
      <c r="J139" s="74">
        <v>1586</v>
      </c>
      <c r="K139" s="74">
        <v>1397</v>
      </c>
      <c r="L139" s="74">
        <v>1571</v>
      </c>
      <c r="M139" s="74">
        <v>1149</v>
      </c>
      <c r="N139" s="76" cm="1">
        <f t="array" ref="N139">SUM((H139:L139)/5)</f>
        <v>1455.2</v>
      </c>
      <c r="O139" s="74">
        <v>1455</v>
      </c>
      <c r="P139" s="66"/>
      <c r="Q139" s="77">
        <v>50.334000000000003</v>
      </c>
      <c r="R139" s="77">
        <v>63.256999999999998</v>
      </c>
      <c r="S139" s="77">
        <v>0.441</v>
      </c>
      <c r="T139" s="77">
        <v>0.441</v>
      </c>
      <c r="U139" s="77">
        <f t="shared" si="17"/>
        <v>582</v>
      </c>
      <c r="V139" s="77">
        <f t="shared" si="18"/>
        <v>873</v>
      </c>
      <c r="W139" s="66"/>
      <c r="X139" s="77" t="s">
        <v>227</v>
      </c>
      <c r="Y139" s="77" t="s">
        <v>228</v>
      </c>
      <c r="Z139" s="79">
        <f>SUM(27.39725+24.96565+25.33999)/3</f>
        <v>25.900963333333333</v>
      </c>
      <c r="AA139" s="80">
        <f t="shared" si="19"/>
        <v>42.736589500000001</v>
      </c>
      <c r="AB139" s="66"/>
      <c r="AC139" s="81">
        <v>365</v>
      </c>
      <c r="AD139" s="82">
        <f t="shared" si="20"/>
        <v>115.7603</v>
      </c>
      <c r="AE139" s="82">
        <f t="shared" si="21"/>
        <v>126.64049999999999</v>
      </c>
      <c r="AF139" s="82">
        <f t="shared" si="22"/>
        <v>150.74</v>
      </c>
      <c r="AG139" s="82">
        <f t="shared" si="22"/>
        <v>373.09</v>
      </c>
      <c r="AH139" s="114"/>
      <c r="AI139" s="114"/>
      <c r="AJ139" s="83">
        <f t="shared" si="23"/>
        <v>766.23080000000004</v>
      </c>
      <c r="AK139" s="82"/>
      <c r="AL139" s="84"/>
      <c r="AM139" s="66"/>
    </row>
    <row r="140" spans="3:39" ht="15.6" x14ac:dyDescent="0.3">
      <c r="C140" s="41" t="s">
        <v>550</v>
      </c>
      <c r="D140" s="41" t="s">
        <v>124</v>
      </c>
      <c r="E140" s="42" t="s">
        <v>88</v>
      </c>
      <c r="G140" s="66"/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74">
        <v>0</v>
      </c>
      <c r="N140" s="76" cm="1">
        <f t="array" ref="N140">SUM((H140:L140)/5)</f>
        <v>0</v>
      </c>
      <c r="O140" s="74">
        <v>0</v>
      </c>
      <c r="P140" s="66"/>
      <c r="Q140" s="77">
        <v>49.828000000000003</v>
      </c>
      <c r="R140" s="77">
        <v>63.256999999999998</v>
      </c>
      <c r="S140" s="77">
        <v>0.441</v>
      </c>
      <c r="T140" s="77">
        <v>0.441</v>
      </c>
      <c r="U140" s="77">
        <f t="shared" si="17"/>
        <v>0</v>
      </c>
      <c r="V140" s="77">
        <f t="shared" si="18"/>
        <v>0</v>
      </c>
      <c r="W140" s="66"/>
      <c r="X140" s="77">
        <v>14.475</v>
      </c>
      <c r="Y140" s="77">
        <v>24.701049999999999</v>
      </c>
      <c r="Z140" s="79">
        <v>24.701049999999999</v>
      </c>
      <c r="AA140" s="80">
        <f t="shared" si="19"/>
        <v>40.756732499999998</v>
      </c>
      <c r="AB140" s="66"/>
      <c r="AC140" s="81">
        <v>365</v>
      </c>
      <c r="AD140" s="82">
        <f t="shared" si="20"/>
        <v>115.7603</v>
      </c>
      <c r="AE140" s="82">
        <f t="shared" si="21"/>
        <v>126.64049999999999</v>
      </c>
      <c r="AF140" s="82">
        <f t="shared" si="22"/>
        <v>0</v>
      </c>
      <c r="AG140" s="82">
        <f t="shared" si="22"/>
        <v>0</v>
      </c>
      <c r="AH140" s="114"/>
      <c r="AI140" s="114"/>
      <c r="AJ140" s="83">
        <f t="shared" si="23"/>
        <v>242.4008</v>
      </c>
      <c r="AK140" s="82"/>
      <c r="AL140" s="84"/>
      <c r="AM140" s="66"/>
    </row>
    <row r="141" spans="3:39" ht="15.6" x14ac:dyDescent="0.3">
      <c r="C141" s="41" t="s">
        <v>551</v>
      </c>
      <c r="D141" s="41" t="s">
        <v>124</v>
      </c>
      <c r="E141" s="42" t="s">
        <v>88</v>
      </c>
      <c r="G141" s="66"/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74">
        <v>0</v>
      </c>
      <c r="N141" s="76" cm="1">
        <f t="array" ref="N141">SUM((H141:L141)/5)</f>
        <v>0</v>
      </c>
      <c r="O141" s="74">
        <v>0</v>
      </c>
      <c r="P141" s="66"/>
      <c r="Q141" s="77">
        <v>49.828000000000003</v>
      </c>
      <c r="R141" s="77">
        <v>63.256999999999998</v>
      </c>
      <c r="S141" s="77">
        <v>0.441</v>
      </c>
      <c r="T141" s="77">
        <v>0.441</v>
      </c>
      <c r="U141" s="77">
        <f t="shared" si="17"/>
        <v>0</v>
      </c>
      <c r="V141" s="77">
        <f t="shared" si="18"/>
        <v>0</v>
      </c>
      <c r="W141" s="66"/>
      <c r="X141" s="77">
        <v>14.475</v>
      </c>
      <c r="Y141" s="77">
        <v>24.701049999999999</v>
      </c>
      <c r="Z141" s="79">
        <v>24.701049999999999</v>
      </c>
      <c r="AA141" s="80">
        <f t="shared" si="19"/>
        <v>40.756732499999998</v>
      </c>
      <c r="AB141" s="66"/>
      <c r="AC141" s="81">
        <v>365</v>
      </c>
      <c r="AD141" s="82">
        <f t="shared" si="20"/>
        <v>115.7603</v>
      </c>
      <c r="AE141" s="82">
        <f t="shared" si="21"/>
        <v>126.64049999999999</v>
      </c>
      <c r="AF141" s="82">
        <f t="shared" si="22"/>
        <v>0</v>
      </c>
      <c r="AG141" s="82">
        <f t="shared" si="22"/>
        <v>0</v>
      </c>
      <c r="AH141" s="114"/>
      <c r="AI141" s="114"/>
      <c r="AJ141" s="83">
        <f t="shared" si="23"/>
        <v>242.4008</v>
      </c>
      <c r="AK141" s="82"/>
      <c r="AL141" s="84"/>
      <c r="AM141" s="66"/>
    </row>
    <row r="142" spans="3:39" ht="15.6" x14ac:dyDescent="0.3">
      <c r="C142" s="41" t="s">
        <v>552</v>
      </c>
      <c r="D142" s="41" t="s">
        <v>124</v>
      </c>
      <c r="E142" s="42" t="s">
        <v>88</v>
      </c>
      <c r="G142" s="66"/>
      <c r="H142" s="74">
        <v>1841</v>
      </c>
      <c r="I142" s="74">
        <v>1444</v>
      </c>
      <c r="J142" s="74">
        <v>1402</v>
      </c>
      <c r="K142" s="74">
        <v>2935</v>
      </c>
      <c r="L142" s="74">
        <v>2115</v>
      </c>
      <c r="M142" s="74">
        <v>5741</v>
      </c>
      <c r="N142" s="76" cm="1">
        <f t="array" ref="N142">SUM((H142:L142)/5)</f>
        <v>1947.4</v>
      </c>
      <c r="O142" s="74">
        <v>1950</v>
      </c>
      <c r="P142" s="66"/>
      <c r="Q142" s="77">
        <v>49.308</v>
      </c>
      <c r="R142" s="77">
        <v>72.016000000000005</v>
      </c>
      <c r="S142" s="77">
        <v>0.441</v>
      </c>
      <c r="T142" s="77">
        <v>0.441</v>
      </c>
      <c r="U142" s="77">
        <f t="shared" si="17"/>
        <v>780</v>
      </c>
      <c r="V142" s="77">
        <f t="shared" si="18"/>
        <v>1170</v>
      </c>
      <c r="W142" s="66"/>
      <c r="X142" s="77">
        <v>15.868</v>
      </c>
      <c r="Y142" s="77">
        <v>27.082850000000001</v>
      </c>
      <c r="Z142" s="79">
        <v>27.082850000000001</v>
      </c>
      <c r="AA142" s="80">
        <f t="shared" si="19"/>
        <v>44.686702500000003</v>
      </c>
      <c r="AB142" s="66"/>
      <c r="AC142" s="81">
        <v>365</v>
      </c>
      <c r="AD142" s="82">
        <f t="shared" si="20"/>
        <v>131.7893</v>
      </c>
      <c r="AE142" s="82">
        <f t="shared" si="21"/>
        <v>144.17600000000002</v>
      </c>
      <c r="AF142" s="82">
        <f t="shared" si="22"/>
        <v>211.25</v>
      </c>
      <c r="AG142" s="82">
        <f t="shared" si="22"/>
        <v>522.83000000000004</v>
      </c>
      <c r="AH142" s="114"/>
      <c r="AI142" s="114"/>
      <c r="AJ142" s="83">
        <f t="shared" si="23"/>
        <v>1010.0453</v>
      </c>
      <c r="AK142" s="82"/>
      <c r="AL142" s="84"/>
      <c r="AM142" s="66"/>
    </row>
    <row r="143" spans="3:39" ht="15.6" x14ac:dyDescent="0.3">
      <c r="C143" s="41" t="s">
        <v>552</v>
      </c>
      <c r="D143" s="41" t="s">
        <v>124</v>
      </c>
      <c r="E143" s="42" t="s">
        <v>88</v>
      </c>
      <c r="G143" s="66"/>
      <c r="H143" s="74">
        <v>988</v>
      </c>
      <c r="I143" s="74">
        <v>871</v>
      </c>
      <c r="J143" s="74">
        <v>982</v>
      </c>
      <c r="K143" s="74">
        <v>899</v>
      </c>
      <c r="L143" s="74">
        <v>965</v>
      </c>
      <c r="M143" s="74">
        <v>206</v>
      </c>
      <c r="N143" s="76" cm="1">
        <f t="array" ref="N143">SUM((H143:L143)/5)</f>
        <v>941</v>
      </c>
      <c r="O143" s="74">
        <v>940</v>
      </c>
      <c r="P143" s="66"/>
      <c r="Q143" s="77">
        <v>49.308</v>
      </c>
      <c r="R143" s="77">
        <v>72.016000000000005</v>
      </c>
      <c r="S143" s="77">
        <v>0.441</v>
      </c>
      <c r="T143" s="77">
        <v>0.441</v>
      </c>
      <c r="U143" s="77">
        <f t="shared" si="17"/>
        <v>376</v>
      </c>
      <c r="V143" s="77">
        <f t="shared" si="18"/>
        <v>564</v>
      </c>
      <c r="W143" s="66"/>
      <c r="X143" s="77">
        <v>15.868</v>
      </c>
      <c r="Y143" s="77">
        <v>27.08344</v>
      </c>
      <c r="Z143" s="79">
        <v>27.08344</v>
      </c>
      <c r="AA143" s="80">
        <f t="shared" si="19"/>
        <v>44.687675999999996</v>
      </c>
      <c r="AB143" s="66"/>
      <c r="AC143" s="81">
        <v>365</v>
      </c>
      <c r="AD143" s="82">
        <f t="shared" si="20"/>
        <v>131.7893</v>
      </c>
      <c r="AE143" s="82">
        <f t="shared" si="21"/>
        <v>144.17600000000002</v>
      </c>
      <c r="AF143" s="82">
        <f t="shared" si="22"/>
        <v>101.83</v>
      </c>
      <c r="AG143" s="82">
        <f t="shared" si="22"/>
        <v>252.04</v>
      </c>
      <c r="AH143" s="114"/>
      <c r="AI143" s="114"/>
      <c r="AJ143" s="83">
        <f t="shared" si="23"/>
        <v>629.83529999999996</v>
      </c>
      <c r="AK143" s="82"/>
      <c r="AL143" s="84"/>
      <c r="AM143" s="66"/>
    </row>
    <row r="144" spans="3:39" ht="15.6" x14ac:dyDescent="0.3">
      <c r="C144" s="41" t="s">
        <v>553</v>
      </c>
      <c r="D144" s="41" t="s">
        <v>124</v>
      </c>
      <c r="E144" s="42" t="s">
        <v>88</v>
      </c>
      <c r="G144" s="66"/>
      <c r="H144" s="74">
        <v>868</v>
      </c>
      <c r="I144" s="74">
        <v>851</v>
      </c>
      <c r="J144" s="74">
        <v>854</v>
      </c>
      <c r="K144" s="74">
        <v>318</v>
      </c>
      <c r="L144" s="74">
        <v>215</v>
      </c>
      <c r="M144" s="74">
        <v>113</v>
      </c>
      <c r="N144" s="76" cm="1">
        <f t="array" ref="N144">SUM((H144:L144)/5)</f>
        <v>621.19999999999993</v>
      </c>
      <c r="O144" s="74">
        <v>450</v>
      </c>
      <c r="P144" s="66"/>
      <c r="Q144" s="77">
        <v>49.308</v>
      </c>
      <c r="R144" s="77">
        <v>72.016000000000005</v>
      </c>
      <c r="S144" s="77">
        <v>0.441</v>
      </c>
      <c r="T144" s="77">
        <v>0.441</v>
      </c>
      <c r="U144" s="77">
        <f t="shared" si="17"/>
        <v>180</v>
      </c>
      <c r="V144" s="77">
        <f t="shared" si="18"/>
        <v>270</v>
      </c>
      <c r="W144" s="66"/>
      <c r="X144" s="77">
        <v>15.868</v>
      </c>
      <c r="Y144" s="77">
        <v>27.08352</v>
      </c>
      <c r="Z144" s="79">
        <v>27.08352</v>
      </c>
      <c r="AA144" s="80">
        <f t="shared" si="19"/>
        <v>44.687808000000004</v>
      </c>
      <c r="AB144" s="66"/>
      <c r="AC144" s="81">
        <v>365</v>
      </c>
      <c r="AD144" s="82">
        <f t="shared" si="20"/>
        <v>131.7893</v>
      </c>
      <c r="AE144" s="82">
        <f t="shared" si="21"/>
        <v>144.17600000000002</v>
      </c>
      <c r="AF144" s="82">
        <f t="shared" si="22"/>
        <v>48.75</v>
      </c>
      <c r="AG144" s="82">
        <f t="shared" si="22"/>
        <v>120.66</v>
      </c>
      <c r="AH144" s="114"/>
      <c r="AI144" s="114"/>
      <c r="AJ144" s="83">
        <f t="shared" si="23"/>
        <v>445.37530000000004</v>
      </c>
      <c r="AK144" s="82"/>
      <c r="AL144" s="84"/>
      <c r="AM144" s="66"/>
    </row>
    <row r="145" spans="3:39" ht="90" x14ac:dyDescent="0.3">
      <c r="C145" s="41" t="s">
        <v>553</v>
      </c>
      <c r="D145" s="41" t="s">
        <v>124</v>
      </c>
      <c r="E145" s="42" t="s">
        <v>88</v>
      </c>
      <c r="G145" s="66"/>
      <c r="H145" s="74">
        <v>358</v>
      </c>
      <c r="I145" s="74">
        <v>348</v>
      </c>
      <c r="J145" s="74">
        <v>285</v>
      </c>
      <c r="K145" s="74">
        <v>271</v>
      </c>
      <c r="L145" s="74">
        <v>208</v>
      </c>
      <c r="M145" s="74">
        <v>135</v>
      </c>
      <c r="N145" s="76" cm="1">
        <f t="array" ref="N145">SUM((H145:L145)/5)</f>
        <v>294</v>
      </c>
      <c r="O145" s="74">
        <v>290</v>
      </c>
      <c r="P145" s="66"/>
      <c r="Q145" s="77">
        <v>50.334000000000003</v>
      </c>
      <c r="R145" s="77">
        <v>63.256999999999998</v>
      </c>
      <c r="S145" s="77">
        <v>0.441</v>
      </c>
      <c r="T145" s="77">
        <v>0.441</v>
      </c>
      <c r="U145" s="77">
        <f t="shared" si="17"/>
        <v>116</v>
      </c>
      <c r="V145" s="77">
        <f t="shared" si="18"/>
        <v>174</v>
      </c>
      <c r="W145" s="66"/>
      <c r="X145" s="77" t="s">
        <v>220</v>
      </c>
      <c r="Y145" s="77" t="s">
        <v>229</v>
      </c>
      <c r="Z145" s="79">
        <f>SUM(27.47883+25.0534+25.3757)/3</f>
        <v>25.969309999999997</v>
      </c>
      <c r="AA145" s="80">
        <f t="shared" si="19"/>
        <v>42.849361499999993</v>
      </c>
      <c r="AB145" s="66"/>
      <c r="AC145" s="81">
        <v>365</v>
      </c>
      <c r="AD145" s="82">
        <f t="shared" si="20"/>
        <v>115.7603</v>
      </c>
      <c r="AE145" s="82">
        <f t="shared" si="21"/>
        <v>126.64049999999999</v>
      </c>
      <c r="AF145" s="82">
        <f t="shared" si="22"/>
        <v>30.12</v>
      </c>
      <c r="AG145" s="82">
        <f t="shared" si="22"/>
        <v>74.56</v>
      </c>
      <c r="AH145" s="114"/>
      <c r="AI145" s="114"/>
      <c r="AJ145" s="83">
        <f t="shared" si="23"/>
        <v>347.08080000000001</v>
      </c>
      <c r="AK145" s="82"/>
      <c r="AL145" s="84"/>
      <c r="AM145" s="66"/>
    </row>
    <row r="146" spans="3:39" ht="15.6" x14ac:dyDescent="0.3">
      <c r="C146" s="41" t="s">
        <v>553</v>
      </c>
      <c r="D146" s="41" t="s">
        <v>124</v>
      </c>
      <c r="E146" s="42" t="s">
        <v>88</v>
      </c>
      <c r="G146" s="66"/>
      <c r="H146" s="74">
        <v>182</v>
      </c>
      <c r="I146" s="74">
        <v>503</v>
      </c>
      <c r="J146" s="74">
        <v>247</v>
      </c>
      <c r="K146" s="74">
        <v>232</v>
      </c>
      <c r="L146" s="74">
        <v>208</v>
      </c>
      <c r="M146" s="74">
        <v>115</v>
      </c>
      <c r="N146" s="76" cm="1">
        <f t="array" ref="N146">SUM((H146:L146)/5)</f>
        <v>274.40000000000003</v>
      </c>
      <c r="O146" s="74">
        <v>270</v>
      </c>
      <c r="P146" s="66"/>
      <c r="Q146" s="77">
        <v>49.308</v>
      </c>
      <c r="R146" s="77">
        <v>72.016000000000005</v>
      </c>
      <c r="S146" s="77">
        <v>0.441</v>
      </c>
      <c r="T146" s="77">
        <v>0.441</v>
      </c>
      <c r="U146" s="77">
        <f t="shared" si="17"/>
        <v>108</v>
      </c>
      <c r="V146" s="77">
        <f t="shared" si="18"/>
        <v>162</v>
      </c>
      <c r="W146" s="66"/>
      <c r="X146" s="77">
        <v>15.868</v>
      </c>
      <c r="Y146" s="77">
        <v>27.08325</v>
      </c>
      <c r="Z146" s="79">
        <v>27.08325</v>
      </c>
      <c r="AA146" s="80">
        <f t="shared" si="19"/>
        <v>44.687362499999999</v>
      </c>
      <c r="AB146" s="66"/>
      <c r="AC146" s="81">
        <v>365</v>
      </c>
      <c r="AD146" s="82">
        <f t="shared" si="20"/>
        <v>131.7893</v>
      </c>
      <c r="AE146" s="82">
        <f t="shared" si="21"/>
        <v>144.17600000000002</v>
      </c>
      <c r="AF146" s="82">
        <f t="shared" si="22"/>
        <v>29.25</v>
      </c>
      <c r="AG146" s="82">
        <f t="shared" si="22"/>
        <v>72.39</v>
      </c>
      <c r="AH146" s="114"/>
      <c r="AI146" s="114"/>
      <c r="AJ146" s="83">
        <f t="shared" si="23"/>
        <v>377.6053</v>
      </c>
      <c r="AK146" s="82"/>
      <c r="AL146" s="84"/>
      <c r="AM146" s="66"/>
    </row>
    <row r="147" spans="3:39" ht="15.6" x14ac:dyDescent="0.3">
      <c r="C147" s="41" t="s">
        <v>553</v>
      </c>
      <c r="D147" s="41" t="s">
        <v>124</v>
      </c>
      <c r="E147" s="42" t="s">
        <v>88</v>
      </c>
      <c r="G147" s="66"/>
      <c r="H147" s="74">
        <v>792</v>
      </c>
      <c r="I147" s="74">
        <v>329</v>
      </c>
      <c r="J147" s="74">
        <v>467</v>
      </c>
      <c r="K147" s="74">
        <v>423</v>
      </c>
      <c r="L147" s="74">
        <v>482</v>
      </c>
      <c r="M147" s="74">
        <v>136</v>
      </c>
      <c r="N147" s="76" cm="1">
        <f t="array" ref="N147">SUM((H147:L147)/5)</f>
        <v>498.6</v>
      </c>
      <c r="O147" s="74">
        <v>470</v>
      </c>
      <c r="P147" s="66"/>
      <c r="Q147" s="89">
        <v>0</v>
      </c>
      <c r="R147" s="89"/>
      <c r="S147" s="77">
        <v>0.441</v>
      </c>
      <c r="T147" s="77">
        <v>0.441</v>
      </c>
      <c r="U147" s="77">
        <f t="shared" si="17"/>
        <v>188</v>
      </c>
      <c r="V147" s="77">
        <f t="shared" si="18"/>
        <v>282</v>
      </c>
      <c r="W147" s="66"/>
      <c r="X147" s="77">
        <v>15.868</v>
      </c>
      <c r="Y147" s="89"/>
      <c r="Z147" s="90"/>
      <c r="AA147" s="80">
        <f t="shared" si="19"/>
        <v>0</v>
      </c>
      <c r="AB147" s="66"/>
      <c r="AC147" s="81">
        <v>365</v>
      </c>
      <c r="AD147" s="82">
        <f t="shared" si="20"/>
        <v>0</v>
      </c>
      <c r="AE147" s="82">
        <f t="shared" si="21"/>
        <v>0</v>
      </c>
      <c r="AF147" s="82">
        <f t="shared" si="22"/>
        <v>0</v>
      </c>
      <c r="AG147" s="82">
        <f t="shared" si="22"/>
        <v>0</v>
      </c>
      <c r="AH147" s="114"/>
      <c r="AI147" s="114"/>
      <c r="AJ147" s="83">
        <f t="shared" si="23"/>
        <v>0</v>
      </c>
      <c r="AK147" s="82"/>
      <c r="AL147" s="84"/>
      <c r="AM147" s="66"/>
    </row>
    <row r="148" spans="3:39" ht="15.6" x14ac:dyDescent="0.3">
      <c r="C148" s="41" t="s">
        <v>554</v>
      </c>
      <c r="D148" s="41" t="s">
        <v>124</v>
      </c>
      <c r="E148" s="42" t="s">
        <v>88</v>
      </c>
      <c r="G148" s="66"/>
      <c r="H148" s="74">
        <v>57</v>
      </c>
      <c r="I148" s="74">
        <v>95</v>
      </c>
      <c r="J148" s="74">
        <v>92</v>
      </c>
      <c r="K148" s="74">
        <v>87</v>
      </c>
      <c r="L148" s="74">
        <v>103</v>
      </c>
      <c r="M148" s="74">
        <v>44</v>
      </c>
      <c r="N148" s="76" cm="1">
        <f t="array" ref="N148">SUM((H148:L148)/5)</f>
        <v>86.799999999999983</v>
      </c>
      <c r="O148" s="74">
        <v>80</v>
      </c>
      <c r="P148" s="66"/>
      <c r="Q148" s="77">
        <v>49.308</v>
      </c>
      <c r="R148" s="77">
        <v>72.016000000000005</v>
      </c>
      <c r="S148" s="77">
        <v>0.441</v>
      </c>
      <c r="T148" s="77">
        <v>0.441</v>
      </c>
      <c r="U148" s="77">
        <f t="shared" si="17"/>
        <v>32</v>
      </c>
      <c r="V148" s="77">
        <f t="shared" si="18"/>
        <v>48</v>
      </c>
      <c r="W148" s="66"/>
      <c r="X148" s="77">
        <v>15.868</v>
      </c>
      <c r="Y148" s="77">
        <v>27.0808</v>
      </c>
      <c r="Z148" s="79">
        <v>27.0808</v>
      </c>
      <c r="AA148" s="80">
        <f t="shared" si="19"/>
        <v>44.683320000000002</v>
      </c>
      <c r="AB148" s="66"/>
      <c r="AC148" s="81">
        <v>365</v>
      </c>
      <c r="AD148" s="82">
        <f t="shared" si="20"/>
        <v>131.7893</v>
      </c>
      <c r="AE148" s="82">
        <f t="shared" si="21"/>
        <v>144.17600000000002</v>
      </c>
      <c r="AF148" s="82">
        <f t="shared" si="22"/>
        <v>8.67</v>
      </c>
      <c r="AG148" s="82">
        <f t="shared" si="22"/>
        <v>21.45</v>
      </c>
      <c r="AH148" s="114"/>
      <c r="AI148" s="114"/>
      <c r="AJ148" s="83">
        <f t="shared" si="23"/>
        <v>306.08530000000002</v>
      </c>
      <c r="AK148" s="82"/>
      <c r="AL148" s="84"/>
      <c r="AM148" s="66"/>
    </row>
    <row r="149" spans="3:39" ht="15.6" x14ac:dyDescent="0.3">
      <c r="C149" s="41" t="s">
        <v>553</v>
      </c>
      <c r="D149" s="41" t="s">
        <v>124</v>
      </c>
      <c r="E149" s="42" t="s">
        <v>88</v>
      </c>
      <c r="G149" s="66"/>
      <c r="H149" s="74">
        <v>620</v>
      </c>
      <c r="I149" s="74">
        <v>249</v>
      </c>
      <c r="J149" s="74">
        <v>249</v>
      </c>
      <c r="K149" s="74">
        <v>251</v>
      </c>
      <c r="L149" s="74">
        <v>265</v>
      </c>
      <c r="M149" s="74">
        <v>77</v>
      </c>
      <c r="N149" s="76" cm="1">
        <f t="array" ref="N149">SUM((H149:L149)/5)</f>
        <v>326.8</v>
      </c>
      <c r="O149" s="74">
        <v>270</v>
      </c>
      <c r="P149" s="66"/>
      <c r="Q149" s="89">
        <v>0</v>
      </c>
      <c r="R149" s="89"/>
      <c r="S149" s="77">
        <v>0.441</v>
      </c>
      <c r="T149" s="77">
        <v>0.441</v>
      </c>
      <c r="U149" s="77">
        <f t="shared" si="17"/>
        <v>108</v>
      </c>
      <c r="V149" s="77">
        <f t="shared" si="18"/>
        <v>162</v>
      </c>
      <c r="W149" s="66"/>
      <c r="X149" s="77">
        <v>15.868</v>
      </c>
      <c r="Y149" s="89"/>
      <c r="Z149" s="90"/>
      <c r="AA149" s="80">
        <f t="shared" si="19"/>
        <v>0</v>
      </c>
      <c r="AB149" s="66"/>
      <c r="AC149" s="81">
        <v>365</v>
      </c>
      <c r="AD149" s="82">
        <f t="shared" si="20"/>
        <v>0</v>
      </c>
      <c r="AE149" s="82">
        <f t="shared" si="21"/>
        <v>0</v>
      </c>
      <c r="AF149" s="82">
        <f t="shared" si="22"/>
        <v>0</v>
      </c>
      <c r="AG149" s="82">
        <f t="shared" si="22"/>
        <v>0</v>
      </c>
      <c r="AH149" s="114"/>
      <c r="AI149" s="114"/>
      <c r="AJ149" s="83">
        <f t="shared" si="23"/>
        <v>0</v>
      </c>
      <c r="AK149" s="82"/>
      <c r="AL149" s="84"/>
      <c r="AM149" s="66"/>
    </row>
    <row r="150" spans="3:39" ht="15.6" x14ac:dyDescent="0.3">
      <c r="C150" s="41" t="s">
        <v>553</v>
      </c>
      <c r="D150" s="41" t="s">
        <v>124</v>
      </c>
      <c r="E150" s="42" t="s">
        <v>88</v>
      </c>
      <c r="G150" s="66"/>
      <c r="H150" s="74">
        <v>252</v>
      </c>
      <c r="I150" s="74">
        <v>262</v>
      </c>
      <c r="J150" s="74">
        <v>241</v>
      </c>
      <c r="K150" s="74">
        <v>235</v>
      </c>
      <c r="L150" s="74">
        <v>193</v>
      </c>
      <c r="M150" s="74">
        <v>86</v>
      </c>
      <c r="N150" s="76" cm="1">
        <f t="array" ref="N150">SUM((H150:L150)/5)</f>
        <v>236.6</v>
      </c>
      <c r="O150" s="74">
        <v>230</v>
      </c>
      <c r="P150" s="66"/>
      <c r="Q150" s="77">
        <v>49.308</v>
      </c>
      <c r="R150" s="77">
        <v>72.016000000000005</v>
      </c>
      <c r="S150" s="77">
        <v>0.441</v>
      </c>
      <c r="T150" s="77">
        <v>0.441</v>
      </c>
      <c r="U150" s="77">
        <f t="shared" si="17"/>
        <v>92</v>
      </c>
      <c r="V150" s="77">
        <f t="shared" si="18"/>
        <v>138</v>
      </c>
      <c r="W150" s="66"/>
      <c r="X150" s="77">
        <v>15.868</v>
      </c>
      <c r="Y150" s="77">
        <v>27.084669999999999</v>
      </c>
      <c r="Z150" s="79">
        <v>27.084669999999999</v>
      </c>
      <c r="AA150" s="80">
        <f t="shared" si="19"/>
        <v>44.689705500000002</v>
      </c>
      <c r="AB150" s="66"/>
      <c r="AC150" s="81">
        <v>365</v>
      </c>
      <c r="AD150" s="82">
        <f t="shared" si="20"/>
        <v>131.7893</v>
      </c>
      <c r="AE150" s="82">
        <f t="shared" si="21"/>
        <v>144.17600000000002</v>
      </c>
      <c r="AF150" s="82">
        <f t="shared" si="22"/>
        <v>24.92</v>
      </c>
      <c r="AG150" s="82">
        <f t="shared" si="22"/>
        <v>61.67</v>
      </c>
      <c r="AH150" s="114"/>
      <c r="AI150" s="114"/>
      <c r="AJ150" s="83">
        <f t="shared" si="23"/>
        <v>362.55530000000005</v>
      </c>
      <c r="AK150" s="82"/>
      <c r="AL150" s="84"/>
      <c r="AM150" s="66"/>
    </row>
    <row r="151" spans="3:39" ht="15.6" x14ac:dyDescent="0.3">
      <c r="C151" s="41" t="s">
        <v>555</v>
      </c>
      <c r="D151" s="41" t="s">
        <v>124</v>
      </c>
      <c r="E151" s="42" t="s">
        <v>88</v>
      </c>
      <c r="G151" s="66"/>
      <c r="H151" s="74">
        <v>497</v>
      </c>
      <c r="I151" s="74">
        <v>386</v>
      </c>
      <c r="J151" s="74">
        <v>337</v>
      </c>
      <c r="K151" s="74">
        <v>288</v>
      </c>
      <c r="L151" s="74">
        <v>218</v>
      </c>
      <c r="M151" s="74">
        <v>105</v>
      </c>
      <c r="N151" s="76" cm="1">
        <f t="array" ref="N151">SUM((H151:L151)/5)</f>
        <v>345.20000000000005</v>
      </c>
      <c r="O151" s="74">
        <v>345</v>
      </c>
      <c r="P151" s="66"/>
      <c r="Q151" s="77">
        <v>49.308</v>
      </c>
      <c r="R151" s="77">
        <v>72.016000000000005</v>
      </c>
      <c r="S151" s="77">
        <v>0.441</v>
      </c>
      <c r="T151" s="77">
        <v>0.441</v>
      </c>
      <c r="U151" s="77">
        <f t="shared" si="17"/>
        <v>138</v>
      </c>
      <c r="V151" s="77">
        <f t="shared" si="18"/>
        <v>207</v>
      </c>
      <c r="W151" s="66"/>
      <c r="X151" s="77">
        <v>15.868</v>
      </c>
      <c r="Y151" s="77">
        <v>27.08361</v>
      </c>
      <c r="Z151" s="79">
        <v>27.08361</v>
      </c>
      <c r="AA151" s="80">
        <f t="shared" si="19"/>
        <v>44.687956499999999</v>
      </c>
      <c r="AB151" s="66"/>
      <c r="AC151" s="81">
        <v>365</v>
      </c>
      <c r="AD151" s="82">
        <f t="shared" si="20"/>
        <v>131.7893</v>
      </c>
      <c r="AE151" s="82">
        <f t="shared" si="21"/>
        <v>144.17600000000002</v>
      </c>
      <c r="AF151" s="82">
        <f t="shared" si="22"/>
        <v>37.380000000000003</v>
      </c>
      <c r="AG151" s="82">
        <f t="shared" si="22"/>
        <v>92.5</v>
      </c>
      <c r="AH151" s="114"/>
      <c r="AI151" s="114"/>
      <c r="AJ151" s="83">
        <f t="shared" si="23"/>
        <v>405.84530000000001</v>
      </c>
      <c r="AK151" s="82"/>
      <c r="AL151" s="84"/>
      <c r="AM151" s="66"/>
    </row>
    <row r="152" spans="3:39" ht="15.6" x14ac:dyDescent="0.3">
      <c r="C152" s="41" t="s">
        <v>556</v>
      </c>
      <c r="D152" s="41" t="s">
        <v>124</v>
      </c>
      <c r="E152" s="42" t="s">
        <v>88</v>
      </c>
      <c r="G152" s="66"/>
      <c r="H152" s="74">
        <v>168</v>
      </c>
      <c r="I152" s="74">
        <v>2243</v>
      </c>
      <c r="J152" s="74">
        <v>5</v>
      </c>
      <c r="K152" s="74">
        <v>3</v>
      </c>
      <c r="L152" s="74">
        <v>4</v>
      </c>
      <c r="M152" s="74">
        <v>2</v>
      </c>
      <c r="N152" s="76" cm="1">
        <f t="array" ref="N152">SUM((H152:L152)/5)</f>
        <v>484.60000000000008</v>
      </c>
      <c r="O152" s="74">
        <v>400</v>
      </c>
      <c r="P152" s="66"/>
      <c r="Q152" s="77">
        <v>49.308</v>
      </c>
      <c r="R152" s="77">
        <v>72.016000000000005</v>
      </c>
      <c r="S152" s="77">
        <v>0.441</v>
      </c>
      <c r="T152" s="77">
        <v>0.441</v>
      </c>
      <c r="U152" s="77">
        <f t="shared" si="17"/>
        <v>160</v>
      </c>
      <c r="V152" s="77">
        <f t="shared" si="18"/>
        <v>240</v>
      </c>
      <c r="W152" s="66"/>
      <c r="X152" s="77">
        <v>15.868</v>
      </c>
      <c r="Y152" s="77">
        <v>26.98997</v>
      </c>
      <c r="Z152" s="79">
        <v>26.98997</v>
      </c>
      <c r="AA152" s="80">
        <f t="shared" si="19"/>
        <v>44.533450500000001</v>
      </c>
      <c r="AB152" s="66"/>
      <c r="AC152" s="81">
        <v>365</v>
      </c>
      <c r="AD152" s="82">
        <f t="shared" si="20"/>
        <v>131.7893</v>
      </c>
      <c r="AE152" s="82">
        <f t="shared" si="21"/>
        <v>144.17600000000002</v>
      </c>
      <c r="AF152" s="82">
        <f t="shared" si="22"/>
        <v>43.18</v>
      </c>
      <c r="AG152" s="82">
        <f t="shared" si="22"/>
        <v>106.88</v>
      </c>
      <c r="AH152" s="114"/>
      <c r="AI152" s="114"/>
      <c r="AJ152" s="83">
        <f t="shared" si="23"/>
        <v>426.02530000000002</v>
      </c>
      <c r="AK152" s="82"/>
      <c r="AL152" s="84"/>
      <c r="AM152" s="66"/>
    </row>
    <row r="153" spans="3:39" ht="15.6" x14ac:dyDescent="0.3">
      <c r="C153" s="41" t="s">
        <v>557</v>
      </c>
      <c r="D153" s="41" t="s">
        <v>124</v>
      </c>
      <c r="E153" s="42" t="s">
        <v>88</v>
      </c>
      <c r="G153" s="66"/>
      <c r="H153" s="74">
        <v>250</v>
      </c>
      <c r="I153" s="74">
        <v>247</v>
      </c>
      <c r="J153" s="74">
        <v>249</v>
      </c>
      <c r="K153" s="74">
        <v>240</v>
      </c>
      <c r="L153" s="74">
        <v>2400</v>
      </c>
      <c r="M153" s="74">
        <v>156</v>
      </c>
      <c r="N153" s="76" cm="1">
        <f t="array" ref="N153">SUM((H153:L153)/5)</f>
        <v>677.2</v>
      </c>
      <c r="O153" s="74">
        <v>670</v>
      </c>
      <c r="P153" s="66"/>
      <c r="Q153" s="77">
        <v>49.308</v>
      </c>
      <c r="R153" s="77">
        <v>72.016000000000005</v>
      </c>
      <c r="S153" s="77">
        <v>0.441</v>
      </c>
      <c r="T153" s="77">
        <v>0.441</v>
      </c>
      <c r="U153" s="77">
        <f t="shared" si="17"/>
        <v>268</v>
      </c>
      <c r="V153" s="77">
        <f t="shared" si="18"/>
        <v>402</v>
      </c>
      <c r="W153" s="66"/>
      <c r="X153" s="77">
        <v>15.868</v>
      </c>
      <c r="Y153" s="77">
        <v>27.08277</v>
      </c>
      <c r="Z153" s="79">
        <v>27.08277</v>
      </c>
      <c r="AA153" s="80">
        <f t="shared" si="19"/>
        <v>44.686570500000002</v>
      </c>
      <c r="AB153" s="66"/>
      <c r="AC153" s="81">
        <v>365</v>
      </c>
      <c r="AD153" s="82">
        <f t="shared" si="20"/>
        <v>131.7893</v>
      </c>
      <c r="AE153" s="82">
        <f t="shared" si="21"/>
        <v>144.17600000000002</v>
      </c>
      <c r="AF153" s="82">
        <f t="shared" si="22"/>
        <v>72.58</v>
      </c>
      <c r="AG153" s="82">
        <f t="shared" si="22"/>
        <v>179.64</v>
      </c>
      <c r="AH153" s="114"/>
      <c r="AI153" s="114"/>
      <c r="AJ153" s="83">
        <f t="shared" si="23"/>
        <v>528.18529999999998</v>
      </c>
      <c r="AK153" s="82"/>
      <c r="AL153" s="84"/>
      <c r="AM153" s="66"/>
    </row>
    <row r="154" spans="3:39" ht="15.6" x14ac:dyDescent="0.3">
      <c r="C154" s="41" t="s">
        <v>558</v>
      </c>
      <c r="D154" s="41" t="s">
        <v>124</v>
      </c>
      <c r="E154" s="42" t="s">
        <v>88</v>
      </c>
      <c r="G154" s="66"/>
      <c r="H154" s="74">
        <v>0</v>
      </c>
      <c r="I154" s="74">
        <v>0</v>
      </c>
      <c r="J154" s="74">
        <v>0</v>
      </c>
      <c r="K154" s="74">
        <v>0</v>
      </c>
      <c r="L154" s="74">
        <v>2175</v>
      </c>
      <c r="M154" s="74">
        <v>1479</v>
      </c>
      <c r="N154" s="76" cm="1">
        <f t="array" ref="N154">SUM((H154:L154)/5)</f>
        <v>435</v>
      </c>
      <c r="O154" s="74">
        <v>1500</v>
      </c>
      <c r="P154" s="66"/>
      <c r="Q154" s="77">
        <v>49.308</v>
      </c>
      <c r="R154" s="77">
        <v>72.016000000000005</v>
      </c>
      <c r="S154" s="77">
        <v>0.441</v>
      </c>
      <c r="T154" s="77">
        <v>0.441</v>
      </c>
      <c r="U154" s="77">
        <f t="shared" si="17"/>
        <v>600</v>
      </c>
      <c r="V154" s="77">
        <f t="shared" si="18"/>
        <v>900</v>
      </c>
      <c r="W154" s="66"/>
      <c r="X154" s="77">
        <v>15.868</v>
      </c>
      <c r="Y154" s="77">
        <v>27.082809999999998</v>
      </c>
      <c r="Z154" s="79">
        <v>27.082809999999998</v>
      </c>
      <c r="AA154" s="80">
        <f t="shared" si="19"/>
        <v>44.686636499999999</v>
      </c>
      <c r="AB154" s="66"/>
      <c r="AC154" s="81">
        <v>365</v>
      </c>
      <c r="AD154" s="82">
        <f t="shared" si="20"/>
        <v>131.7893</v>
      </c>
      <c r="AE154" s="82">
        <f t="shared" si="21"/>
        <v>144.17600000000002</v>
      </c>
      <c r="AF154" s="82">
        <f t="shared" si="22"/>
        <v>162.5</v>
      </c>
      <c r="AG154" s="82">
        <f t="shared" si="22"/>
        <v>402.18</v>
      </c>
      <c r="AH154" s="114"/>
      <c r="AI154" s="114"/>
      <c r="AJ154" s="83">
        <f t="shared" si="23"/>
        <v>840.64530000000002</v>
      </c>
      <c r="AK154" s="82"/>
      <c r="AL154" s="84"/>
      <c r="AM154" s="66"/>
    </row>
    <row r="155" spans="3:39" ht="15.6" x14ac:dyDescent="0.3">
      <c r="C155" s="41" t="s">
        <v>559</v>
      </c>
      <c r="D155" s="41" t="s">
        <v>124</v>
      </c>
      <c r="E155" s="42" t="s">
        <v>88</v>
      </c>
      <c r="G155" s="66"/>
      <c r="H155" s="74">
        <v>570</v>
      </c>
      <c r="I155" s="74">
        <v>294</v>
      </c>
      <c r="J155" s="74">
        <v>390</v>
      </c>
      <c r="K155" s="74">
        <v>524</v>
      </c>
      <c r="L155" s="74">
        <v>1061</v>
      </c>
      <c r="M155" s="74">
        <v>371</v>
      </c>
      <c r="N155" s="76" cm="1">
        <f t="array" ref="N155">SUM((H155:L155)/5)</f>
        <v>567.79999999999995</v>
      </c>
      <c r="O155" s="74">
        <v>560</v>
      </c>
      <c r="P155" s="66"/>
      <c r="Q155" s="77">
        <v>49.308</v>
      </c>
      <c r="R155" s="77">
        <v>72.016000000000005</v>
      </c>
      <c r="S155" s="77">
        <v>0.441</v>
      </c>
      <c r="T155" s="77">
        <v>0.441</v>
      </c>
      <c r="U155" s="77">
        <f t="shared" si="17"/>
        <v>224</v>
      </c>
      <c r="V155" s="77">
        <f t="shared" si="18"/>
        <v>336</v>
      </c>
      <c r="W155" s="66"/>
      <c r="X155" s="77">
        <v>15.868</v>
      </c>
      <c r="Y155" s="77">
        <v>27.083259999999999</v>
      </c>
      <c r="Z155" s="79">
        <v>27.083259999999999</v>
      </c>
      <c r="AA155" s="80">
        <f t="shared" si="19"/>
        <v>44.687379</v>
      </c>
      <c r="AB155" s="66"/>
      <c r="AC155" s="81">
        <v>365</v>
      </c>
      <c r="AD155" s="82">
        <f t="shared" si="20"/>
        <v>131.7893</v>
      </c>
      <c r="AE155" s="82">
        <f t="shared" si="21"/>
        <v>144.17600000000002</v>
      </c>
      <c r="AF155" s="82">
        <f t="shared" si="22"/>
        <v>60.67</v>
      </c>
      <c r="AG155" s="82">
        <f t="shared" si="22"/>
        <v>150.15</v>
      </c>
      <c r="AH155" s="114"/>
      <c r="AI155" s="114"/>
      <c r="AJ155" s="83">
        <f t="shared" si="23"/>
        <v>486.78530000000001</v>
      </c>
      <c r="AK155" s="82"/>
      <c r="AL155" s="84"/>
      <c r="AM155" s="66"/>
    </row>
    <row r="156" spans="3:39" ht="60" x14ac:dyDescent="0.3">
      <c r="C156" s="41" t="s">
        <v>560</v>
      </c>
      <c r="D156" s="41" t="s">
        <v>124</v>
      </c>
      <c r="E156" s="42" t="s">
        <v>88</v>
      </c>
      <c r="G156" s="66"/>
      <c r="H156" s="74">
        <v>500</v>
      </c>
      <c r="I156" s="74">
        <v>565</v>
      </c>
      <c r="J156" s="74">
        <v>557</v>
      </c>
      <c r="K156" s="74">
        <v>272</v>
      </c>
      <c r="L156" s="74">
        <v>256</v>
      </c>
      <c r="M156" s="74">
        <v>217</v>
      </c>
      <c r="N156" s="76" cm="1">
        <f t="array" ref="N156">SUM((H156:L156)/5)</f>
        <v>429.99999999999994</v>
      </c>
      <c r="O156" s="74">
        <v>430</v>
      </c>
      <c r="P156" s="66"/>
      <c r="Q156" s="77">
        <v>50.334000000000003</v>
      </c>
      <c r="R156" s="77">
        <v>63.256999999999998</v>
      </c>
      <c r="S156" s="77">
        <v>0.441</v>
      </c>
      <c r="T156" s="77">
        <v>0.441</v>
      </c>
      <c r="U156" s="77">
        <f t="shared" si="17"/>
        <v>172</v>
      </c>
      <c r="V156" s="77">
        <f t="shared" si="18"/>
        <v>258</v>
      </c>
      <c r="W156" s="66"/>
      <c r="X156" s="77" t="s">
        <v>181</v>
      </c>
      <c r="Y156" s="77" t="s">
        <v>230</v>
      </c>
      <c r="Z156" s="79">
        <f>SUM(26.73635+25.10401)/2</f>
        <v>25.920180000000002</v>
      </c>
      <c r="AA156" s="80">
        <f t="shared" si="19"/>
        <v>42.768297000000004</v>
      </c>
      <c r="AB156" s="66"/>
      <c r="AC156" s="81">
        <v>365</v>
      </c>
      <c r="AD156" s="82">
        <f t="shared" si="20"/>
        <v>115.7603</v>
      </c>
      <c r="AE156" s="82">
        <f t="shared" si="21"/>
        <v>126.64049999999999</v>
      </c>
      <c r="AF156" s="82">
        <f t="shared" si="22"/>
        <v>44.58</v>
      </c>
      <c r="AG156" s="82">
        <f t="shared" si="22"/>
        <v>110.34</v>
      </c>
      <c r="AH156" s="114"/>
      <c r="AI156" s="114"/>
      <c r="AJ156" s="83">
        <f t="shared" si="23"/>
        <v>397.32079999999996</v>
      </c>
      <c r="AK156" s="82"/>
      <c r="AL156" s="84"/>
      <c r="AM156" s="66"/>
    </row>
    <row r="157" spans="3:39" ht="60" x14ac:dyDescent="0.3">
      <c r="C157" s="41" t="s">
        <v>560</v>
      </c>
      <c r="D157" s="41" t="s">
        <v>124</v>
      </c>
      <c r="E157" s="42" t="s">
        <v>88</v>
      </c>
      <c r="G157" s="66"/>
      <c r="H157" s="74">
        <v>1270</v>
      </c>
      <c r="I157" s="74">
        <v>1382</v>
      </c>
      <c r="J157" s="74">
        <v>1441</v>
      </c>
      <c r="K157" s="74">
        <v>1352</v>
      </c>
      <c r="L157" s="74">
        <v>946</v>
      </c>
      <c r="M157" s="74">
        <v>618</v>
      </c>
      <c r="N157" s="76" cm="1">
        <f t="array" ref="N157">SUM((H157:L157)/5)</f>
        <v>1278.2</v>
      </c>
      <c r="O157" s="74">
        <v>1270</v>
      </c>
      <c r="P157" s="66"/>
      <c r="Q157" s="77">
        <v>50.334000000000003</v>
      </c>
      <c r="R157" s="77">
        <v>63.256999999999998</v>
      </c>
      <c r="S157" s="77">
        <v>0.441</v>
      </c>
      <c r="T157" s="77">
        <v>0.441</v>
      </c>
      <c r="U157" s="77">
        <f t="shared" si="17"/>
        <v>508</v>
      </c>
      <c r="V157" s="77">
        <f t="shared" si="18"/>
        <v>762</v>
      </c>
      <c r="W157" s="66"/>
      <c r="X157" s="77" t="s">
        <v>181</v>
      </c>
      <c r="Y157" s="77" t="s">
        <v>231</v>
      </c>
      <c r="Z157" s="79">
        <f>SUM(26.73425+25.10328)/2</f>
        <v>25.918765</v>
      </c>
      <c r="AA157" s="80">
        <f t="shared" si="19"/>
        <v>42.765962250000001</v>
      </c>
      <c r="AB157" s="66"/>
      <c r="AC157" s="81">
        <v>365</v>
      </c>
      <c r="AD157" s="82">
        <f t="shared" si="20"/>
        <v>115.7603</v>
      </c>
      <c r="AE157" s="82">
        <f t="shared" si="21"/>
        <v>126.64049999999999</v>
      </c>
      <c r="AF157" s="82">
        <f t="shared" si="22"/>
        <v>131.66999999999999</v>
      </c>
      <c r="AG157" s="82">
        <f t="shared" si="22"/>
        <v>325.88</v>
      </c>
      <c r="AH157" s="114"/>
      <c r="AI157" s="114"/>
      <c r="AJ157" s="83">
        <f t="shared" si="23"/>
        <v>699.95079999999996</v>
      </c>
      <c r="AK157" s="82"/>
      <c r="AL157" s="84"/>
      <c r="AM157" s="66"/>
    </row>
    <row r="158" spans="3:39" ht="15.6" x14ac:dyDescent="0.3">
      <c r="C158" s="41" t="s">
        <v>232</v>
      </c>
      <c r="D158" s="41" t="s">
        <v>124</v>
      </c>
      <c r="E158" s="42" t="s">
        <v>88</v>
      </c>
      <c r="G158" s="66"/>
      <c r="H158" s="74">
        <v>2475</v>
      </c>
      <c r="I158" s="74">
        <v>2707</v>
      </c>
      <c r="J158" s="74">
        <v>2291</v>
      </c>
      <c r="K158" s="74">
        <v>2450</v>
      </c>
      <c r="L158" s="74">
        <v>2146</v>
      </c>
      <c r="M158" s="74">
        <v>751</v>
      </c>
      <c r="N158" s="76" cm="1">
        <f t="array" ref="N158">SUM((H158:L158)/5)</f>
        <v>2413.8000000000002</v>
      </c>
      <c r="O158" s="74">
        <v>2400</v>
      </c>
      <c r="P158" s="66"/>
      <c r="Q158" s="77">
        <v>49.828000000000003</v>
      </c>
      <c r="R158" s="77">
        <v>63.256999999999998</v>
      </c>
      <c r="S158" s="77">
        <v>0.441</v>
      </c>
      <c r="T158" s="77">
        <v>0.441</v>
      </c>
      <c r="U158" s="77">
        <f t="shared" si="17"/>
        <v>960</v>
      </c>
      <c r="V158" s="77">
        <f t="shared" si="18"/>
        <v>1440</v>
      </c>
      <c r="W158" s="66"/>
      <c r="X158" s="77">
        <v>15.061999999999999</v>
      </c>
      <c r="Y158" s="77">
        <v>26.506460000000001</v>
      </c>
      <c r="Z158" s="79">
        <v>26.506460000000001</v>
      </c>
      <c r="AA158" s="80">
        <f t="shared" si="19"/>
        <v>43.735658999999998</v>
      </c>
      <c r="AB158" s="66"/>
      <c r="AC158" s="81">
        <v>365</v>
      </c>
      <c r="AD158" s="82">
        <f t="shared" si="20"/>
        <v>115.7603</v>
      </c>
      <c r="AE158" s="82">
        <f t="shared" si="21"/>
        <v>126.64049999999999</v>
      </c>
      <c r="AF158" s="82">
        <f t="shared" si="22"/>
        <v>254.46</v>
      </c>
      <c r="AG158" s="82">
        <f t="shared" si="22"/>
        <v>629.79</v>
      </c>
      <c r="AH158" s="114"/>
      <c r="AI158" s="114"/>
      <c r="AJ158" s="83">
        <f t="shared" si="23"/>
        <v>1126.6507999999999</v>
      </c>
      <c r="AK158" s="82"/>
      <c r="AL158" s="84"/>
      <c r="AM158" s="66"/>
    </row>
    <row r="159" spans="3:39" ht="60" x14ac:dyDescent="0.3">
      <c r="C159" s="41" t="s">
        <v>561</v>
      </c>
      <c r="D159" s="41" t="s">
        <v>124</v>
      </c>
      <c r="E159" s="42" t="s">
        <v>88</v>
      </c>
      <c r="G159" s="66"/>
      <c r="H159" s="74">
        <v>190</v>
      </c>
      <c r="I159" s="74">
        <v>164</v>
      </c>
      <c r="J159" s="74">
        <v>175</v>
      </c>
      <c r="K159" s="74">
        <v>326</v>
      </c>
      <c r="L159" s="74">
        <v>316</v>
      </c>
      <c r="M159" s="74">
        <v>183</v>
      </c>
      <c r="N159" s="76" cm="1">
        <f t="array" ref="N159">SUM((H159:L159)/5)</f>
        <v>234.2</v>
      </c>
      <c r="O159" s="74">
        <v>330</v>
      </c>
      <c r="P159" s="66"/>
      <c r="Q159" s="77">
        <v>50.334000000000003</v>
      </c>
      <c r="R159" s="77">
        <v>63.256999999999998</v>
      </c>
      <c r="S159" s="77">
        <v>0.441</v>
      </c>
      <c r="T159" s="77">
        <v>0.441</v>
      </c>
      <c r="U159" s="77">
        <f t="shared" si="17"/>
        <v>132</v>
      </c>
      <c r="V159" s="77">
        <f t="shared" si="18"/>
        <v>198</v>
      </c>
      <c r="W159" s="66"/>
      <c r="X159" s="77" t="s">
        <v>181</v>
      </c>
      <c r="Y159" s="77" t="s">
        <v>233</v>
      </c>
      <c r="Z159" s="79">
        <f>SUM(26.71671+25.08475)/2</f>
        <v>25.900729999999999</v>
      </c>
      <c r="AA159" s="80">
        <f t="shared" si="19"/>
        <v>42.736204499999999</v>
      </c>
      <c r="AB159" s="66"/>
      <c r="AC159" s="81">
        <v>365</v>
      </c>
      <c r="AD159" s="82">
        <f t="shared" si="20"/>
        <v>115.7603</v>
      </c>
      <c r="AE159" s="82">
        <f t="shared" si="21"/>
        <v>126.64049999999999</v>
      </c>
      <c r="AF159" s="82">
        <f t="shared" si="22"/>
        <v>34.19</v>
      </c>
      <c r="AG159" s="82">
        <f t="shared" si="22"/>
        <v>84.62</v>
      </c>
      <c r="AH159" s="114"/>
      <c r="AI159" s="114"/>
      <c r="AJ159" s="83">
        <f t="shared" si="23"/>
        <v>361.21080000000001</v>
      </c>
      <c r="AK159" s="82"/>
      <c r="AL159" s="84"/>
      <c r="AM159" s="66"/>
    </row>
    <row r="160" spans="3:39" ht="15.6" x14ac:dyDescent="0.3">
      <c r="C160" s="41" t="s">
        <v>562</v>
      </c>
      <c r="D160" s="41" t="s">
        <v>124</v>
      </c>
      <c r="E160" s="42" t="s">
        <v>88</v>
      </c>
      <c r="G160" s="66"/>
      <c r="H160" s="74">
        <v>3092</v>
      </c>
      <c r="I160" s="74">
        <v>3177</v>
      </c>
      <c r="J160" s="74">
        <v>2289</v>
      </c>
      <c r="K160" s="74">
        <v>2602</v>
      </c>
      <c r="L160" s="74">
        <v>3289</v>
      </c>
      <c r="M160" s="74">
        <v>1341</v>
      </c>
      <c r="N160" s="76" cm="1">
        <f t="array" ref="N160">SUM((H160:L160)/5)</f>
        <v>2889.8</v>
      </c>
      <c r="O160" s="74">
        <v>3000</v>
      </c>
      <c r="P160" s="66"/>
      <c r="Q160" s="77">
        <v>49.308</v>
      </c>
      <c r="R160" s="77">
        <v>72.016000000000005</v>
      </c>
      <c r="S160" s="77">
        <v>0.441</v>
      </c>
      <c r="T160" s="77">
        <v>0.441</v>
      </c>
      <c r="U160" s="77">
        <f t="shared" si="17"/>
        <v>1200</v>
      </c>
      <c r="V160" s="77">
        <f t="shared" si="18"/>
        <v>1800</v>
      </c>
      <c r="W160" s="66"/>
      <c r="X160" s="77">
        <v>15.868</v>
      </c>
      <c r="Y160" s="77">
        <v>27.015999999999998</v>
      </c>
      <c r="Z160" s="79">
        <v>27.015999999999998</v>
      </c>
      <c r="AA160" s="80">
        <f t="shared" si="19"/>
        <v>44.576399999999992</v>
      </c>
      <c r="AB160" s="66"/>
      <c r="AC160" s="81">
        <v>365</v>
      </c>
      <c r="AD160" s="82">
        <f t="shared" si="20"/>
        <v>131.7893</v>
      </c>
      <c r="AE160" s="82">
        <f t="shared" si="21"/>
        <v>144.17600000000002</v>
      </c>
      <c r="AF160" s="82">
        <f t="shared" si="22"/>
        <v>324.19</v>
      </c>
      <c r="AG160" s="82">
        <f t="shared" si="22"/>
        <v>802.38</v>
      </c>
      <c r="AH160" s="114"/>
      <c r="AI160" s="114"/>
      <c r="AJ160" s="83">
        <f t="shared" si="23"/>
        <v>1402.5353</v>
      </c>
      <c r="AK160" s="82"/>
      <c r="AL160" s="84"/>
      <c r="AM160" s="66"/>
    </row>
    <row r="161" spans="3:39" ht="15.6" x14ac:dyDescent="0.3">
      <c r="C161" s="41" t="s">
        <v>563</v>
      </c>
      <c r="D161" s="41" t="s">
        <v>124</v>
      </c>
      <c r="E161" s="42" t="s">
        <v>88</v>
      </c>
      <c r="G161" s="66"/>
      <c r="H161" s="74">
        <v>4295</v>
      </c>
      <c r="I161" s="74">
        <v>3809</v>
      </c>
      <c r="J161" s="74">
        <v>4058</v>
      </c>
      <c r="K161" s="74">
        <v>3124</v>
      </c>
      <c r="L161" s="74">
        <v>559</v>
      </c>
      <c r="M161" s="74">
        <v>356</v>
      </c>
      <c r="N161" s="76" cm="1">
        <f t="array" ref="N161">SUM((H161:L161)/5)</f>
        <v>3169</v>
      </c>
      <c r="O161" s="74">
        <v>3100</v>
      </c>
      <c r="P161" s="66"/>
      <c r="Q161" s="77">
        <v>49.308</v>
      </c>
      <c r="R161" s="77">
        <v>72.016000000000005</v>
      </c>
      <c r="S161" s="77">
        <v>0.441</v>
      </c>
      <c r="T161" s="77">
        <v>0.441</v>
      </c>
      <c r="U161" s="77">
        <f t="shared" si="17"/>
        <v>1240</v>
      </c>
      <c r="V161" s="77">
        <f t="shared" si="18"/>
        <v>1860</v>
      </c>
      <c r="W161" s="66"/>
      <c r="X161" s="77">
        <v>15.868</v>
      </c>
      <c r="Y161" s="77">
        <v>27.082709999999999</v>
      </c>
      <c r="Z161" s="79">
        <v>27.082709999999999</v>
      </c>
      <c r="AA161" s="80">
        <f t="shared" si="19"/>
        <v>44.686471499999996</v>
      </c>
      <c r="AB161" s="66"/>
      <c r="AC161" s="81">
        <v>365</v>
      </c>
      <c r="AD161" s="82">
        <f t="shared" si="20"/>
        <v>131.7893</v>
      </c>
      <c r="AE161" s="82">
        <f t="shared" si="21"/>
        <v>144.17600000000002</v>
      </c>
      <c r="AF161" s="82">
        <f t="shared" si="22"/>
        <v>335.83</v>
      </c>
      <c r="AG161" s="82">
        <f t="shared" si="22"/>
        <v>831.17</v>
      </c>
      <c r="AH161" s="114"/>
      <c r="AI161" s="114"/>
      <c r="AJ161" s="83">
        <f t="shared" si="23"/>
        <v>1442.9652999999998</v>
      </c>
      <c r="AK161" s="82"/>
      <c r="AL161" s="84"/>
      <c r="AM161" s="66"/>
    </row>
    <row r="162" spans="3:39" ht="15.6" x14ac:dyDescent="0.3">
      <c r="C162" s="41" t="s">
        <v>564</v>
      </c>
      <c r="D162" s="41" t="s">
        <v>124</v>
      </c>
      <c r="E162" s="42" t="s">
        <v>88</v>
      </c>
      <c r="G162" s="66"/>
      <c r="H162" s="74">
        <v>2633</v>
      </c>
      <c r="I162" s="74">
        <v>2784</v>
      </c>
      <c r="J162" s="74">
        <v>2959</v>
      </c>
      <c r="K162" s="74">
        <v>2849</v>
      </c>
      <c r="L162" s="74">
        <v>3162</v>
      </c>
      <c r="M162" s="74">
        <v>919</v>
      </c>
      <c r="N162" s="76" cm="1">
        <f t="array" ref="N162">SUM((H162:L162)/5)</f>
        <v>2877.4</v>
      </c>
      <c r="O162" s="74">
        <v>3000</v>
      </c>
      <c r="P162" s="66"/>
      <c r="Q162" s="77">
        <v>49.308</v>
      </c>
      <c r="R162" s="77">
        <v>72.016000000000005</v>
      </c>
      <c r="S162" s="77">
        <v>0.441</v>
      </c>
      <c r="T162" s="77">
        <v>0.441</v>
      </c>
      <c r="U162" s="77">
        <f t="shared" si="17"/>
        <v>1200</v>
      </c>
      <c r="V162" s="77">
        <f t="shared" si="18"/>
        <v>1800</v>
      </c>
      <c r="W162" s="66"/>
      <c r="X162" s="77">
        <v>15.868</v>
      </c>
      <c r="Y162" s="77">
        <v>27.082850000000001</v>
      </c>
      <c r="Z162" s="79">
        <v>27.082850000000001</v>
      </c>
      <c r="AA162" s="80">
        <f t="shared" si="19"/>
        <v>44.686702500000003</v>
      </c>
      <c r="AB162" s="66"/>
      <c r="AC162" s="81">
        <v>365</v>
      </c>
      <c r="AD162" s="82">
        <f t="shared" si="20"/>
        <v>131.7893</v>
      </c>
      <c r="AE162" s="82">
        <f t="shared" si="21"/>
        <v>144.17600000000002</v>
      </c>
      <c r="AF162" s="82">
        <f t="shared" si="22"/>
        <v>324.99</v>
      </c>
      <c r="AG162" s="82">
        <f t="shared" si="22"/>
        <v>804.36</v>
      </c>
      <c r="AH162" s="114"/>
      <c r="AI162" s="114"/>
      <c r="AJ162" s="83">
        <f t="shared" si="23"/>
        <v>1405.3153000000002</v>
      </c>
      <c r="AK162" s="82"/>
      <c r="AL162" s="84"/>
      <c r="AM162" s="66"/>
    </row>
    <row r="163" spans="3:39" ht="15.6" x14ac:dyDescent="0.3">
      <c r="C163" s="41" t="s">
        <v>565</v>
      </c>
      <c r="D163" s="41" t="s">
        <v>124</v>
      </c>
      <c r="E163" s="42" t="s">
        <v>88</v>
      </c>
      <c r="G163" s="66"/>
      <c r="H163" s="74">
        <v>2430</v>
      </c>
      <c r="I163" s="74">
        <v>2038</v>
      </c>
      <c r="J163" s="74">
        <v>1918</v>
      </c>
      <c r="K163" s="74">
        <v>1952</v>
      </c>
      <c r="L163" s="74">
        <v>1817</v>
      </c>
      <c r="M163" s="74">
        <v>907</v>
      </c>
      <c r="N163" s="76" cm="1">
        <f t="array" ref="N163">SUM((H163:L163)/5)</f>
        <v>2031</v>
      </c>
      <c r="O163" s="74">
        <v>2030</v>
      </c>
      <c r="P163" s="66"/>
      <c r="Q163" s="77">
        <v>49.308</v>
      </c>
      <c r="R163" s="77">
        <v>72.016000000000005</v>
      </c>
      <c r="S163" s="77">
        <v>0.441</v>
      </c>
      <c r="T163" s="77">
        <v>0.441</v>
      </c>
      <c r="U163" s="77">
        <f t="shared" si="17"/>
        <v>812</v>
      </c>
      <c r="V163" s="77">
        <f t="shared" si="18"/>
        <v>1218</v>
      </c>
      <c r="W163" s="66"/>
      <c r="X163" s="77">
        <v>15.868</v>
      </c>
      <c r="Y163" s="77">
        <v>27.082909999999998</v>
      </c>
      <c r="Z163" s="79">
        <v>27.082909999999998</v>
      </c>
      <c r="AA163" s="80">
        <f t="shared" si="19"/>
        <v>44.686801500000001</v>
      </c>
      <c r="AB163" s="66"/>
      <c r="AC163" s="81">
        <v>365</v>
      </c>
      <c r="AD163" s="82">
        <f t="shared" si="20"/>
        <v>131.7893</v>
      </c>
      <c r="AE163" s="82">
        <f t="shared" si="21"/>
        <v>144.17600000000002</v>
      </c>
      <c r="AF163" s="82">
        <f t="shared" si="22"/>
        <v>219.91</v>
      </c>
      <c r="AG163" s="82">
        <f t="shared" si="22"/>
        <v>544.29</v>
      </c>
      <c r="AH163" s="114"/>
      <c r="AI163" s="114"/>
      <c r="AJ163" s="83">
        <f t="shared" si="23"/>
        <v>1040.1653000000001</v>
      </c>
      <c r="AK163" s="82"/>
      <c r="AL163" s="84"/>
      <c r="AM163" s="66"/>
    </row>
    <row r="164" spans="3:39" ht="15.6" x14ac:dyDescent="0.3">
      <c r="C164" s="41" t="s">
        <v>566</v>
      </c>
      <c r="D164" s="41" t="s">
        <v>124</v>
      </c>
      <c r="E164" s="42" t="s">
        <v>88</v>
      </c>
      <c r="G164" s="66"/>
      <c r="H164" s="74">
        <v>461</v>
      </c>
      <c r="I164" s="74">
        <v>418</v>
      </c>
      <c r="J164" s="74">
        <v>199</v>
      </c>
      <c r="K164" s="74">
        <v>200</v>
      </c>
      <c r="L164" s="74">
        <v>165</v>
      </c>
      <c r="M164" s="74">
        <v>89</v>
      </c>
      <c r="N164" s="76" cm="1">
        <f t="array" ref="N164">SUM((H164:L164)/5)</f>
        <v>288.60000000000002</v>
      </c>
      <c r="O164" s="74">
        <v>290</v>
      </c>
      <c r="P164" s="66"/>
      <c r="Q164" s="77">
        <v>49.828000000000003</v>
      </c>
      <c r="R164" s="77">
        <v>63.256999999999998</v>
      </c>
      <c r="S164" s="77">
        <v>0.441</v>
      </c>
      <c r="T164" s="77">
        <v>0.441</v>
      </c>
      <c r="U164" s="77">
        <f t="shared" si="17"/>
        <v>116</v>
      </c>
      <c r="V164" s="77">
        <f t="shared" si="18"/>
        <v>174</v>
      </c>
      <c r="W164" s="66"/>
      <c r="X164" s="77">
        <v>15.061999999999999</v>
      </c>
      <c r="Y164" s="77">
        <v>26.50825</v>
      </c>
      <c r="Z164" s="79">
        <v>26.50825</v>
      </c>
      <c r="AA164" s="80">
        <f t="shared" si="19"/>
        <v>43.738612500000002</v>
      </c>
      <c r="AB164" s="66"/>
      <c r="AC164" s="81">
        <v>365</v>
      </c>
      <c r="AD164" s="82">
        <f t="shared" si="20"/>
        <v>115.7603</v>
      </c>
      <c r="AE164" s="82">
        <f t="shared" si="21"/>
        <v>126.64049999999999</v>
      </c>
      <c r="AF164" s="82">
        <f t="shared" si="22"/>
        <v>30.75</v>
      </c>
      <c r="AG164" s="82">
        <f t="shared" si="22"/>
        <v>76.11</v>
      </c>
      <c r="AH164" s="114"/>
      <c r="AI164" s="114"/>
      <c r="AJ164" s="83">
        <f t="shared" si="23"/>
        <v>349.26080000000002</v>
      </c>
      <c r="AK164" s="82"/>
      <c r="AL164" s="84"/>
      <c r="AM164" s="66"/>
    </row>
    <row r="165" spans="3:39" ht="90" x14ac:dyDescent="0.3">
      <c r="C165" s="41" t="s">
        <v>234</v>
      </c>
      <c r="D165" s="41" t="s">
        <v>124</v>
      </c>
      <c r="E165" s="42" t="s">
        <v>88</v>
      </c>
      <c r="G165" s="66"/>
      <c r="H165" s="74">
        <v>1028</v>
      </c>
      <c r="I165" s="74">
        <v>1004</v>
      </c>
      <c r="J165" s="74">
        <v>986</v>
      </c>
      <c r="K165" s="74">
        <v>977</v>
      </c>
      <c r="L165" s="74">
        <v>857</v>
      </c>
      <c r="M165" s="74">
        <v>287</v>
      </c>
      <c r="N165" s="76" cm="1">
        <f t="array" ref="N165">SUM((H165:L165)/5)</f>
        <v>970.39999999999986</v>
      </c>
      <c r="O165" s="74">
        <v>970</v>
      </c>
      <c r="P165" s="66"/>
      <c r="Q165" s="77">
        <v>50.334000000000003</v>
      </c>
      <c r="R165" s="77">
        <v>63.256999999999998</v>
      </c>
      <c r="S165" s="77">
        <v>0.441</v>
      </c>
      <c r="T165" s="77">
        <v>0.441</v>
      </c>
      <c r="U165" s="77">
        <f t="shared" si="17"/>
        <v>388</v>
      </c>
      <c r="V165" s="77">
        <f t="shared" si="18"/>
        <v>582</v>
      </c>
      <c r="W165" s="66"/>
      <c r="X165" s="77" t="s">
        <v>235</v>
      </c>
      <c r="Y165" s="77" t="s">
        <v>236</v>
      </c>
      <c r="Z165" s="79">
        <f>SUM(27.47281+25.04099+25.41434)/3</f>
        <v>25.976046666666665</v>
      </c>
      <c r="AA165" s="80">
        <f t="shared" si="19"/>
        <v>42.860477000000003</v>
      </c>
      <c r="AB165" s="66"/>
      <c r="AC165" s="81">
        <v>365</v>
      </c>
      <c r="AD165" s="82">
        <f t="shared" si="20"/>
        <v>115.7603</v>
      </c>
      <c r="AE165" s="82">
        <f t="shared" si="21"/>
        <v>126.64049999999999</v>
      </c>
      <c r="AF165" s="82">
        <f t="shared" si="22"/>
        <v>100.79</v>
      </c>
      <c r="AG165" s="82">
        <f t="shared" si="22"/>
        <v>249.45</v>
      </c>
      <c r="AH165" s="114"/>
      <c r="AI165" s="114"/>
      <c r="AJ165" s="83">
        <f t="shared" si="23"/>
        <v>592.64080000000001</v>
      </c>
      <c r="AK165" s="82"/>
      <c r="AL165" s="84"/>
      <c r="AM165" s="66"/>
    </row>
    <row r="166" spans="3:39" ht="45" x14ac:dyDescent="0.3">
      <c r="C166" s="41" t="s">
        <v>237</v>
      </c>
      <c r="D166" s="41" t="s">
        <v>124</v>
      </c>
      <c r="E166" s="42" t="s">
        <v>88</v>
      </c>
      <c r="G166" s="66"/>
      <c r="H166" s="74">
        <v>686</v>
      </c>
      <c r="I166" s="74">
        <v>641</v>
      </c>
      <c r="J166" s="74">
        <v>532</v>
      </c>
      <c r="K166" s="74">
        <v>550</v>
      </c>
      <c r="L166" s="74">
        <v>2005</v>
      </c>
      <c r="M166" s="74">
        <v>605</v>
      </c>
      <c r="N166" s="76" cm="1">
        <f t="array" ref="N166">SUM((H166:L166)/5)</f>
        <v>882.8</v>
      </c>
      <c r="O166" s="74">
        <v>900</v>
      </c>
      <c r="P166" s="66"/>
      <c r="Q166" s="77">
        <v>49.325000000000003</v>
      </c>
      <c r="R166" s="77">
        <v>72.016000000000005</v>
      </c>
      <c r="S166" s="77">
        <v>0.441</v>
      </c>
      <c r="T166" s="77">
        <v>0.441</v>
      </c>
      <c r="U166" s="77">
        <f t="shared" si="17"/>
        <v>360</v>
      </c>
      <c r="V166" s="77">
        <f t="shared" si="18"/>
        <v>540</v>
      </c>
      <c r="W166" s="66"/>
      <c r="X166" s="77" t="s">
        <v>238</v>
      </c>
      <c r="Y166" s="77" t="s">
        <v>239</v>
      </c>
      <c r="Z166" s="79">
        <f>SUM(27.3401+25.18882)/2</f>
        <v>26.26446</v>
      </c>
      <c r="AA166" s="80">
        <f t="shared" si="19"/>
        <v>43.336359000000002</v>
      </c>
      <c r="AB166" s="66"/>
      <c r="AC166" s="81">
        <v>365</v>
      </c>
      <c r="AD166" s="82">
        <f t="shared" si="20"/>
        <v>131.7893</v>
      </c>
      <c r="AE166" s="82">
        <f t="shared" si="21"/>
        <v>144.17600000000002</v>
      </c>
      <c r="AF166" s="82">
        <f t="shared" si="22"/>
        <v>94.55</v>
      </c>
      <c r="AG166" s="82">
        <f t="shared" si="22"/>
        <v>234.02</v>
      </c>
      <c r="AH166" s="114"/>
      <c r="AI166" s="114"/>
      <c r="AJ166" s="83">
        <f t="shared" si="23"/>
        <v>604.53530000000001</v>
      </c>
      <c r="AK166" s="82"/>
      <c r="AL166" s="84"/>
      <c r="AM166" s="66"/>
    </row>
    <row r="167" spans="3:39" ht="60" x14ac:dyDescent="0.3">
      <c r="C167" s="41" t="s">
        <v>237</v>
      </c>
      <c r="D167" s="41" t="s">
        <v>124</v>
      </c>
      <c r="E167" s="42" t="s">
        <v>88</v>
      </c>
      <c r="G167" s="66"/>
      <c r="H167" s="74">
        <v>512</v>
      </c>
      <c r="I167" s="74">
        <v>435</v>
      </c>
      <c r="J167" s="74">
        <v>634</v>
      </c>
      <c r="K167" s="74">
        <v>904</v>
      </c>
      <c r="L167" s="74">
        <v>704</v>
      </c>
      <c r="M167" s="74">
        <v>474</v>
      </c>
      <c r="N167" s="76" cm="1">
        <f t="array" ref="N167">SUM((H167:L167)/5)</f>
        <v>637.79999999999995</v>
      </c>
      <c r="O167" s="74">
        <v>650</v>
      </c>
      <c r="P167" s="66"/>
      <c r="Q167" s="77">
        <v>49.325000000000003</v>
      </c>
      <c r="R167" s="77">
        <v>72.016000000000005</v>
      </c>
      <c r="S167" s="77">
        <v>0.441</v>
      </c>
      <c r="T167" s="77">
        <v>0.441</v>
      </c>
      <c r="U167" s="77">
        <f t="shared" si="17"/>
        <v>260</v>
      </c>
      <c r="V167" s="77">
        <f t="shared" si="18"/>
        <v>390</v>
      </c>
      <c r="W167" s="66"/>
      <c r="X167" s="77" t="s">
        <v>238</v>
      </c>
      <c r="Y167" s="77" t="s">
        <v>240</v>
      </c>
      <c r="Z167" s="79">
        <f>SUM(27.0791+25.10285)/2</f>
        <v>26.090975</v>
      </c>
      <c r="AA167" s="80">
        <f t="shared" si="19"/>
        <v>43.05010875</v>
      </c>
      <c r="AB167" s="66"/>
      <c r="AC167" s="81">
        <v>365</v>
      </c>
      <c r="AD167" s="82">
        <f t="shared" si="20"/>
        <v>131.7893</v>
      </c>
      <c r="AE167" s="82">
        <f t="shared" si="21"/>
        <v>144.17600000000002</v>
      </c>
      <c r="AF167" s="82">
        <f t="shared" si="22"/>
        <v>67.84</v>
      </c>
      <c r="AG167" s="82">
        <f t="shared" si="22"/>
        <v>167.9</v>
      </c>
      <c r="AH167" s="114"/>
      <c r="AI167" s="114"/>
      <c r="AJ167" s="83">
        <f t="shared" si="23"/>
        <v>511.70529999999997</v>
      </c>
      <c r="AK167" s="82"/>
      <c r="AL167" s="84"/>
      <c r="AM167" s="66"/>
    </row>
    <row r="168" spans="3:39" ht="15.6" x14ac:dyDescent="0.3">
      <c r="C168" s="41" t="s">
        <v>567</v>
      </c>
      <c r="D168" s="41" t="s">
        <v>124</v>
      </c>
      <c r="E168" s="42" t="s">
        <v>88</v>
      </c>
      <c r="G168" s="66"/>
      <c r="H168" s="74">
        <v>340</v>
      </c>
      <c r="I168" s="74">
        <v>370</v>
      </c>
      <c r="J168" s="74">
        <v>354</v>
      </c>
      <c r="K168" s="74">
        <v>93</v>
      </c>
      <c r="L168" s="74">
        <v>2</v>
      </c>
      <c r="M168" s="74">
        <v>14</v>
      </c>
      <c r="N168" s="76" cm="1">
        <f t="array" ref="N168">SUM((H168:L168)/5)</f>
        <v>231.8</v>
      </c>
      <c r="O168" s="74">
        <v>230</v>
      </c>
      <c r="P168" s="66"/>
      <c r="Q168" s="77">
        <v>49.828000000000003</v>
      </c>
      <c r="R168" s="77">
        <v>63.256999999999998</v>
      </c>
      <c r="S168" s="77">
        <v>0.441</v>
      </c>
      <c r="T168" s="77">
        <v>0.441</v>
      </c>
      <c r="U168" s="77">
        <f t="shared" si="17"/>
        <v>92</v>
      </c>
      <c r="V168" s="77">
        <f t="shared" si="18"/>
        <v>138</v>
      </c>
      <c r="W168" s="66"/>
      <c r="X168" s="77">
        <v>15.061999999999999</v>
      </c>
      <c r="Y168" s="77">
        <v>26.51182</v>
      </c>
      <c r="Z168" s="79">
        <v>26.51182</v>
      </c>
      <c r="AA168" s="80">
        <f t="shared" si="19"/>
        <v>43.744503000000002</v>
      </c>
      <c r="AB168" s="66"/>
      <c r="AC168" s="81">
        <v>365</v>
      </c>
      <c r="AD168" s="82">
        <f t="shared" si="20"/>
        <v>115.7603</v>
      </c>
      <c r="AE168" s="82">
        <f t="shared" si="21"/>
        <v>126.64049999999999</v>
      </c>
      <c r="AF168" s="82">
        <f t="shared" si="22"/>
        <v>24.39</v>
      </c>
      <c r="AG168" s="82">
        <f t="shared" si="22"/>
        <v>60.37</v>
      </c>
      <c r="AH168" s="114"/>
      <c r="AI168" s="114"/>
      <c r="AJ168" s="83">
        <f t="shared" si="23"/>
        <v>327.16079999999999</v>
      </c>
      <c r="AK168" s="82"/>
      <c r="AL168" s="84"/>
      <c r="AM168" s="66"/>
    </row>
    <row r="169" spans="3:39" ht="15.6" x14ac:dyDescent="0.3">
      <c r="C169" s="41" t="s">
        <v>568</v>
      </c>
      <c r="D169" s="41" t="s">
        <v>124</v>
      </c>
      <c r="E169" s="42" t="s">
        <v>88</v>
      </c>
      <c r="G169" s="66"/>
      <c r="H169" s="74">
        <v>398</v>
      </c>
      <c r="I169" s="74">
        <v>303</v>
      </c>
      <c r="J169" s="74">
        <v>248</v>
      </c>
      <c r="K169" s="74">
        <v>144</v>
      </c>
      <c r="L169" s="74">
        <v>260</v>
      </c>
      <c r="M169" s="74">
        <v>38</v>
      </c>
      <c r="N169" s="76" cm="1">
        <f t="array" ref="N169">SUM((H169:L169)/5)</f>
        <v>270.60000000000002</v>
      </c>
      <c r="O169" s="74">
        <v>270</v>
      </c>
      <c r="P169" s="66"/>
      <c r="Q169" s="77">
        <v>49.308</v>
      </c>
      <c r="R169" s="77">
        <v>72.016000000000005</v>
      </c>
      <c r="S169" s="77">
        <v>0.441</v>
      </c>
      <c r="T169" s="77">
        <v>0.441</v>
      </c>
      <c r="U169" s="77">
        <f t="shared" si="17"/>
        <v>108</v>
      </c>
      <c r="V169" s="77">
        <f t="shared" si="18"/>
        <v>162</v>
      </c>
      <c r="W169" s="66"/>
      <c r="X169" s="77">
        <v>15.868</v>
      </c>
      <c r="Y169" s="77">
        <v>27.08155</v>
      </c>
      <c r="Z169" s="79">
        <v>27.08155</v>
      </c>
      <c r="AA169" s="80">
        <f t="shared" si="19"/>
        <v>44.684557499999997</v>
      </c>
      <c r="AB169" s="66"/>
      <c r="AC169" s="81">
        <v>365</v>
      </c>
      <c r="AD169" s="82">
        <f t="shared" si="20"/>
        <v>131.7893</v>
      </c>
      <c r="AE169" s="82">
        <f t="shared" si="21"/>
        <v>144.17600000000002</v>
      </c>
      <c r="AF169" s="82">
        <f t="shared" si="22"/>
        <v>29.25</v>
      </c>
      <c r="AG169" s="82">
        <f t="shared" si="22"/>
        <v>72.39</v>
      </c>
      <c r="AH169" s="114"/>
      <c r="AI169" s="114"/>
      <c r="AJ169" s="83">
        <f t="shared" si="23"/>
        <v>377.6053</v>
      </c>
      <c r="AK169" s="82"/>
      <c r="AL169" s="84"/>
      <c r="AM169" s="66"/>
    </row>
    <row r="170" spans="3:39" ht="90" x14ac:dyDescent="0.3">
      <c r="C170" s="41" t="s">
        <v>241</v>
      </c>
      <c r="D170" s="41" t="s">
        <v>124</v>
      </c>
      <c r="E170" s="42" t="s">
        <v>88</v>
      </c>
      <c r="G170" s="66"/>
      <c r="H170" s="74">
        <v>816</v>
      </c>
      <c r="I170" s="74">
        <v>625</v>
      </c>
      <c r="J170" s="74">
        <v>519</v>
      </c>
      <c r="K170" s="74">
        <v>625</v>
      </c>
      <c r="L170" s="74">
        <v>864</v>
      </c>
      <c r="M170" s="74">
        <v>404</v>
      </c>
      <c r="N170" s="76" cm="1">
        <f t="array" ref="N170">SUM((H170:L170)/5)</f>
        <v>689.8</v>
      </c>
      <c r="O170" s="74">
        <v>690</v>
      </c>
      <c r="P170" s="66"/>
      <c r="Q170" s="77">
        <v>50.334000000000003</v>
      </c>
      <c r="R170" s="77">
        <v>63.256999999999998</v>
      </c>
      <c r="S170" s="77">
        <v>0.441</v>
      </c>
      <c r="T170" s="77">
        <v>0.441</v>
      </c>
      <c r="U170" s="77">
        <f t="shared" si="17"/>
        <v>276</v>
      </c>
      <c r="V170" s="77">
        <f t="shared" si="18"/>
        <v>414</v>
      </c>
      <c r="W170" s="66"/>
      <c r="X170" s="77" t="s">
        <v>227</v>
      </c>
      <c r="Y170" s="77" t="s">
        <v>242</v>
      </c>
      <c r="Z170" s="79">
        <f>SUM(27.40719+24.9757+25.35127)/3</f>
        <v>25.911386666666669</v>
      </c>
      <c r="AA170" s="80">
        <f t="shared" si="19"/>
        <v>42.753788</v>
      </c>
      <c r="AB170" s="66"/>
      <c r="AC170" s="81">
        <v>365</v>
      </c>
      <c r="AD170" s="82">
        <f t="shared" si="20"/>
        <v>115.7603</v>
      </c>
      <c r="AE170" s="82">
        <f t="shared" si="21"/>
        <v>126.64049999999999</v>
      </c>
      <c r="AF170" s="82">
        <f t="shared" si="22"/>
        <v>71.52</v>
      </c>
      <c r="AG170" s="82">
        <f t="shared" si="22"/>
        <v>177</v>
      </c>
      <c r="AH170" s="114"/>
      <c r="AI170" s="114"/>
      <c r="AJ170" s="83">
        <f t="shared" si="23"/>
        <v>490.92079999999999</v>
      </c>
      <c r="AK170" s="82"/>
      <c r="AL170" s="84"/>
      <c r="AM170" s="66"/>
    </row>
    <row r="171" spans="3:39" ht="90" x14ac:dyDescent="0.3">
      <c r="C171" s="41" t="s">
        <v>241</v>
      </c>
      <c r="D171" s="41" t="s">
        <v>124</v>
      </c>
      <c r="E171" s="42" t="s">
        <v>88</v>
      </c>
      <c r="G171" s="66"/>
      <c r="H171" s="74">
        <v>517</v>
      </c>
      <c r="I171" s="74">
        <v>530</v>
      </c>
      <c r="J171" s="74">
        <v>782</v>
      </c>
      <c r="K171" s="74">
        <v>704</v>
      </c>
      <c r="L171" s="74">
        <v>707</v>
      </c>
      <c r="M171" s="74">
        <v>335</v>
      </c>
      <c r="N171" s="76" cm="1">
        <f t="array" ref="N171">SUM((H171:L171)/5)</f>
        <v>648</v>
      </c>
      <c r="O171" s="74">
        <v>650</v>
      </c>
      <c r="P171" s="66"/>
      <c r="Q171" s="77">
        <v>50.334000000000003</v>
      </c>
      <c r="R171" s="77">
        <v>63.256999999999998</v>
      </c>
      <c r="S171" s="77">
        <v>0.441</v>
      </c>
      <c r="T171" s="77">
        <v>0.441</v>
      </c>
      <c r="U171" s="77">
        <f t="shared" si="17"/>
        <v>260</v>
      </c>
      <c r="V171" s="77">
        <f t="shared" si="18"/>
        <v>390</v>
      </c>
      <c r="W171" s="66"/>
      <c r="X171" s="77" t="s">
        <v>243</v>
      </c>
      <c r="Y171" s="77" t="s">
        <v>244</v>
      </c>
      <c r="Z171" s="79">
        <f>SUM(27.40378+24.9727+25.34529)/3</f>
        <v>25.907256666666665</v>
      </c>
      <c r="AA171" s="80">
        <f t="shared" si="19"/>
        <v>42.746973499999996</v>
      </c>
      <c r="AB171" s="66"/>
      <c r="AC171" s="81">
        <v>365</v>
      </c>
      <c r="AD171" s="82">
        <f t="shared" si="20"/>
        <v>115.7603</v>
      </c>
      <c r="AE171" s="82">
        <f t="shared" si="21"/>
        <v>126.64049999999999</v>
      </c>
      <c r="AF171" s="82">
        <f t="shared" si="22"/>
        <v>67.36</v>
      </c>
      <c r="AG171" s="82">
        <f t="shared" si="22"/>
        <v>166.71</v>
      </c>
      <c r="AH171" s="114"/>
      <c r="AI171" s="114"/>
      <c r="AJ171" s="83">
        <f t="shared" si="23"/>
        <v>476.47080000000005</v>
      </c>
      <c r="AK171" s="82"/>
      <c r="AL171" s="84"/>
      <c r="AM171" s="66"/>
    </row>
    <row r="172" spans="3:39" ht="15.6" x14ac:dyDescent="0.3">
      <c r="C172" s="41" t="s">
        <v>569</v>
      </c>
      <c r="D172" s="41" t="s">
        <v>124</v>
      </c>
      <c r="E172" s="42" t="s">
        <v>88</v>
      </c>
      <c r="G172" s="66"/>
      <c r="H172" s="74">
        <v>416</v>
      </c>
      <c r="I172" s="74">
        <v>539</v>
      </c>
      <c r="J172" s="74">
        <v>373</v>
      </c>
      <c r="K172" s="74">
        <v>269</v>
      </c>
      <c r="L172" s="74">
        <v>239</v>
      </c>
      <c r="M172" s="74">
        <v>145</v>
      </c>
      <c r="N172" s="76" cm="1">
        <f t="array" ref="N172">SUM((H172:L172)/5)</f>
        <v>367.20000000000005</v>
      </c>
      <c r="O172" s="74">
        <v>360</v>
      </c>
      <c r="P172" s="66"/>
      <c r="Q172" s="77">
        <v>49.308</v>
      </c>
      <c r="R172" s="77">
        <v>72.016000000000005</v>
      </c>
      <c r="S172" s="77">
        <v>0.441</v>
      </c>
      <c r="T172" s="77">
        <v>0.441</v>
      </c>
      <c r="U172" s="77">
        <f t="shared" si="17"/>
        <v>144</v>
      </c>
      <c r="V172" s="77">
        <f t="shared" si="18"/>
        <v>216</v>
      </c>
      <c r="W172" s="66"/>
      <c r="X172" s="77">
        <v>15.868</v>
      </c>
      <c r="Y172" s="77">
        <v>27.08352</v>
      </c>
      <c r="Z172" s="79">
        <v>27.08352</v>
      </c>
      <c r="AA172" s="80">
        <f t="shared" si="19"/>
        <v>44.687808000000004</v>
      </c>
      <c r="AB172" s="66"/>
      <c r="AC172" s="81">
        <v>365</v>
      </c>
      <c r="AD172" s="82">
        <f t="shared" si="20"/>
        <v>131.7893</v>
      </c>
      <c r="AE172" s="82">
        <f t="shared" si="21"/>
        <v>144.17600000000002</v>
      </c>
      <c r="AF172" s="82">
        <f t="shared" si="22"/>
        <v>39</v>
      </c>
      <c r="AG172" s="82">
        <f t="shared" si="22"/>
        <v>96.53</v>
      </c>
      <c r="AH172" s="114"/>
      <c r="AI172" s="114"/>
      <c r="AJ172" s="83">
        <f t="shared" si="23"/>
        <v>411.49530000000004</v>
      </c>
      <c r="AK172" s="82"/>
      <c r="AL172" s="84"/>
      <c r="AM172" s="66"/>
    </row>
    <row r="173" spans="3:39" ht="15.6" x14ac:dyDescent="0.3">
      <c r="C173" s="41" t="s">
        <v>569</v>
      </c>
      <c r="D173" s="41" t="s">
        <v>124</v>
      </c>
      <c r="E173" s="42" t="s">
        <v>88</v>
      </c>
      <c r="G173" s="66"/>
      <c r="H173" s="74">
        <v>248</v>
      </c>
      <c r="I173" s="74">
        <v>452</v>
      </c>
      <c r="J173" s="74">
        <v>297</v>
      </c>
      <c r="K173" s="74">
        <v>302</v>
      </c>
      <c r="L173" s="74">
        <v>383</v>
      </c>
      <c r="M173" s="74">
        <v>199</v>
      </c>
      <c r="N173" s="76" cm="1">
        <f t="array" ref="N173">SUM((H173:L173)/5)</f>
        <v>336.4</v>
      </c>
      <c r="O173" s="74">
        <v>340</v>
      </c>
      <c r="P173" s="66"/>
      <c r="Q173" s="77">
        <v>49.308</v>
      </c>
      <c r="R173" s="77">
        <v>72.016000000000005</v>
      </c>
      <c r="S173" s="77">
        <v>0.441</v>
      </c>
      <c r="T173" s="77">
        <v>0.441</v>
      </c>
      <c r="U173" s="77">
        <f t="shared" si="17"/>
        <v>136</v>
      </c>
      <c r="V173" s="77">
        <f t="shared" si="18"/>
        <v>204</v>
      </c>
      <c r="W173" s="66"/>
      <c r="X173" s="77">
        <v>15.868</v>
      </c>
      <c r="Y173" s="77">
        <v>27.083729999999999</v>
      </c>
      <c r="Z173" s="79">
        <v>27.083729999999999</v>
      </c>
      <c r="AA173" s="80">
        <f t="shared" si="19"/>
        <v>44.688154499999996</v>
      </c>
      <c r="AB173" s="66"/>
      <c r="AC173" s="81">
        <v>365</v>
      </c>
      <c r="AD173" s="82">
        <f t="shared" si="20"/>
        <v>131.7893</v>
      </c>
      <c r="AE173" s="82">
        <f t="shared" si="21"/>
        <v>144.17600000000002</v>
      </c>
      <c r="AF173" s="82">
        <f t="shared" si="22"/>
        <v>36.83</v>
      </c>
      <c r="AG173" s="82">
        <f t="shared" si="22"/>
        <v>91.16</v>
      </c>
      <c r="AH173" s="114"/>
      <c r="AI173" s="114"/>
      <c r="AJ173" s="83">
        <f t="shared" si="23"/>
        <v>403.95529999999997</v>
      </c>
      <c r="AK173" s="82"/>
      <c r="AL173" s="84"/>
      <c r="AM173" s="66"/>
    </row>
    <row r="174" spans="3:39" ht="15.6" x14ac:dyDescent="0.3">
      <c r="C174" s="41" t="s">
        <v>570</v>
      </c>
      <c r="D174" s="41" t="s">
        <v>124</v>
      </c>
      <c r="E174" s="42" t="s">
        <v>88</v>
      </c>
      <c r="G174" s="66"/>
      <c r="H174" s="74">
        <v>186</v>
      </c>
      <c r="I174" s="74">
        <v>307</v>
      </c>
      <c r="J174" s="74">
        <v>196</v>
      </c>
      <c r="K174" s="74">
        <v>201</v>
      </c>
      <c r="L174" s="74">
        <v>202</v>
      </c>
      <c r="M174" s="74">
        <v>36</v>
      </c>
      <c r="N174" s="76" cm="1">
        <f t="array" ref="N174">SUM((H174:L174)/5)</f>
        <v>218.4</v>
      </c>
      <c r="O174" s="74">
        <v>220</v>
      </c>
      <c r="P174" s="66"/>
      <c r="Q174" s="77">
        <v>49.308</v>
      </c>
      <c r="R174" s="77">
        <v>72.016000000000005</v>
      </c>
      <c r="S174" s="77">
        <v>0.441</v>
      </c>
      <c r="T174" s="77">
        <v>0.441</v>
      </c>
      <c r="U174" s="77">
        <f t="shared" si="17"/>
        <v>88</v>
      </c>
      <c r="V174" s="77">
        <f t="shared" si="18"/>
        <v>132</v>
      </c>
      <c r="W174" s="66"/>
      <c r="X174" s="77">
        <v>15.868</v>
      </c>
      <c r="Y174" s="77">
        <v>27.083010000000002</v>
      </c>
      <c r="Z174" s="79">
        <v>27.083010000000002</v>
      </c>
      <c r="AA174" s="80">
        <f t="shared" si="19"/>
        <v>44.686966500000004</v>
      </c>
      <c r="AB174" s="66"/>
      <c r="AC174" s="81">
        <v>365</v>
      </c>
      <c r="AD174" s="82">
        <f t="shared" si="20"/>
        <v>131.7893</v>
      </c>
      <c r="AE174" s="82">
        <f t="shared" si="21"/>
        <v>144.17600000000002</v>
      </c>
      <c r="AF174" s="82">
        <f t="shared" si="22"/>
        <v>23.83</v>
      </c>
      <c r="AG174" s="82">
        <f t="shared" si="22"/>
        <v>58.99</v>
      </c>
      <c r="AH174" s="114"/>
      <c r="AI174" s="114"/>
      <c r="AJ174" s="83">
        <f t="shared" si="23"/>
        <v>358.78530000000001</v>
      </c>
      <c r="AK174" s="82"/>
      <c r="AL174" s="84"/>
      <c r="AM174" s="66"/>
    </row>
    <row r="175" spans="3:39" ht="15.6" x14ac:dyDescent="0.3">
      <c r="C175" s="41" t="s">
        <v>571</v>
      </c>
      <c r="D175" s="41" t="s">
        <v>124</v>
      </c>
      <c r="E175" s="42" t="s">
        <v>88</v>
      </c>
      <c r="G175" s="66"/>
      <c r="H175" s="74">
        <v>261</v>
      </c>
      <c r="I175" s="74">
        <v>196</v>
      </c>
      <c r="J175" s="74">
        <v>95</v>
      </c>
      <c r="K175" s="74">
        <v>88</v>
      </c>
      <c r="L175" s="74">
        <v>89</v>
      </c>
      <c r="M175" s="74">
        <v>44</v>
      </c>
      <c r="N175" s="76" cm="1">
        <f t="array" ref="N175">SUM((H175:L175)/5)</f>
        <v>145.80000000000001</v>
      </c>
      <c r="O175" s="74">
        <v>140</v>
      </c>
      <c r="P175" s="66"/>
      <c r="Q175" s="77">
        <v>49.308</v>
      </c>
      <c r="R175" s="77">
        <v>72.016000000000005</v>
      </c>
      <c r="S175" s="77">
        <v>0.441</v>
      </c>
      <c r="T175" s="77">
        <v>0.441</v>
      </c>
      <c r="U175" s="77">
        <f t="shared" si="17"/>
        <v>56</v>
      </c>
      <c r="V175" s="77">
        <f t="shared" si="18"/>
        <v>84</v>
      </c>
      <c r="W175" s="66"/>
      <c r="X175" s="77">
        <v>15.868</v>
      </c>
      <c r="Y175" s="77">
        <v>27.079840000000001</v>
      </c>
      <c r="Z175" s="79">
        <v>27.079840000000001</v>
      </c>
      <c r="AA175" s="80">
        <f t="shared" si="19"/>
        <v>44.681736000000001</v>
      </c>
      <c r="AB175" s="66"/>
      <c r="AC175" s="81">
        <v>365</v>
      </c>
      <c r="AD175" s="82">
        <f t="shared" si="20"/>
        <v>131.7893</v>
      </c>
      <c r="AE175" s="82">
        <f t="shared" si="21"/>
        <v>144.17600000000002</v>
      </c>
      <c r="AF175" s="82">
        <f t="shared" si="22"/>
        <v>15.16</v>
      </c>
      <c r="AG175" s="82">
        <f t="shared" si="22"/>
        <v>37.53</v>
      </c>
      <c r="AH175" s="114"/>
      <c r="AI175" s="114"/>
      <c r="AJ175" s="83">
        <f t="shared" si="23"/>
        <v>328.65530000000001</v>
      </c>
      <c r="AK175" s="82"/>
      <c r="AL175" s="84"/>
      <c r="AM175" s="66"/>
    </row>
    <row r="176" spans="3:39" ht="15.6" x14ac:dyDescent="0.3">
      <c r="C176" s="41" t="s">
        <v>572</v>
      </c>
      <c r="D176" s="41" t="s">
        <v>124</v>
      </c>
      <c r="E176" s="42" t="s">
        <v>88</v>
      </c>
      <c r="G176" s="66"/>
      <c r="H176" s="74">
        <v>241</v>
      </c>
      <c r="I176" s="74">
        <v>346</v>
      </c>
      <c r="J176" s="74">
        <v>378</v>
      </c>
      <c r="K176" s="74">
        <v>522</v>
      </c>
      <c r="L176" s="74">
        <v>573</v>
      </c>
      <c r="M176" s="74">
        <v>324</v>
      </c>
      <c r="N176" s="76" cm="1">
        <f t="array" ref="N176">SUM((H176:L176)/5)</f>
        <v>412</v>
      </c>
      <c r="O176" s="74">
        <v>550</v>
      </c>
      <c r="P176" s="66"/>
      <c r="Q176" s="77">
        <v>49.828000000000003</v>
      </c>
      <c r="R176" s="77">
        <v>63.256999999999998</v>
      </c>
      <c r="S176" s="77">
        <v>0.441</v>
      </c>
      <c r="T176" s="77">
        <v>0.441</v>
      </c>
      <c r="U176" s="77">
        <f t="shared" si="17"/>
        <v>220</v>
      </c>
      <c r="V176" s="77">
        <f t="shared" si="18"/>
        <v>330</v>
      </c>
      <c r="W176" s="66"/>
      <c r="X176" s="77">
        <v>15.061999999999999</v>
      </c>
      <c r="Y176" s="77">
        <v>26.506270000000001</v>
      </c>
      <c r="Z176" s="79">
        <v>26.506270000000001</v>
      </c>
      <c r="AA176" s="80">
        <f t="shared" si="19"/>
        <v>43.735345500000001</v>
      </c>
      <c r="AB176" s="66"/>
      <c r="AC176" s="81">
        <v>365</v>
      </c>
      <c r="AD176" s="82">
        <f t="shared" si="20"/>
        <v>115.7603</v>
      </c>
      <c r="AE176" s="82">
        <f t="shared" si="21"/>
        <v>126.64049999999999</v>
      </c>
      <c r="AF176" s="82">
        <f t="shared" si="22"/>
        <v>58.31</v>
      </c>
      <c r="AG176" s="82">
        <f t="shared" si="22"/>
        <v>144.33000000000001</v>
      </c>
      <c r="AH176" s="114"/>
      <c r="AI176" s="114"/>
      <c r="AJ176" s="83">
        <f t="shared" si="23"/>
        <v>445.04079999999999</v>
      </c>
      <c r="AK176" s="82"/>
      <c r="AL176" s="84"/>
      <c r="AM176" s="66"/>
    </row>
    <row r="177" spans="3:39" ht="15.6" x14ac:dyDescent="0.3">
      <c r="D177" s="85"/>
      <c r="E177" s="42"/>
      <c r="G177" s="66"/>
      <c r="H177" s="74"/>
      <c r="I177" s="74"/>
      <c r="J177" s="74"/>
      <c r="K177" s="74"/>
      <c r="L177" s="74"/>
      <c r="M177" s="74"/>
      <c r="N177" s="76"/>
      <c r="O177" s="74"/>
      <c r="P177" s="66"/>
      <c r="Q177" s="77"/>
      <c r="R177" s="77"/>
      <c r="S177" s="77"/>
      <c r="T177" s="77"/>
      <c r="U177" s="77"/>
      <c r="V177" s="77"/>
      <c r="W177" s="66"/>
      <c r="X177" s="77"/>
      <c r="Y177" s="77"/>
      <c r="Z177" s="79"/>
      <c r="AA177" s="80"/>
      <c r="AB177" s="66"/>
      <c r="AC177" s="81"/>
      <c r="AD177" s="82"/>
      <c r="AE177" s="82"/>
      <c r="AF177" s="82"/>
      <c r="AG177" s="82"/>
      <c r="AH177" s="114"/>
      <c r="AI177" s="114"/>
      <c r="AJ177" s="83"/>
      <c r="AK177" s="82"/>
      <c r="AL177" s="84"/>
      <c r="AM177" s="66"/>
    </row>
    <row r="178" spans="3:39" ht="15.6" x14ac:dyDescent="0.3">
      <c r="C178" s="41" t="s">
        <v>573</v>
      </c>
      <c r="D178" s="41" t="s">
        <v>124</v>
      </c>
      <c r="E178" s="42" t="s">
        <v>88</v>
      </c>
      <c r="G178" s="66"/>
      <c r="H178" s="74">
        <v>1571</v>
      </c>
      <c r="I178" s="74">
        <v>966</v>
      </c>
      <c r="J178" s="74">
        <v>1531</v>
      </c>
      <c r="K178" s="74">
        <v>1891</v>
      </c>
      <c r="L178" s="74">
        <v>2806</v>
      </c>
      <c r="M178" s="74">
        <v>1121</v>
      </c>
      <c r="N178" s="76" cm="1">
        <f t="array" ref="N178">SUM((H178:L178)/5)</f>
        <v>1753</v>
      </c>
      <c r="O178" s="74">
        <v>1750</v>
      </c>
      <c r="P178" s="66"/>
      <c r="Q178" s="77">
        <v>49.308</v>
      </c>
      <c r="R178" s="77">
        <v>72.016000000000005</v>
      </c>
      <c r="S178" s="77">
        <v>0.441</v>
      </c>
      <c r="T178" s="77">
        <v>0.441</v>
      </c>
      <c r="U178" s="77">
        <f t="shared" ref="U178:U241" si="24">IF(E178="Gas",O178*R173,O178*$R$4)</f>
        <v>700</v>
      </c>
      <c r="V178" s="77">
        <f t="shared" ref="V178:V241" si="25">IF(E178="Gas",O178*T173,O178*$T$4)</f>
        <v>1050</v>
      </c>
      <c r="W178" s="66"/>
      <c r="X178" s="77">
        <v>15.868</v>
      </c>
      <c r="Y178" s="77">
        <v>27.082599999999999</v>
      </c>
      <c r="Z178" s="79">
        <v>27.082599999999999</v>
      </c>
      <c r="AA178" s="80">
        <f t="shared" ref="AA178:AA195" si="26">SUM(Z178+Z178*$AA$4)</f>
        <v>44.68629</v>
      </c>
      <c r="AB178" s="66"/>
      <c r="AC178" s="81">
        <v>365</v>
      </c>
      <c r="AD178" s="82">
        <f t="shared" ref="AD178:AD241" si="27">ROUND(R178*183,2)/100</f>
        <v>131.7893</v>
      </c>
      <c r="AE178" s="82">
        <f t="shared" ref="AE178:AE241" si="28">ROUND((R178+R178*$AE$4)*(365-183),2)/100</f>
        <v>144.17600000000002</v>
      </c>
      <c r="AF178" s="82">
        <f t="shared" ref="AF178:AG241" si="29">ROUND((U178*Z178)/100,2)</f>
        <v>189.58</v>
      </c>
      <c r="AG178" s="82">
        <f t="shared" si="29"/>
        <v>469.21</v>
      </c>
      <c r="AH178" s="114"/>
      <c r="AI178" s="114"/>
      <c r="AJ178" s="83">
        <f t="shared" ref="AJ178:AJ241" si="30">SUM(AD178:AG178)</f>
        <v>934.75530000000003</v>
      </c>
      <c r="AK178" s="82"/>
      <c r="AL178" s="84"/>
      <c r="AM178" s="66"/>
    </row>
    <row r="179" spans="3:39" ht="15.6" x14ac:dyDescent="0.3">
      <c r="C179" s="41" t="s">
        <v>573</v>
      </c>
      <c r="D179" s="41" t="s">
        <v>124</v>
      </c>
      <c r="E179" s="42" t="s">
        <v>88</v>
      </c>
      <c r="G179" s="66"/>
      <c r="H179" s="74">
        <v>2877</v>
      </c>
      <c r="I179" s="74">
        <v>2799</v>
      </c>
      <c r="J179" s="74">
        <v>2308</v>
      </c>
      <c r="K179" s="74">
        <v>2429</v>
      </c>
      <c r="L179" s="74">
        <v>2690</v>
      </c>
      <c r="M179" s="74">
        <v>857</v>
      </c>
      <c r="N179" s="76" cm="1">
        <f t="array" ref="N179">SUM((H179:L179)/5)</f>
        <v>2620.6</v>
      </c>
      <c r="O179" s="74">
        <v>2600</v>
      </c>
      <c r="P179" s="66"/>
      <c r="Q179" s="77">
        <v>49.308</v>
      </c>
      <c r="R179" s="77">
        <v>72.016000000000005</v>
      </c>
      <c r="S179" s="77">
        <v>0.441</v>
      </c>
      <c r="T179" s="77">
        <v>0.441</v>
      </c>
      <c r="U179" s="77">
        <f t="shared" si="24"/>
        <v>1040</v>
      </c>
      <c r="V179" s="77">
        <f t="shared" si="25"/>
        <v>1560</v>
      </c>
      <c r="W179" s="66"/>
      <c r="X179" s="77">
        <v>15.868</v>
      </c>
      <c r="Y179" s="77">
        <v>27.083010000000002</v>
      </c>
      <c r="Z179" s="79">
        <v>27.083010000000002</v>
      </c>
      <c r="AA179" s="80">
        <f t="shared" si="26"/>
        <v>44.686966500000004</v>
      </c>
      <c r="AB179" s="66"/>
      <c r="AC179" s="81">
        <v>365</v>
      </c>
      <c r="AD179" s="82">
        <f t="shared" si="27"/>
        <v>131.7893</v>
      </c>
      <c r="AE179" s="82">
        <f t="shared" si="28"/>
        <v>144.17600000000002</v>
      </c>
      <c r="AF179" s="82">
        <f t="shared" si="29"/>
        <v>281.66000000000003</v>
      </c>
      <c r="AG179" s="82">
        <f t="shared" si="29"/>
        <v>697.12</v>
      </c>
      <c r="AH179" s="114"/>
      <c r="AI179" s="114"/>
      <c r="AJ179" s="83">
        <f t="shared" si="30"/>
        <v>1254.7453</v>
      </c>
      <c r="AK179" s="82"/>
      <c r="AL179" s="84"/>
      <c r="AM179" s="66"/>
    </row>
    <row r="180" spans="3:39" ht="15.6" x14ac:dyDescent="0.3">
      <c r="C180" s="41" t="s">
        <v>573</v>
      </c>
      <c r="D180" s="41" t="s">
        <v>124</v>
      </c>
      <c r="E180" s="42" t="s">
        <v>88</v>
      </c>
      <c r="G180" s="66"/>
      <c r="H180" s="74">
        <v>3059</v>
      </c>
      <c r="I180" s="74">
        <v>3342</v>
      </c>
      <c r="J180" s="74">
        <v>2030</v>
      </c>
      <c r="K180" s="74">
        <v>2361</v>
      </c>
      <c r="L180" s="74">
        <v>3140</v>
      </c>
      <c r="M180" s="74">
        <v>1367</v>
      </c>
      <c r="N180" s="76" cm="1">
        <f t="array" ref="N180">SUM((H180:L180)/5)</f>
        <v>2786.3999999999996</v>
      </c>
      <c r="O180" s="74">
        <v>2750</v>
      </c>
      <c r="P180" s="66"/>
      <c r="Q180" s="77">
        <v>49.308</v>
      </c>
      <c r="R180" s="77">
        <v>72.016000000000005</v>
      </c>
      <c r="S180" s="77">
        <v>0.441</v>
      </c>
      <c r="T180" s="77">
        <v>0.441</v>
      </c>
      <c r="U180" s="77">
        <f t="shared" si="24"/>
        <v>1100</v>
      </c>
      <c r="V180" s="77">
        <f t="shared" si="25"/>
        <v>1650</v>
      </c>
      <c r="W180" s="66"/>
      <c r="X180" s="77">
        <v>15.868</v>
      </c>
      <c r="Y180" s="77">
        <v>27.082809999999998</v>
      </c>
      <c r="Z180" s="79">
        <v>27.082809999999998</v>
      </c>
      <c r="AA180" s="80">
        <f t="shared" si="26"/>
        <v>44.686636499999999</v>
      </c>
      <c r="AB180" s="66"/>
      <c r="AC180" s="81">
        <v>365</v>
      </c>
      <c r="AD180" s="82">
        <f t="shared" si="27"/>
        <v>131.7893</v>
      </c>
      <c r="AE180" s="82">
        <f t="shared" si="28"/>
        <v>144.17600000000002</v>
      </c>
      <c r="AF180" s="82">
        <f t="shared" si="29"/>
        <v>297.91000000000003</v>
      </c>
      <c r="AG180" s="82">
        <f t="shared" si="29"/>
        <v>737.33</v>
      </c>
      <c r="AH180" s="114"/>
      <c r="AI180" s="114"/>
      <c r="AJ180" s="83">
        <f t="shared" si="30"/>
        <v>1311.2053000000001</v>
      </c>
      <c r="AK180" s="82"/>
      <c r="AL180" s="84"/>
      <c r="AM180" s="66"/>
    </row>
    <row r="181" spans="3:39" ht="15.6" x14ac:dyDescent="0.3">
      <c r="C181" s="41" t="s">
        <v>573</v>
      </c>
      <c r="D181" s="41" t="s">
        <v>124</v>
      </c>
      <c r="E181" s="42" t="s">
        <v>88</v>
      </c>
      <c r="G181" s="66"/>
      <c r="H181" s="74">
        <v>2811</v>
      </c>
      <c r="I181" s="74">
        <v>2323</v>
      </c>
      <c r="J181" s="74">
        <v>1881</v>
      </c>
      <c r="K181" s="74">
        <v>1709</v>
      </c>
      <c r="L181" s="74">
        <v>1997</v>
      </c>
      <c r="M181" s="74">
        <v>581</v>
      </c>
      <c r="N181" s="76" cm="1">
        <f t="array" ref="N181">SUM((H181:L181)/5)</f>
        <v>2144.2000000000003</v>
      </c>
      <c r="O181" s="74">
        <v>2000</v>
      </c>
      <c r="P181" s="66"/>
      <c r="Q181" s="77">
        <v>49.308</v>
      </c>
      <c r="R181" s="77">
        <v>72.016000000000005</v>
      </c>
      <c r="S181" s="77">
        <v>0.441</v>
      </c>
      <c r="T181" s="77">
        <v>0.441</v>
      </c>
      <c r="U181" s="77">
        <f t="shared" si="24"/>
        <v>800</v>
      </c>
      <c r="V181" s="77">
        <f t="shared" si="25"/>
        <v>1200</v>
      </c>
      <c r="W181" s="66"/>
      <c r="X181" s="77">
        <v>15.868</v>
      </c>
      <c r="Y181" s="77">
        <v>27.082930000000001</v>
      </c>
      <c r="Z181" s="79">
        <v>27.082930000000001</v>
      </c>
      <c r="AA181" s="80">
        <f t="shared" si="26"/>
        <v>44.686834500000003</v>
      </c>
      <c r="AB181" s="66"/>
      <c r="AC181" s="81">
        <v>365</v>
      </c>
      <c r="AD181" s="82">
        <f t="shared" si="27"/>
        <v>131.7893</v>
      </c>
      <c r="AE181" s="82">
        <f t="shared" si="28"/>
        <v>144.17600000000002</v>
      </c>
      <c r="AF181" s="82">
        <f t="shared" si="29"/>
        <v>216.66</v>
      </c>
      <c r="AG181" s="82">
        <f t="shared" si="29"/>
        <v>536.24</v>
      </c>
      <c r="AH181" s="114"/>
      <c r="AI181" s="114"/>
      <c r="AJ181" s="83">
        <f t="shared" si="30"/>
        <v>1028.8652999999999</v>
      </c>
      <c r="AK181" s="82"/>
      <c r="AL181" s="84"/>
      <c r="AM181" s="66"/>
    </row>
    <row r="182" spans="3:39" ht="15.6" x14ac:dyDescent="0.3">
      <c r="C182" s="41" t="s">
        <v>573</v>
      </c>
      <c r="D182" s="41" t="s">
        <v>124</v>
      </c>
      <c r="E182" s="42" t="s">
        <v>88</v>
      </c>
      <c r="G182" s="66"/>
      <c r="H182" s="74">
        <v>2979</v>
      </c>
      <c r="I182" s="74">
        <v>2573</v>
      </c>
      <c r="J182" s="74">
        <v>2371</v>
      </c>
      <c r="K182" s="74">
        <v>2226</v>
      </c>
      <c r="L182" s="74">
        <v>1262</v>
      </c>
      <c r="M182" s="74">
        <v>867</v>
      </c>
      <c r="N182" s="76" cm="1">
        <f t="array" ref="N182">SUM((H182:L182)/5)</f>
        <v>2282.2000000000003</v>
      </c>
      <c r="O182" s="74">
        <v>2200</v>
      </c>
      <c r="P182" s="66"/>
      <c r="Q182" s="77">
        <v>49.308</v>
      </c>
      <c r="R182" s="77">
        <v>72.016000000000005</v>
      </c>
      <c r="S182" s="77">
        <v>0.441</v>
      </c>
      <c r="T182" s="77">
        <v>0.441</v>
      </c>
      <c r="U182" s="77">
        <f t="shared" si="24"/>
        <v>880</v>
      </c>
      <c r="V182" s="77">
        <f t="shared" si="25"/>
        <v>1320</v>
      </c>
      <c r="W182" s="66"/>
      <c r="X182" s="77">
        <v>15.868</v>
      </c>
      <c r="Y182" s="77">
        <v>27.08259</v>
      </c>
      <c r="Z182" s="79">
        <v>27.08259</v>
      </c>
      <c r="AA182" s="80">
        <f t="shared" si="26"/>
        <v>44.686273499999999</v>
      </c>
      <c r="AB182" s="66"/>
      <c r="AC182" s="81">
        <v>365</v>
      </c>
      <c r="AD182" s="82">
        <f t="shared" si="27"/>
        <v>131.7893</v>
      </c>
      <c r="AE182" s="82">
        <f t="shared" si="28"/>
        <v>144.17600000000002</v>
      </c>
      <c r="AF182" s="82">
        <f t="shared" si="29"/>
        <v>238.33</v>
      </c>
      <c r="AG182" s="82">
        <f t="shared" si="29"/>
        <v>589.86</v>
      </c>
      <c r="AH182" s="114"/>
      <c r="AI182" s="114"/>
      <c r="AJ182" s="83">
        <f t="shared" si="30"/>
        <v>1104.1552999999999</v>
      </c>
      <c r="AK182" s="82"/>
      <c r="AL182" s="84"/>
      <c r="AM182" s="66"/>
    </row>
    <row r="183" spans="3:39" ht="15.6" x14ac:dyDescent="0.3">
      <c r="C183" s="41" t="s">
        <v>573</v>
      </c>
      <c r="D183" s="41" t="s">
        <v>124</v>
      </c>
      <c r="E183" s="42" t="s">
        <v>88</v>
      </c>
      <c r="G183" s="66"/>
      <c r="H183" s="74">
        <v>2526</v>
      </c>
      <c r="I183" s="74">
        <v>2745</v>
      </c>
      <c r="J183" s="74">
        <v>2805</v>
      </c>
      <c r="K183" s="74">
        <v>2554</v>
      </c>
      <c r="L183" s="74">
        <v>1877</v>
      </c>
      <c r="M183" s="74">
        <v>977</v>
      </c>
      <c r="N183" s="76" cm="1">
        <f t="array" ref="N183">SUM((H183:L183)/5)</f>
        <v>2501.4</v>
      </c>
      <c r="O183" s="74">
        <v>2500</v>
      </c>
      <c r="P183" s="66"/>
      <c r="Q183" s="77">
        <v>49.308</v>
      </c>
      <c r="R183" s="77">
        <v>72.016000000000005</v>
      </c>
      <c r="S183" s="77">
        <v>0.441</v>
      </c>
      <c r="T183" s="77">
        <v>0.441</v>
      </c>
      <c r="U183" s="77">
        <f t="shared" si="24"/>
        <v>1000</v>
      </c>
      <c r="V183" s="77">
        <f t="shared" si="25"/>
        <v>1500</v>
      </c>
      <c r="W183" s="66"/>
      <c r="X183" s="77">
        <v>15.868</v>
      </c>
      <c r="Y183" s="77">
        <v>27.082689999999999</v>
      </c>
      <c r="Z183" s="79">
        <v>27.082689999999999</v>
      </c>
      <c r="AA183" s="80">
        <f t="shared" si="26"/>
        <v>44.686438500000001</v>
      </c>
      <c r="AB183" s="66"/>
      <c r="AC183" s="81">
        <v>365</v>
      </c>
      <c r="AD183" s="82">
        <f t="shared" si="27"/>
        <v>131.7893</v>
      </c>
      <c r="AE183" s="82">
        <f t="shared" si="28"/>
        <v>144.17600000000002</v>
      </c>
      <c r="AF183" s="82">
        <f t="shared" si="29"/>
        <v>270.83</v>
      </c>
      <c r="AG183" s="82">
        <f t="shared" si="29"/>
        <v>670.3</v>
      </c>
      <c r="AH183" s="114"/>
      <c r="AI183" s="114"/>
      <c r="AJ183" s="83">
        <f t="shared" si="30"/>
        <v>1217.0953</v>
      </c>
      <c r="AK183" s="82"/>
      <c r="AL183" s="84"/>
      <c r="AM183" s="66"/>
    </row>
    <row r="184" spans="3:39" ht="15.6" x14ac:dyDescent="0.3">
      <c r="C184" s="41" t="s">
        <v>573</v>
      </c>
      <c r="D184" s="41" t="s">
        <v>124</v>
      </c>
      <c r="E184" s="42" t="s">
        <v>88</v>
      </c>
      <c r="G184" s="66"/>
      <c r="H184" s="74">
        <v>2745</v>
      </c>
      <c r="I184" s="74">
        <v>2958</v>
      </c>
      <c r="J184" s="74">
        <v>2713</v>
      </c>
      <c r="K184" s="74">
        <v>2633</v>
      </c>
      <c r="L184" s="74">
        <v>2109</v>
      </c>
      <c r="M184" s="74">
        <v>1306</v>
      </c>
      <c r="N184" s="76" cm="1">
        <f t="array" ref="N184">SUM((H184:L184)/5)</f>
        <v>2631.6</v>
      </c>
      <c r="O184" s="74">
        <v>2400</v>
      </c>
      <c r="P184" s="66"/>
      <c r="Q184" s="77">
        <v>49.308</v>
      </c>
      <c r="R184" s="77">
        <v>72.016000000000005</v>
      </c>
      <c r="S184" s="77">
        <v>0.441</v>
      </c>
      <c r="T184" s="77">
        <v>0.441</v>
      </c>
      <c r="U184" s="77">
        <f t="shared" si="24"/>
        <v>960</v>
      </c>
      <c r="V184" s="77">
        <f t="shared" si="25"/>
        <v>1440</v>
      </c>
      <c r="W184" s="66"/>
      <c r="X184" s="77">
        <v>15.868</v>
      </c>
      <c r="Y184" s="77">
        <v>27.082850000000001</v>
      </c>
      <c r="Z184" s="79">
        <v>27.082850000000001</v>
      </c>
      <c r="AA184" s="80">
        <f t="shared" si="26"/>
        <v>44.686702500000003</v>
      </c>
      <c r="AB184" s="66"/>
      <c r="AC184" s="81">
        <v>365</v>
      </c>
      <c r="AD184" s="82">
        <f t="shared" si="27"/>
        <v>131.7893</v>
      </c>
      <c r="AE184" s="82">
        <f t="shared" si="28"/>
        <v>144.17600000000002</v>
      </c>
      <c r="AF184" s="82">
        <f t="shared" si="29"/>
        <v>260</v>
      </c>
      <c r="AG184" s="82">
        <f t="shared" si="29"/>
        <v>643.49</v>
      </c>
      <c r="AH184" s="114"/>
      <c r="AI184" s="114"/>
      <c r="AJ184" s="83">
        <f t="shared" si="30"/>
        <v>1179.4553000000001</v>
      </c>
      <c r="AK184" s="82"/>
      <c r="AL184" s="84"/>
      <c r="AM184" s="66"/>
    </row>
    <row r="185" spans="3:39" ht="15.6" x14ac:dyDescent="0.3">
      <c r="C185" s="41" t="s">
        <v>245</v>
      </c>
      <c r="D185" s="41" t="s">
        <v>124</v>
      </c>
      <c r="E185" s="42" t="s">
        <v>88</v>
      </c>
      <c r="G185" s="66"/>
      <c r="H185" s="74">
        <v>250</v>
      </c>
      <c r="I185" s="74">
        <v>267</v>
      </c>
      <c r="J185" s="74">
        <v>420</v>
      </c>
      <c r="K185" s="74">
        <v>462</v>
      </c>
      <c r="L185" s="74">
        <v>873</v>
      </c>
      <c r="M185" s="74">
        <v>433</v>
      </c>
      <c r="N185" s="76" cm="1">
        <f t="array" ref="N185">SUM((H185:L185)/5)</f>
        <v>454.4</v>
      </c>
      <c r="O185" s="74">
        <v>460</v>
      </c>
      <c r="P185" s="66"/>
      <c r="Q185" s="77">
        <v>49.828000000000003</v>
      </c>
      <c r="R185" s="77">
        <v>63.256999999999998</v>
      </c>
      <c r="S185" s="77">
        <v>0.441</v>
      </c>
      <c r="T185" s="77">
        <v>0.441</v>
      </c>
      <c r="U185" s="77">
        <f t="shared" si="24"/>
        <v>184</v>
      </c>
      <c r="V185" s="77">
        <f t="shared" si="25"/>
        <v>276</v>
      </c>
      <c r="W185" s="66"/>
      <c r="X185" s="77">
        <v>15.061999999999999</v>
      </c>
      <c r="Y185" s="77">
        <v>26.505980000000001</v>
      </c>
      <c r="Z185" s="79">
        <v>26.505980000000001</v>
      </c>
      <c r="AA185" s="80">
        <f t="shared" si="26"/>
        <v>43.734867000000001</v>
      </c>
      <c r="AB185" s="66"/>
      <c r="AC185" s="81">
        <v>365</v>
      </c>
      <c r="AD185" s="82">
        <f t="shared" si="27"/>
        <v>115.7603</v>
      </c>
      <c r="AE185" s="82">
        <f t="shared" si="28"/>
        <v>126.64049999999999</v>
      </c>
      <c r="AF185" s="82">
        <f t="shared" si="29"/>
        <v>48.77</v>
      </c>
      <c r="AG185" s="82">
        <f t="shared" si="29"/>
        <v>120.71</v>
      </c>
      <c r="AH185" s="114"/>
      <c r="AI185" s="114"/>
      <c r="AJ185" s="83">
        <f t="shared" si="30"/>
        <v>411.88079999999997</v>
      </c>
      <c r="AK185" s="82"/>
      <c r="AL185" s="84"/>
      <c r="AM185" s="66"/>
    </row>
    <row r="186" spans="3:39" ht="15.6" x14ac:dyDescent="0.3">
      <c r="C186" s="41" t="s">
        <v>245</v>
      </c>
      <c r="D186" s="41" t="s">
        <v>124</v>
      </c>
      <c r="E186" s="42" t="s">
        <v>88</v>
      </c>
      <c r="G186" s="66"/>
      <c r="H186" s="74">
        <v>18</v>
      </c>
      <c r="I186" s="74">
        <v>116</v>
      </c>
      <c r="J186" s="74">
        <v>469</v>
      </c>
      <c r="K186" s="74">
        <v>477</v>
      </c>
      <c r="L186" s="74">
        <v>474</v>
      </c>
      <c r="M186" s="74">
        <v>229</v>
      </c>
      <c r="N186" s="76" cm="1">
        <f t="array" ref="N186">SUM((H186:L186)/5)</f>
        <v>310.8</v>
      </c>
      <c r="O186" s="74">
        <v>475</v>
      </c>
      <c r="P186" s="66"/>
      <c r="Q186" s="77">
        <v>49.828000000000003</v>
      </c>
      <c r="R186" s="77">
        <v>63.256999999999998</v>
      </c>
      <c r="S186" s="77">
        <v>0.441</v>
      </c>
      <c r="T186" s="77">
        <v>0.441</v>
      </c>
      <c r="U186" s="77">
        <f t="shared" si="24"/>
        <v>190</v>
      </c>
      <c r="V186" s="77">
        <f t="shared" si="25"/>
        <v>285</v>
      </c>
      <c r="W186" s="66"/>
      <c r="X186" s="77">
        <v>15.061999999999999</v>
      </c>
      <c r="Y186" s="77">
        <v>26.505559999999999</v>
      </c>
      <c r="Z186" s="79">
        <v>26.505559999999999</v>
      </c>
      <c r="AA186" s="80">
        <f t="shared" si="26"/>
        <v>43.734173999999996</v>
      </c>
      <c r="AB186" s="66"/>
      <c r="AC186" s="81">
        <v>365</v>
      </c>
      <c r="AD186" s="82">
        <f t="shared" si="27"/>
        <v>115.7603</v>
      </c>
      <c r="AE186" s="82">
        <f t="shared" si="28"/>
        <v>126.64049999999999</v>
      </c>
      <c r="AF186" s="82">
        <f t="shared" si="29"/>
        <v>50.36</v>
      </c>
      <c r="AG186" s="82">
        <f t="shared" si="29"/>
        <v>124.64</v>
      </c>
      <c r="AH186" s="114"/>
      <c r="AI186" s="114"/>
      <c r="AJ186" s="83">
        <f t="shared" si="30"/>
        <v>417.4008</v>
      </c>
      <c r="AK186" s="82"/>
      <c r="AL186" s="84"/>
      <c r="AM186" s="66"/>
    </row>
    <row r="187" spans="3:39" ht="15.6" x14ac:dyDescent="0.3">
      <c r="C187" s="41" t="s">
        <v>574</v>
      </c>
      <c r="D187" s="41" t="s">
        <v>124</v>
      </c>
      <c r="E187" s="42" t="s">
        <v>88</v>
      </c>
      <c r="G187" s="66"/>
      <c r="H187" s="74">
        <v>416</v>
      </c>
      <c r="I187" s="74">
        <v>415</v>
      </c>
      <c r="J187" s="74">
        <v>425</v>
      </c>
      <c r="K187" s="74">
        <v>421</v>
      </c>
      <c r="L187" s="74">
        <v>305</v>
      </c>
      <c r="M187" s="74">
        <v>214</v>
      </c>
      <c r="N187" s="76" cm="1">
        <f t="array" ref="N187">SUM((H187:L187)/5)</f>
        <v>396.4</v>
      </c>
      <c r="O187" s="74">
        <v>380</v>
      </c>
      <c r="P187" s="66"/>
      <c r="Q187" s="77">
        <v>49.828000000000003</v>
      </c>
      <c r="R187" s="77">
        <v>63.256999999999998</v>
      </c>
      <c r="S187" s="77">
        <v>0.441</v>
      </c>
      <c r="T187" s="77">
        <v>0.441</v>
      </c>
      <c r="U187" s="77">
        <f t="shared" si="24"/>
        <v>152</v>
      </c>
      <c r="V187" s="77">
        <f t="shared" si="25"/>
        <v>228</v>
      </c>
      <c r="W187" s="66"/>
      <c r="X187" s="77">
        <v>15.061999999999999</v>
      </c>
      <c r="Y187" s="77">
        <v>26.505949999999999</v>
      </c>
      <c r="Z187" s="79">
        <v>26.505949999999999</v>
      </c>
      <c r="AA187" s="80">
        <f t="shared" si="26"/>
        <v>43.734817499999998</v>
      </c>
      <c r="AB187" s="66"/>
      <c r="AC187" s="81">
        <v>365</v>
      </c>
      <c r="AD187" s="82">
        <f t="shared" si="27"/>
        <v>115.7603</v>
      </c>
      <c r="AE187" s="82">
        <f t="shared" si="28"/>
        <v>126.64049999999999</v>
      </c>
      <c r="AF187" s="82">
        <f t="shared" si="29"/>
        <v>40.29</v>
      </c>
      <c r="AG187" s="82">
        <f t="shared" si="29"/>
        <v>99.72</v>
      </c>
      <c r="AH187" s="114"/>
      <c r="AI187" s="114"/>
      <c r="AJ187" s="83">
        <f t="shared" si="30"/>
        <v>382.41079999999999</v>
      </c>
      <c r="AK187" s="82"/>
      <c r="AL187" s="84"/>
      <c r="AM187" s="66"/>
    </row>
    <row r="188" spans="3:39" ht="15.6" x14ac:dyDescent="0.3">
      <c r="C188" s="41" t="s">
        <v>574</v>
      </c>
      <c r="D188" s="41" t="s">
        <v>124</v>
      </c>
      <c r="E188" s="42" t="s">
        <v>88</v>
      </c>
      <c r="G188" s="66"/>
      <c r="H188" s="74">
        <v>538</v>
      </c>
      <c r="I188" s="74">
        <v>589</v>
      </c>
      <c r="J188" s="74">
        <v>488</v>
      </c>
      <c r="K188" s="74">
        <v>592</v>
      </c>
      <c r="L188" s="74">
        <v>456</v>
      </c>
      <c r="M188" s="74">
        <v>263</v>
      </c>
      <c r="N188" s="76" cm="1">
        <f t="array" ref="N188">SUM((H188:L188)/5)</f>
        <v>532.6</v>
      </c>
      <c r="O188" s="74">
        <v>530</v>
      </c>
      <c r="P188" s="66"/>
      <c r="Q188" s="77">
        <v>49.828000000000003</v>
      </c>
      <c r="R188" s="77">
        <v>63.256999999999998</v>
      </c>
      <c r="S188" s="77">
        <v>0.441</v>
      </c>
      <c r="T188" s="77">
        <v>0.441</v>
      </c>
      <c r="U188" s="77">
        <f t="shared" si="24"/>
        <v>212</v>
      </c>
      <c r="V188" s="77">
        <f t="shared" si="25"/>
        <v>318</v>
      </c>
      <c r="W188" s="66"/>
      <c r="X188" s="77">
        <v>15.061999999999999</v>
      </c>
      <c r="Y188" s="77">
        <v>26.50657</v>
      </c>
      <c r="Z188" s="79">
        <v>26.50657</v>
      </c>
      <c r="AA188" s="80">
        <f t="shared" si="26"/>
        <v>43.735840500000002</v>
      </c>
      <c r="AB188" s="66"/>
      <c r="AC188" s="81">
        <v>365</v>
      </c>
      <c r="AD188" s="82">
        <f t="shared" si="27"/>
        <v>115.7603</v>
      </c>
      <c r="AE188" s="82">
        <f t="shared" si="28"/>
        <v>126.64049999999999</v>
      </c>
      <c r="AF188" s="82">
        <f t="shared" si="29"/>
        <v>56.19</v>
      </c>
      <c r="AG188" s="82">
        <f t="shared" si="29"/>
        <v>139.08000000000001</v>
      </c>
      <c r="AH188" s="114"/>
      <c r="AI188" s="114"/>
      <c r="AJ188" s="83">
        <f t="shared" si="30"/>
        <v>437.67079999999999</v>
      </c>
      <c r="AK188" s="82"/>
      <c r="AL188" s="84"/>
      <c r="AM188" s="66"/>
    </row>
    <row r="189" spans="3:39" ht="15.6" x14ac:dyDescent="0.3">
      <c r="C189" s="41" t="s">
        <v>574</v>
      </c>
      <c r="D189" s="41" t="s">
        <v>124</v>
      </c>
      <c r="E189" s="42" t="s">
        <v>88</v>
      </c>
      <c r="G189" s="66"/>
      <c r="H189" s="74">
        <v>359</v>
      </c>
      <c r="I189" s="74">
        <v>261</v>
      </c>
      <c r="J189" s="74">
        <v>262</v>
      </c>
      <c r="K189" s="74">
        <v>262</v>
      </c>
      <c r="L189" s="74">
        <v>195</v>
      </c>
      <c r="M189" s="74">
        <v>127</v>
      </c>
      <c r="N189" s="76" cm="1">
        <f t="array" ref="N189">SUM((H189:L189)/5)</f>
        <v>267.8</v>
      </c>
      <c r="O189" s="74">
        <v>270</v>
      </c>
      <c r="P189" s="66"/>
      <c r="Q189" s="77">
        <v>49.828000000000003</v>
      </c>
      <c r="R189" s="77">
        <v>63.256999999999998</v>
      </c>
      <c r="S189" s="77">
        <v>0.441</v>
      </c>
      <c r="T189" s="77">
        <v>0.441</v>
      </c>
      <c r="U189" s="77">
        <f t="shared" si="24"/>
        <v>108</v>
      </c>
      <c r="V189" s="77">
        <f t="shared" si="25"/>
        <v>162</v>
      </c>
      <c r="W189" s="66"/>
      <c r="X189" s="77">
        <v>15.061999999999999</v>
      </c>
      <c r="Y189" s="77">
        <v>26.505089999999999</v>
      </c>
      <c r="Z189" s="79">
        <v>26.505089999999999</v>
      </c>
      <c r="AA189" s="80">
        <f t="shared" si="26"/>
        <v>43.7333985</v>
      </c>
      <c r="AB189" s="66"/>
      <c r="AC189" s="81">
        <v>365</v>
      </c>
      <c r="AD189" s="82">
        <f t="shared" si="27"/>
        <v>115.7603</v>
      </c>
      <c r="AE189" s="82">
        <f t="shared" si="28"/>
        <v>126.64049999999999</v>
      </c>
      <c r="AF189" s="82">
        <f t="shared" si="29"/>
        <v>28.63</v>
      </c>
      <c r="AG189" s="82">
        <f t="shared" si="29"/>
        <v>70.849999999999994</v>
      </c>
      <c r="AH189" s="114"/>
      <c r="AI189" s="114"/>
      <c r="AJ189" s="83">
        <f t="shared" si="30"/>
        <v>341.88080000000002</v>
      </c>
      <c r="AK189" s="82"/>
      <c r="AL189" s="84"/>
      <c r="AM189" s="66"/>
    </row>
    <row r="190" spans="3:39" ht="45" x14ac:dyDescent="0.3">
      <c r="C190" s="41" t="s">
        <v>246</v>
      </c>
      <c r="D190" s="41" t="s">
        <v>124</v>
      </c>
      <c r="E190" s="42" t="s">
        <v>88</v>
      </c>
      <c r="G190" s="66"/>
      <c r="H190" s="74">
        <v>1506</v>
      </c>
      <c r="I190" s="74">
        <v>1329</v>
      </c>
      <c r="J190" s="74">
        <v>684</v>
      </c>
      <c r="K190" s="74">
        <v>682</v>
      </c>
      <c r="L190" s="74">
        <v>286</v>
      </c>
      <c r="M190" s="74">
        <v>0</v>
      </c>
      <c r="N190" s="76" cm="1">
        <f t="array" ref="N190">SUM((H190:L190)/5)</f>
        <v>897.4</v>
      </c>
      <c r="O190" s="74">
        <v>800</v>
      </c>
      <c r="P190" s="66"/>
      <c r="Q190" s="89">
        <v>0</v>
      </c>
      <c r="R190" s="89"/>
      <c r="S190" s="77">
        <v>0.441</v>
      </c>
      <c r="T190" s="77">
        <v>0.441</v>
      </c>
      <c r="U190" s="77">
        <f t="shared" si="24"/>
        <v>320</v>
      </c>
      <c r="V190" s="77">
        <f t="shared" si="25"/>
        <v>480</v>
      </c>
      <c r="W190" s="66"/>
      <c r="X190" s="77" t="s">
        <v>247</v>
      </c>
      <c r="Y190" s="89"/>
      <c r="Z190" s="90"/>
      <c r="AA190" s="80">
        <f t="shared" si="26"/>
        <v>0</v>
      </c>
      <c r="AB190" s="66"/>
      <c r="AC190" s="81">
        <v>365</v>
      </c>
      <c r="AD190" s="82">
        <f t="shared" si="27"/>
        <v>0</v>
      </c>
      <c r="AE190" s="82">
        <f t="shared" si="28"/>
        <v>0</v>
      </c>
      <c r="AF190" s="82">
        <f t="shared" si="29"/>
        <v>0</v>
      </c>
      <c r="AG190" s="82">
        <f t="shared" si="29"/>
        <v>0</v>
      </c>
      <c r="AH190" s="114"/>
      <c r="AI190" s="114"/>
      <c r="AJ190" s="83">
        <f t="shared" si="30"/>
        <v>0</v>
      </c>
      <c r="AK190" s="82"/>
      <c r="AL190" s="84"/>
      <c r="AM190" s="66"/>
    </row>
    <row r="191" spans="3:39" ht="15.6" x14ac:dyDescent="0.3">
      <c r="C191" s="41" t="s">
        <v>575</v>
      </c>
      <c r="D191" s="41" t="s">
        <v>124</v>
      </c>
      <c r="E191" s="42" t="s">
        <v>88</v>
      </c>
      <c r="G191" s="66"/>
      <c r="H191" s="74">
        <v>1071</v>
      </c>
      <c r="I191" s="74">
        <v>995</v>
      </c>
      <c r="J191" s="74">
        <v>876</v>
      </c>
      <c r="K191" s="74">
        <v>847</v>
      </c>
      <c r="L191" s="74">
        <v>714</v>
      </c>
      <c r="M191" s="74">
        <v>443</v>
      </c>
      <c r="N191" s="76" cm="1">
        <f t="array" ref="N191">SUM((H191:L191)/5)</f>
        <v>900.59999999999991</v>
      </c>
      <c r="O191" s="74">
        <v>900</v>
      </c>
      <c r="P191" s="66"/>
      <c r="Q191" s="77">
        <v>49.308</v>
      </c>
      <c r="R191" s="77">
        <v>72.016000000000005</v>
      </c>
      <c r="S191" s="77">
        <v>0.441</v>
      </c>
      <c r="T191" s="77">
        <v>0.441</v>
      </c>
      <c r="U191" s="77">
        <f t="shared" si="24"/>
        <v>360</v>
      </c>
      <c r="V191" s="77">
        <f t="shared" si="25"/>
        <v>540</v>
      </c>
      <c r="W191" s="66"/>
      <c r="X191" s="77">
        <v>15.868</v>
      </c>
      <c r="Y191" s="77">
        <v>27.082329999999999</v>
      </c>
      <c r="Z191" s="79">
        <v>27.082329999999999</v>
      </c>
      <c r="AA191" s="80">
        <f t="shared" si="26"/>
        <v>44.685844500000002</v>
      </c>
      <c r="AB191" s="66"/>
      <c r="AC191" s="81">
        <v>365</v>
      </c>
      <c r="AD191" s="82">
        <f t="shared" si="27"/>
        <v>131.7893</v>
      </c>
      <c r="AE191" s="82">
        <f t="shared" si="28"/>
        <v>144.17600000000002</v>
      </c>
      <c r="AF191" s="82">
        <f t="shared" si="29"/>
        <v>97.5</v>
      </c>
      <c r="AG191" s="82">
        <f t="shared" si="29"/>
        <v>241.3</v>
      </c>
      <c r="AH191" s="114"/>
      <c r="AI191" s="114"/>
      <c r="AJ191" s="83">
        <f t="shared" si="30"/>
        <v>614.76530000000002</v>
      </c>
      <c r="AK191" s="82"/>
      <c r="AL191" s="84"/>
      <c r="AM191" s="66"/>
    </row>
    <row r="192" spans="3:39" ht="15.6" x14ac:dyDescent="0.3">
      <c r="C192" s="41" t="s">
        <v>575</v>
      </c>
      <c r="D192" s="41" t="s">
        <v>124</v>
      </c>
      <c r="E192" s="42" t="s">
        <v>88</v>
      </c>
      <c r="G192" s="66"/>
      <c r="H192" s="74">
        <v>1370</v>
      </c>
      <c r="I192" s="74">
        <v>1257</v>
      </c>
      <c r="J192" s="74">
        <v>1093</v>
      </c>
      <c r="K192" s="74">
        <v>1139</v>
      </c>
      <c r="L192" s="74">
        <v>2068</v>
      </c>
      <c r="M192" s="74">
        <v>875</v>
      </c>
      <c r="N192" s="76" cm="1">
        <f t="array" ref="N192">SUM((H192:L192)/5)</f>
        <v>1385.4</v>
      </c>
      <c r="O192" s="74">
        <v>1500</v>
      </c>
      <c r="P192" s="66"/>
      <c r="Q192" s="77">
        <v>49.308</v>
      </c>
      <c r="R192" s="77">
        <v>72.016000000000005</v>
      </c>
      <c r="S192" s="77">
        <v>0.441</v>
      </c>
      <c r="T192" s="77">
        <v>0.441</v>
      </c>
      <c r="U192" s="77">
        <f t="shared" si="24"/>
        <v>600</v>
      </c>
      <c r="V192" s="77">
        <f t="shared" si="25"/>
        <v>900</v>
      </c>
      <c r="W192" s="66"/>
      <c r="X192" s="77">
        <v>15.868</v>
      </c>
      <c r="Y192" s="77">
        <v>27.082899999999999</v>
      </c>
      <c r="Z192" s="79">
        <v>27.082899999999999</v>
      </c>
      <c r="AA192" s="80">
        <f t="shared" si="26"/>
        <v>44.686785</v>
      </c>
      <c r="AB192" s="66"/>
      <c r="AC192" s="81">
        <v>365</v>
      </c>
      <c r="AD192" s="82">
        <f t="shared" si="27"/>
        <v>131.7893</v>
      </c>
      <c r="AE192" s="82">
        <f t="shared" si="28"/>
        <v>144.17600000000002</v>
      </c>
      <c r="AF192" s="82">
        <f t="shared" si="29"/>
        <v>162.5</v>
      </c>
      <c r="AG192" s="82">
        <f t="shared" si="29"/>
        <v>402.18</v>
      </c>
      <c r="AH192" s="114"/>
      <c r="AI192" s="114"/>
      <c r="AJ192" s="83">
        <f t="shared" si="30"/>
        <v>840.64530000000002</v>
      </c>
      <c r="AK192" s="82"/>
      <c r="AL192" s="84"/>
      <c r="AM192" s="66"/>
    </row>
    <row r="193" spans="3:39" ht="15.6" x14ac:dyDescent="0.3">
      <c r="C193" s="41" t="s">
        <v>576</v>
      </c>
      <c r="D193" s="41" t="s">
        <v>124</v>
      </c>
      <c r="E193" s="42" t="s">
        <v>88</v>
      </c>
      <c r="G193" s="66"/>
      <c r="H193" s="74">
        <v>790</v>
      </c>
      <c r="I193" s="74">
        <v>1132</v>
      </c>
      <c r="J193" s="74">
        <v>1013</v>
      </c>
      <c r="K193" s="74">
        <v>787</v>
      </c>
      <c r="L193" s="74">
        <v>717</v>
      </c>
      <c r="M193" s="74">
        <v>424</v>
      </c>
      <c r="N193" s="76" cm="1">
        <f t="array" ref="N193">SUM((H193:L193)/5)</f>
        <v>887.8</v>
      </c>
      <c r="O193" s="74">
        <v>800</v>
      </c>
      <c r="P193" s="66"/>
      <c r="Q193" s="77">
        <v>49.308</v>
      </c>
      <c r="R193" s="77">
        <v>72.016000000000005</v>
      </c>
      <c r="S193" s="77">
        <v>0.441</v>
      </c>
      <c r="T193" s="77">
        <v>0.441</v>
      </c>
      <c r="U193" s="77">
        <f t="shared" si="24"/>
        <v>320</v>
      </c>
      <c r="V193" s="77">
        <f t="shared" si="25"/>
        <v>480</v>
      </c>
      <c r="W193" s="66"/>
      <c r="X193" s="77">
        <v>15.868</v>
      </c>
      <c r="Y193" s="77">
        <v>27.082699999999999</v>
      </c>
      <c r="Z193" s="79">
        <v>27.082699999999999</v>
      </c>
      <c r="AA193" s="80">
        <f t="shared" si="26"/>
        <v>44.686454999999995</v>
      </c>
      <c r="AB193" s="66"/>
      <c r="AC193" s="81">
        <v>365</v>
      </c>
      <c r="AD193" s="82">
        <f t="shared" si="27"/>
        <v>131.7893</v>
      </c>
      <c r="AE193" s="82">
        <f t="shared" si="28"/>
        <v>144.17600000000002</v>
      </c>
      <c r="AF193" s="82">
        <f t="shared" si="29"/>
        <v>86.66</v>
      </c>
      <c r="AG193" s="82">
        <f t="shared" si="29"/>
        <v>214.49</v>
      </c>
      <c r="AH193" s="114"/>
      <c r="AI193" s="114"/>
      <c r="AJ193" s="83">
        <f t="shared" si="30"/>
        <v>577.11530000000005</v>
      </c>
      <c r="AK193" s="82"/>
      <c r="AL193" s="84"/>
      <c r="AM193" s="66"/>
    </row>
    <row r="194" spans="3:39" ht="15.6" x14ac:dyDescent="0.3">
      <c r="C194" s="41" t="s">
        <v>577</v>
      </c>
      <c r="D194" s="41" t="s">
        <v>124</v>
      </c>
      <c r="E194" s="42" t="s">
        <v>88</v>
      </c>
      <c r="G194" s="66"/>
      <c r="H194" s="74">
        <v>1048</v>
      </c>
      <c r="I194" s="74">
        <v>961</v>
      </c>
      <c r="J194" s="74">
        <v>1029</v>
      </c>
      <c r="K194" s="74">
        <v>874</v>
      </c>
      <c r="L194" s="74">
        <v>755</v>
      </c>
      <c r="M194" s="74">
        <v>397</v>
      </c>
      <c r="N194" s="76" cm="1">
        <f t="array" ref="N194">SUM((H194:L194)/5)</f>
        <v>933.39999999999986</v>
      </c>
      <c r="O194" s="74">
        <v>900</v>
      </c>
      <c r="P194" s="66"/>
      <c r="Q194" s="77">
        <v>49.308</v>
      </c>
      <c r="R194" s="77">
        <v>72.016000000000005</v>
      </c>
      <c r="S194" s="77">
        <v>0.441</v>
      </c>
      <c r="T194" s="77">
        <v>0.441</v>
      </c>
      <c r="U194" s="77">
        <f t="shared" si="24"/>
        <v>360</v>
      </c>
      <c r="V194" s="77">
        <f t="shared" si="25"/>
        <v>540</v>
      </c>
      <c r="W194" s="66"/>
      <c r="X194" s="77">
        <v>15.868</v>
      </c>
      <c r="Y194" s="77">
        <v>27.082689999999999</v>
      </c>
      <c r="Z194" s="79">
        <v>27.082689999999999</v>
      </c>
      <c r="AA194" s="80">
        <f t="shared" si="26"/>
        <v>44.686438500000001</v>
      </c>
      <c r="AB194" s="66"/>
      <c r="AC194" s="81">
        <v>365</v>
      </c>
      <c r="AD194" s="82">
        <f t="shared" si="27"/>
        <v>131.7893</v>
      </c>
      <c r="AE194" s="82">
        <f t="shared" si="28"/>
        <v>144.17600000000002</v>
      </c>
      <c r="AF194" s="82">
        <f t="shared" si="29"/>
        <v>97.5</v>
      </c>
      <c r="AG194" s="82">
        <f t="shared" si="29"/>
        <v>241.31</v>
      </c>
      <c r="AH194" s="114"/>
      <c r="AI194" s="114"/>
      <c r="AJ194" s="83">
        <f t="shared" si="30"/>
        <v>614.77530000000002</v>
      </c>
      <c r="AK194" s="82"/>
      <c r="AL194" s="84"/>
      <c r="AM194" s="66"/>
    </row>
    <row r="195" spans="3:39" ht="15.6" x14ac:dyDescent="0.3">
      <c r="C195" s="41" t="s">
        <v>578</v>
      </c>
      <c r="D195" s="41" t="s">
        <v>124</v>
      </c>
      <c r="E195" s="42" t="s">
        <v>88</v>
      </c>
      <c r="G195" s="66"/>
      <c r="H195" s="74">
        <v>715</v>
      </c>
      <c r="I195" s="74">
        <v>505</v>
      </c>
      <c r="J195" s="74">
        <v>370</v>
      </c>
      <c r="K195" s="74">
        <v>374</v>
      </c>
      <c r="L195" s="74">
        <v>304</v>
      </c>
      <c r="M195" s="74">
        <v>166</v>
      </c>
      <c r="N195" s="76" cm="1">
        <f t="array" ref="N195">SUM((H195:L195)/5)</f>
        <v>453.6</v>
      </c>
      <c r="O195" s="74">
        <v>420</v>
      </c>
      <c r="P195" s="66"/>
      <c r="Q195" s="77">
        <v>49.308</v>
      </c>
      <c r="R195" s="77">
        <v>72.016000000000005</v>
      </c>
      <c r="S195" s="77">
        <v>0.441</v>
      </c>
      <c r="T195" s="77">
        <v>0.441</v>
      </c>
      <c r="U195" s="77">
        <f t="shared" si="24"/>
        <v>168</v>
      </c>
      <c r="V195" s="77">
        <f t="shared" si="25"/>
        <v>252</v>
      </c>
      <c r="W195" s="66"/>
      <c r="X195" s="77">
        <v>15.868</v>
      </c>
      <c r="Y195" s="77">
        <v>27.083729999999999</v>
      </c>
      <c r="Z195" s="79">
        <v>27.083729999999999</v>
      </c>
      <c r="AA195" s="80">
        <f t="shared" si="26"/>
        <v>44.688154499999996</v>
      </c>
      <c r="AB195" s="66"/>
      <c r="AC195" s="81">
        <v>365</v>
      </c>
      <c r="AD195" s="82">
        <f t="shared" si="27"/>
        <v>131.7893</v>
      </c>
      <c r="AE195" s="82">
        <f t="shared" si="28"/>
        <v>144.17600000000002</v>
      </c>
      <c r="AF195" s="82">
        <f t="shared" si="29"/>
        <v>45.5</v>
      </c>
      <c r="AG195" s="82">
        <f t="shared" si="29"/>
        <v>112.61</v>
      </c>
      <c r="AH195" s="114"/>
      <c r="AI195" s="114"/>
      <c r="AJ195" s="83">
        <f t="shared" si="30"/>
        <v>434.07530000000003</v>
      </c>
      <c r="AK195" s="82"/>
      <c r="AL195" s="84"/>
      <c r="AM195" s="66"/>
    </row>
    <row r="196" spans="3:39" ht="45" x14ac:dyDescent="0.3">
      <c r="C196" s="41" t="s">
        <v>248</v>
      </c>
      <c r="D196" s="41" t="s">
        <v>124</v>
      </c>
      <c r="E196" s="42" t="s">
        <v>88</v>
      </c>
      <c r="G196" s="66"/>
      <c r="H196" s="74">
        <v>420</v>
      </c>
      <c r="I196" s="74">
        <v>537</v>
      </c>
      <c r="J196" s="74">
        <v>457</v>
      </c>
      <c r="K196" s="74">
        <v>436</v>
      </c>
      <c r="L196" s="74">
        <v>430</v>
      </c>
      <c r="M196" s="74">
        <v>0</v>
      </c>
      <c r="N196" s="76" cm="1">
        <f t="array" ref="N196">SUM((H196:L196)/5)</f>
        <v>456</v>
      </c>
      <c r="O196" s="74">
        <v>450</v>
      </c>
      <c r="P196" s="66"/>
      <c r="Q196" s="77">
        <v>42.325000000000003</v>
      </c>
      <c r="R196" s="77">
        <v>72.016000000000005</v>
      </c>
      <c r="S196" s="77">
        <v>0.441</v>
      </c>
      <c r="T196" s="77">
        <v>0.441</v>
      </c>
      <c r="U196" s="77">
        <f t="shared" si="24"/>
        <v>180</v>
      </c>
      <c r="V196" s="77">
        <f t="shared" si="25"/>
        <v>270</v>
      </c>
      <c r="W196" s="66"/>
      <c r="X196" s="77" t="s">
        <v>249</v>
      </c>
      <c r="Y196" s="77" t="s">
        <v>250</v>
      </c>
      <c r="Z196" s="79">
        <f>SUM(27.21193+25.23511)/2</f>
        <v>26.223520000000001</v>
      </c>
      <c r="AA196" s="80">
        <f t="shared" ref="AA196:AA259" si="31">SUM(Z196+Z196*$AA$4)</f>
        <v>43.268808</v>
      </c>
      <c r="AB196" s="66"/>
      <c r="AC196" s="81">
        <v>365</v>
      </c>
      <c r="AD196" s="82">
        <f t="shared" si="27"/>
        <v>131.7893</v>
      </c>
      <c r="AE196" s="82">
        <f t="shared" si="28"/>
        <v>144.17600000000002</v>
      </c>
      <c r="AF196" s="82">
        <f t="shared" si="29"/>
        <v>47.2</v>
      </c>
      <c r="AG196" s="82">
        <f t="shared" si="29"/>
        <v>116.83</v>
      </c>
      <c r="AH196" s="114"/>
      <c r="AI196" s="114"/>
      <c r="AJ196" s="83">
        <f t="shared" si="30"/>
        <v>439.99529999999999</v>
      </c>
      <c r="AK196" s="82"/>
      <c r="AL196" s="84"/>
      <c r="AM196" s="66"/>
    </row>
    <row r="197" spans="3:39" ht="15.6" x14ac:dyDescent="0.3">
      <c r="C197" s="41" t="s">
        <v>579</v>
      </c>
      <c r="D197" s="41" t="s">
        <v>124</v>
      </c>
      <c r="E197" s="42" t="s">
        <v>88</v>
      </c>
      <c r="G197" s="66"/>
      <c r="H197" s="74">
        <v>247</v>
      </c>
      <c r="I197" s="74">
        <v>280</v>
      </c>
      <c r="J197" s="74">
        <v>672</v>
      </c>
      <c r="K197" s="74">
        <v>658</v>
      </c>
      <c r="L197" s="74">
        <v>872</v>
      </c>
      <c r="M197" s="74">
        <v>355</v>
      </c>
      <c r="N197" s="76" cm="1">
        <f t="array" ref="N197">SUM((H197:L197)/5)</f>
        <v>545.79999999999995</v>
      </c>
      <c r="O197" s="74">
        <v>750</v>
      </c>
      <c r="P197" s="66"/>
      <c r="Q197" s="77">
        <v>49.828000000000003</v>
      </c>
      <c r="R197" s="77">
        <v>63.256999999999998</v>
      </c>
      <c r="S197" s="77">
        <v>0.441</v>
      </c>
      <c r="T197" s="77">
        <v>0.441</v>
      </c>
      <c r="U197" s="77">
        <f t="shared" si="24"/>
        <v>300</v>
      </c>
      <c r="V197" s="77">
        <f t="shared" si="25"/>
        <v>450</v>
      </c>
      <c r="W197" s="66"/>
      <c r="X197" s="77">
        <v>15.061999999999999</v>
      </c>
      <c r="Y197" s="77">
        <v>26.505990000000001</v>
      </c>
      <c r="Z197" s="79">
        <v>26.505990000000001</v>
      </c>
      <c r="AA197" s="80">
        <f t="shared" si="31"/>
        <v>43.734883500000002</v>
      </c>
      <c r="AB197" s="66"/>
      <c r="AC197" s="81">
        <v>365</v>
      </c>
      <c r="AD197" s="82">
        <f t="shared" si="27"/>
        <v>115.7603</v>
      </c>
      <c r="AE197" s="82">
        <f t="shared" si="28"/>
        <v>126.64049999999999</v>
      </c>
      <c r="AF197" s="82">
        <f t="shared" si="29"/>
        <v>79.52</v>
      </c>
      <c r="AG197" s="82">
        <f t="shared" si="29"/>
        <v>196.81</v>
      </c>
      <c r="AH197" s="114"/>
      <c r="AI197" s="114"/>
      <c r="AJ197" s="83">
        <f t="shared" si="30"/>
        <v>518.73080000000004</v>
      </c>
      <c r="AK197" s="82"/>
      <c r="AL197" s="84"/>
      <c r="AM197" s="66"/>
    </row>
    <row r="198" spans="3:39" ht="15.6" x14ac:dyDescent="0.3">
      <c r="C198" s="41" t="s">
        <v>251</v>
      </c>
      <c r="D198" s="41" t="s">
        <v>124</v>
      </c>
      <c r="E198" s="42" t="s">
        <v>88</v>
      </c>
      <c r="G198" s="66"/>
      <c r="H198" s="74">
        <v>506</v>
      </c>
      <c r="I198" s="74">
        <v>426</v>
      </c>
      <c r="J198" s="74">
        <v>455</v>
      </c>
      <c r="K198" s="74">
        <v>402</v>
      </c>
      <c r="L198" s="74">
        <v>341</v>
      </c>
      <c r="M198" s="74">
        <v>261</v>
      </c>
      <c r="N198" s="76" cm="1">
        <f t="array" ref="N198">SUM((H198:L198)/5)</f>
        <v>425.99999999999994</v>
      </c>
      <c r="O198" s="74">
        <v>430</v>
      </c>
      <c r="P198" s="66"/>
      <c r="Q198" s="77">
        <v>49.828000000000003</v>
      </c>
      <c r="R198" s="77">
        <v>63.256999999999998</v>
      </c>
      <c r="S198" s="77">
        <v>0.441</v>
      </c>
      <c r="T198" s="77">
        <v>0.441</v>
      </c>
      <c r="U198" s="77">
        <f t="shared" si="24"/>
        <v>172</v>
      </c>
      <c r="V198" s="77">
        <f t="shared" si="25"/>
        <v>258</v>
      </c>
      <c r="W198" s="66"/>
      <c r="X198" s="77">
        <v>15.061999999999999</v>
      </c>
      <c r="Y198" s="77">
        <v>26.50572</v>
      </c>
      <c r="Z198" s="79">
        <v>26.50572</v>
      </c>
      <c r="AA198" s="80">
        <f t="shared" si="31"/>
        <v>43.734437999999997</v>
      </c>
      <c r="AB198" s="66"/>
      <c r="AC198" s="81">
        <v>365</v>
      </c>
      <c r="AD198" s="82">
        <f t="shared" si="27"/>
        <v>115.7603</v>
      </c>
      <c r="AE198" s="82">
        <f t="shared" si="28"/>
        <v>126.64049999999999</v>
      </c>
      <c r="AF198" s="82">
        <f t="shared" si="29"/>
        <v>45.59</v>
      </c>
      <c r="AG198" s="82">
        <f t="shared" si="29"/>
        <v>112.83</v>
      </c>
      <c r="AH198" s="114"/>
      <c r="AI198" s="114"/>
      <c r="AJ198" s="83">
        <f t="shared" si="30"/>
        <v>400.82080000000002</v>
      </c>
      <c r="AK198" s="82"/>
      <c r="AL198" s="84"/>
      <c r="AM198" s="66"/>
    </row>
    <row r="199" spans="3:39" ht="15.6" x14ac:dyDescent="0.3">
      <c r="C199" s="41" t="s">
        <v>580</v>
      </c>
      <c r="D199" s="41" t="s">
        <v>124</v>
      </c>
      <c r="E199" s="42" t="s">
        <v>88</v>
      </c>
      <c r="G199" s="66"/>
      <c r="H199" s="74">
        <v>1875</v>
      </c>
      <c r="I199" s="74">
        <v>1826</v>
      </c>
      <c r="J199" s="74">
        <v>1275</v>
      </c>
      <c r="K199" s="74">
        <v>998</v>
      </c>
      <c r="L199" s="74">
        <v>701</v>
      </c>
      <c r="M199" s="74">
        <v>493</v>
      </c>
      <c r="N199" s="76" cm="1">
        <f t="array" ref="N199">SUM((H199:L199)/5)</f>
        <v>1335</v>
      </c>
      <c r="O199" s="74">
        <v>1200</v>
      </c>
      <c r="P199" s="66"/>
      <c r="Q199" s="77">
        <v>49.828000000000003</v>
      </c>
      <c r="R199" s="77">
        <v>63.256999999999998</v>
      </c>
      <c r="S199" s="77">
        <v>0.441</v>
      </c>
      <c r="T199" s="77">
        <v>0.441</v>
      </c>
      <c r="U199" s="77">
        <f t="shared" si="24"/>
        <v>480</v>
      </c>
      <c r="V199" s="77">
        <f t="shared" si="25"/>
        <v>720</v>
      </c>
      <c r="W199" s="66"/>
      <c r="X199" s="77">
        <v>15.061999999999999</v>
      </c>
      <c r="Y199" s="77">
        <v>26.50572</v>
      </c>
      <c r="Z199" s="79">
        <v>26.50572</v>
      </c>
      <c r="AA199" s="80">
        <f t="shared" si="31"/>
        <v>43.734437999999997</v>
      </c>
      <c r="AB199" s="66"/>
      <c r="AC199" s="81">
        <v>365</v>
      </c>
      <c r="AD199" s="82">
        <f t="shared" si="27"/>
        <v>115.7603</v>
      </c>
      <c r="AE199" s="82">
        <f t="shared" si="28"/>
        <v>126.64049999999999</v>
      </c>
      <c r="AF199" s="82">
        <f t="shared" si="29"/>
        <v>127.23</v>
      </c>
      <c r="AG199" s="82">
        <f t="shared" si="29"/>
        <v>314.89</v>
      </c>
      <c r="AH199" s="114"/>
      <c r="AI199" s="114"/>
      <c r="AJ199" s="83">
        <f t="shared" si="30"/>
        <v>684.52080000000001</v>
      </c>
      <c r="AK199" s="82"/>
      <c r="AL199" s="84"/>
      <c r="AM199" s="66"/>
    </row>
    <row r="200" spans="3:39" ht="60" x14ac:dyDescent="0.3">
      <c r="C200" s="41" t="s">
        <v>581</v>
      </c>
      <c r="D200" s="41" t="s">
        <v>124</v>
      </c>
      <c r="E200" s="42" t="s">
        <v>88</v>
      </c>
      <c r="G200" s="66"/>
      <c r="H200" s="74">
        <v>1197</v>
      </c>
      <c r="I200" s="74">
        <v>1175</v>
      </c>
      <c r="J200" s="74">
        <v>1153</v>
      </c>
      <c r="K200" s="74">
        <v>1470</v>
      </c>
      <c r="L200" s="74">
        <v>1358</v>
      </c>
      <c r="M200" s="74">
        <v>913</v>
      </c>
      <c r="N200" s="76" cm="1">
        <f t="array" ref="N200">SUM((H200:L200)/5)</f>
        <v>1270.5999999999999</v>
      </c>
      <c r="O200" s="74">
        <v>1400</v>
      </c>
      <c r="P200" s="66"/>
      <c r="Q200" s="77">
        <v>49.325000000000003</v>
      </c>
      <c r="R200" s="77">
        <v>72.016000000000005</v>
      </c>
      <c r="S200" s="77">
        <v>0.441</v>
      </c>
      <c r="T200" s="77">
        <v>0.441</v>
      </c>
      <c r="U200" s="77">
        <f t="shared" si="24"/>
        <v>560</v>
      </c>
      <c r="V200" s="77">
        <f t="shared" si="25"/>
        <v>840</v>
      </c>
      <c r="W200" s="66"/>
      <c r="X200" s="77" t="s">
        <v>252</v>
      </c>
      <c r="Y200" s="77" t="s">
        <v>253</v>
      </c>
      <c r="Z200" s="79">
        <f>SUM(27.21361+25.09042)/2</f>
        <v>26.152014999999999</v>
      </c>
      <c r="AA200" s="80">
        <f t="shared" si="31"/>
        <v>43.150824749999998</v>
      </c>
      <c r="AB200" s="66"/>
      <c r="AC200" s="81">
        <v>365</v>
      </c>
      <c r="AD200" s="82">
        <f t="shared" si="27"/>
        <v>131.7893</v>
      </c>
      <c r="AE200" s="82">
        <f t="shared" si="28"/>
        <v>144.17600000000002</v>
      </c>
      <c r="AF200" s="82">
        <f t="shared" si="29"/>
        <v>146.44999999999999</v>
      </c>
      <c r="AG200" s="82">
        <f t="shared" si="29"/>
        <v>362.47</v>
      </c>
      <c r="AH200" s="114"/>
      <c r="AI200" s="114"/>
      <c r="AJ200" s="83">
        <f t="shared" si="30"/>
        <v>784.88530000000003</v>
      </c>
      <c r="AK200" s="82"/>
      <c r="AL200" s="84"/>
      <c r="AM200" s="66"/>
    </row>
    <row r="201" spans="3:39" ht="15.6" x14ac:dyDescent="0.3">
      <c r="C201" s="41" t="s">
        <v>581</v>
      </c>
      <c r="D201" s="41" t="s">
        <v>124</v>
      </c>
      <c r="E201" s="42" t="s">
        <v>88</v>
      </c>
      <c r="G201" s="66"/>
      <c r="H201" s="74">
        <v>1247</v>
      </c>
      <c r="I201" s="74">
        <v>898</v>
      </c>
      <c r="J201" s="74">
        <v>989</v>
      </c>
      <c r="K201" s="74">
        <v>1273</v>
      </c>
      <c r="L201" s="74">
        <v>903</v>
      </c>
      <c r="M201" s="74">
        <v>699</v>
      </c>
      <c r="N201" s="76" cm="1">
        <f t="array" ref="N201">SUM((H201:L201)/5)</f>
        <v>1062</v>
      </c>
      <c r="O201" s="74">
        <v>1100</v>
      </c>
      <c r="P201" s="66"/>
      <c r="Q201" s="77">
        <v>49.308</v>
      </c>
      <c r="R201" s="77">
        <v>72.016000000000005</v>
      </c>
      <c r="S201" s="77">
        <v>0.441</v>
      </c>
      <c r="T201" s="77">
        <v>0.441</v>
      </c>
      <c r="U201" s="77">
        <f t="shared" si="24"/>
        <v>440</v>
      </c>
      <c r="V201" s="77">
        <f t="shared" si="25"/>
        <v>660</v>
      </c>
      <c r="W201" s="66"/>
      <c r="X201" s="77">
        <v>15.868</v>
      </c>
      <c r="Y201" s="77">
        <v>27.082820000000002</v>
      </c>
      <c r="Z201" s="79">
        <v>27.082820000000002</v>
      </c>
      <c r="AA201" s="80">
        <f t="shared" si="31"/>
        <v>44.686653000000007</v>
      </c>
      <c r="AB201" s="66"/>
      <c r="AC201" s="81">
        <v>365</v>
      </c>
      <c r="AD201" s="82">
        <f t="shared" si="27"/>
        <v>131.7893</v>
      </c>
      <c r="AE201" s="82">
        <f t="shared" si="28"/>
        <v>144.17600000000002</v>
      </c>
      <c r="AF201" s="82">
        <f t="shared" si="29"/>
        <v>119.16</v>
      </c>
      <c r="AG201" s="82">
        <f t="shared" si="29"/>
        <v>294.93</v>
      </c>
      <c r="AH201" s="114"/>
      <c r="AI201" s="114"/>
      <c r="AJ201" s="83">
        <f t="shared" si="30"/>
        <v>690.05529999999999</v>
      </c>
      <c r="AK201" s="82"/>
      <c r="AL201" s="84"/>
      <c r="AM201" s="66"/>
    </row>
    <row r="202" spans="3:39" ht="60" x14ac:dyDescent="0.3">
      <c r="C202" s="41" t="s">
        <v>582</v>
      </c>
      <c r="D202" s="41" t="s">
        <v>124</v>
      </c>
      <c r="E202" s="42" t="s">
        <v>88</v>
      </c>
      <c r="G202" s="66"/>
      <c r="H202" s="74">
        <v>115</v>
      </c>
      <c r="I202" s="74">
        <v>708</v>
      </c>
      <c r="J202" s="74">
        <v>639</v>
      </c>
      <c r="K202" s="74">
        <v>818</v>
      </c>
      <c r="L202" s="74">
        <v>597</v>
      </c>
      <c r="M202" s="74">
        <v>415</v>
      </c>
      <c r="N202" s="76" cm="1">
        <f t="array" ref="N202">SUM((H202:L202)/5)</f>
        <v>575.4</v>
      </c>
      <c r="O202" s="74">
        <v>700</v>
      </c>
      <c r="P202" s="66"/>
      <c r="Q202" s="77">
        <v>49.325000000000003</v>
      </c>
      <c r="R202" s="77">
        <v>72.016000000000005</v>
      </c>
      <c r="S202" s="77">
        <v>0.441</v>
      </c>
      <c r="T202" s="77">
        <v>0.441</v>
      </c>
      <c r="U202" s="77">
        <f t="shared" si="24"/>
        <v>280</v>
      </c>
      <c r="V202" s="77">
        <f t="shared" si="25"/>
        <v>420</v>
      </c>
      <c r="W202" s="66"/>
      <c r="X202" s="77" t="s">
        <v>254</v>
      </c>
      <c r="Y202" s="77" t="s">
        <v>255</v>
      </c>
      <c r="Z202" s="79">
        <f>SUM(27.21495+25.09089)/2</f>
        <v>26.152920000000002</v>
      </c>
      <c r="AA202" s="80">
        <f t="shared" si="31"/>
        <v>43.152318000000008</v>
      </c>
      <c r="AB202" s="66"/>
      <c r="AC202" s="81">
        <v>365</v>
      </c>
      <c r="AD202" s="82">
        <f t="shared" si="27"/>
        <v>131.7893</v>
      </c>
      <c r="AE202" s="82">
        <f t="shared" si="28"/>
        <v>144.17600000000002</v>
      </c>
      <c r="AF202" s="82">
        <f t="shared" si="29"/>
        <v>73.23</v>
      </c>
      <c r="AG202" s="82">
        <f t="shared" si="29"/>
        <v>181.24</v>
      </c>
      <c r="AH202" s="114"/>
      <c r="AI202" s="114"/>
      <c r="AJ202" s="83">
        <f t="shared" si="30"/>
        <v>530.4353000000001</v>
      </c>
      <c r="AK202" s="82"/>
      <c r="AL202" s="84"/>
      <c r="AM202" s="66"/>
    </row>
    <row r="203" spans="3:39" ht="15.6" x14ac:dyDescent="0.3">
      <c r="C203" s="41" t="s">
        <v>583</v>
      </c>
      <c r="D203" s="41" t="s">
        <v>124</v>
      </c>
      <c r="E203" s="42" t="s">
        <v>88</v>
      </c>
      <c r="G203" s="66"/>
      <c r="H203" s="74">
        <v>408</v>
      </c>
      <c r="I203" s="74">
        <v>572</v>
      </c>
      <c r="J203" s="74">
        <v>474</v>
      </c>
      <c r="K203" s="74">
        <v>170</v>
      </c>
      <c r="L203" s="74">
        <v>178</v>
      </c>
      <c r="M203" s="74">
        <v>89</v>
      </c>
      <c r="N203" s="76" cm="1">
        <f t="array" ref="N203">SUM((H203:L203)/5)</f>
        <v>360.40000000000003</v>
      </c>
      <c r="O203" s="74">
        <v>360</v>
      </c>
      <c r="P203" s="66"/>
      <c r="Q203" s="77">
        <v>49.308</v>
      </c>
      <c r="R203" s="77">
        <v>72.016000000000005</v>
      </c>
      <c r="S203" s="77">
        <v>0.441</v>
      </c>
      <c r="T203" s="77">
        <v>0.441</v>
      </c>
      <c r="U203" s="77">
        <f t="shared" si="24"/>
        <v>144</v>
      </c>
      <c r="V203" s="77">
        <f t="shared" si="25"/>
        <v>216</v>
      </c>
      <c r="W203" s="66"/>
      <c r="X203" s="77">
        <v>15.868</v>
      </c>
      <c r="Y203" s="77">
        <v>27.082519999999999</v>
      </c>
      <c r="Z203" s="79">
        <v>27.082519999999999</v>
      </c>
      <c r="AA203" s="80">
        <f t="shared" si="31"/>
        <v>44.686157999999999</v>
      </c>
      <c r="AB203" s="66"/>
      <c r="AC203" s="81">
        <v>365</v>
      </c>
      <c r="AD203" s="82">
        <f t="shared" si="27"/>
        <v>131.7893</v>
      </c>
      <c r="AE203" s="82">
        <f t="shared" si="28"/>
        <v>144.17600000000002</v>
      </c>
      <c r="AF203" s="82">
        <f t="shared" si="29"/>
        <v>39</v>
      </c>
      <c r="AG203" s="82">
        <f t="shared" si="29"/>
        <v>96.52</v>
      </c>
      <c r="AH203" s="114"/>
      <c r="AI203" s="114"/>
      <c r="AJ203" s="83">
        <f t="shared" si="30"/>
        <v>411.4853</v>
      </c>
      <c r="AK203" s="82"/>
      <c r="AL203" s="84"/>
      <c r="AM203" s="66"/>
    </row>
    <row r="204" spans="3:39" ht="15.6" x14ac:dyDescent="0.3">
      <c r="C204" s="41" t="s">
        <v>583</v>
      </c>
      <c r="D204" s="41" t="s">
        <v>124</v>
      </c>
      <c r="E204" s="42" t="s">
        <v>88</v>
      </c>
      <c r="G204" s="66"/>
      <c r="H204" s="74">
        <v>225</v>
      </c>
      <c r="I204" s="74">
        <v>174</v>
      </c>
      <c r="J204" s="74">
        <v>92</v>
      </c>
      <c r="K204" s="74">
        <v>30</v>
      </c>
      <c r="L204" s="74">
        <v>115</v>
      </c>
      <c r="M204" s="74">
        <v>71</v>
      </c>
      <c r="N204" s="76" cm="1">
        <f t="array" ref="N204">SUM((H204:L204)/5)</f>
        <v>127.19999999999999</v>
      </c>
      <c r="O204" s="74">
        <v>120</v>
      </c>
      <c r="P204" s="66"/>
      <c r="Q204" s="77">
        <v>49.308</v>
      </c>
      <c r="R204" s="77">
        <v>72.016000000000005</v>
      </c>
      <c r="S204" s="77">
        <v>0.441</v>
      </c>
      <c r="T204" s="77">
        <v>0.441</v>
      </c>
      <c r="U204" s="77">
        <f t="shared" si="24"/>
        <v>48</v>
      </c>
      <c r="V204" s="77">
        <f t="shared" si="25"/>
        <v>72</v>
      </c>
      <c r="W204" s="66"/>
      <c r="X204" s="77">
        <v>15.868</v>
      </c>
      <c r="Y204" s="77">
        <v>27.083500000000001</v>
      </c>
      <c r="Z204" s="79">
        <v>27.083500000000001</v>
      </c>
      <c r="AA204" s="80">
        <f t="shared" si="31"/>
        <v>44.687775000000002</v>
      </c>
      <c r="AB204" s="66"/>
      <c r="AC204" s="81">
        <v>365</v>
      </c>
      <c r="AD204" s="82">
        <f t="shared" si="27"/>
        <v>131.7893</v>
      </c>
      <c r="AE204" s="82">
        <f t="shared" si="28"/>
        <v>144.17600000000002</v>
      </c>
      <c r="AF204" s="82">
        <f t="shared" si="29"/>
        <v>13</v>
      </c>
      <c r="AG204" s="82">
        <f t="shared" si="29"/>
        <v>32.18</v>
      </c>
      <c r="AH204" s="114"/>
      <c r="AI204" s="114"/>
      <c r="AJ204" s="83">
        <f t="shared" si="30"/>
        <v>321.14530000000002</v>
      </c>
      <c r="AK204" s="82"/>
      <c r="AL204" s="84"/>
      <c r="AM204" s="66"/>
    </row>
    <row r="205" spans="3:39" ht="15.6" x14ac:dyDescent="0.3">
      <c r="C205" s="41" t="s">
        <v>256</v>
      </c>
      <c r="D205" s="41" t="s">
        <v>124</v>
      </c>
      <c r="E205" s="42" t="s">
        <v>88</v>
      </c>
      <c r="G205" s="66"/>
      <c r="H205" s="74">
        <v>240</v>
      </c>
      <c r="I205" s="74">
        <v>239</v>
      </c>
      <c r="J205" s="74">
        <v>248</v>
      </c>
      <c r="K205" s="74">
        <v>250</v>
      </c>
      <c r="L205" s="74">
        <v>218</v>
      </c>
      <c r="M205" s="74">
        <v>488</v>
      </c>
      <c r="N205" s="76" cm="1">
        <f t="array" ref="N205">SUM((H205:L205)/5)</f>
        <v>239</v>
      </c>
      <c r="O205" s="74">
        <v>240</v>
      </c>
      <c r="P205" s="66"/>
      <c r="Q205" s="77">
        <v>49.308</v>
      </c>
      <c r="R205" s="77">
        <v>72.016000000000005</v>
      </c>
      <c r="S205" s="77">
        <v>0.441</v>
      </c>
      <c r="T205" s="77">
        <v>0.441</v>
      </c>
      <c r="U205" s="77">
        <f t="shared" si="24"/>
        <v>96</v>
      </c>
      <c r="V205" s="77">
        <f t="shared" si="25"/>
        <v>144</v>
      </c>
      <c r="W205" s="66"/>
      <c r="X205" s="77">
        <v>15.868</v>
      </c>
      <c r="Y205" s="77">
        <v>27.082070000000002</v>
      </c>
      <c r="Z205" s="79">
        <v>27.082070000000002</v>
      </c>
      <c r="AA205" s="80">
        <f t="shared" si="31"/>
        <v>44.685415500000005</v>
      </c>
      <c r="AB205" s="66"/>
      <c r="AC205" s="81">
        <v>365</v>
      </c>
      <c r="AD205" s="82">
        <f t="shared" si="27"/>
        <v>131.7893</v>
      </c>
      <c r="AE205" s="82">
        <f t="shared" si="28"/>
        <v>144.17600000000002</v>
      </c>
      <c r="AF205" s="82">
        <f t="shared" si="29"/>
        <v>26</v>
      </c>
      <c r="AG205" s="82">
        <f t="shared" si="29"/>
        <v>64.349999999999994</v>
      </c>
      <c r="AH205" s="114"/>
      <c r="AI205" s="114"/>
      <c r="AJ205" s="83">
        <f t="shared" si="30"/>
        <v>366.31529999999998</v>
      </c>
      <c r="AK205" s="82"/>
      <c r="AL205" s="84"/>
      <c r="AM205" s="66"/>
    </row>
    <row r="206" spans="3:39" ht="15.6" x14ac:dyDescent="0.3">
      <c r="C206" s="41" t="s">
        <v>584</v>
      </c>
      <c r="D206" s="41" t="s">
        <v>124</v>
      </c>
      <c r="E206" s="42" t="s">
        <v>88</v>
      </c>
      <c r="G206" s="66"/>
      <c r="H206" s="74">
        <v>667</v>
      </c>
      <c r="I206" s="74">
        <v>510</v>
      </c>
      <c r="J206" s="74">
        <v>528</v>
      </c>
      <c r="K206" s="74">
        <v>827</v>
      </c>
      <c r="L206" s="74">
        <v>1106</v>
      </c>
      <c r="M206" s="74">
        <v>603</v>
      </c>
      <c r="N206" s="76" cm="1">
        <f t="array" ref="N206">SUM((H206:L206)/5)</f>
        <v>727.59999999999991</v>
      </c>
      <c r="O206" s="74">
        <v>850</v>
      </c>
      <c r="P206" s="66"/>
      <c r="Q206" s="77">
        <v>49.308</v>
      </c>
      <c r="R206" s="77">
        <v>72.016000000000005</v>
      </c>
      <c r="S206" s="77">
        <v>0.441</v>
      </c>
      <c r="T206" s="77">
        <v>0.441</v>
      </c>
      <c r="U206" s="77">
        <f t="shared" si="24"/>
        <v>340</v>
      </c>
      <c r="V206" s="77">
        <f t="shared" si="25"/>
        <v>510</v>
      </c>
      <c r="W206" s="66"/>
      <c r="X206" s="77">
        <v>15.868</v>
      </c>
      <c r="Y206" s="77">
        <v>27.08258</v>
      </c>
      <c r="Z206" s="79">
        <v>27.08258</v>
      </c>
      <c r="AA206" s="80">
        <f t="shared" si="31"/>
        <v>44.686256999999998</v>
      </c>
      <c r="AB206" s="66"/>
      <c r="AC206" s="81">
        <v>365</v>
      </c>
      <c r="AD206" s="82">
        <f t="shared" si="27"/>
        <v>131.7893</v>
      </c>
      <c r="AE206" s="82">
        <f t="shared" si="28"/>
        <v>144.17600000000002</v>
      </c>
      <c r="AF206" s="82">
        <f t="shared" si="29"/>
        <v>92.08</v>
      </c>
      <c r="AG206" s="82">
        <f t="shared" si="29"/>
        <v>227.9</v>
      </c>
      <c r="AH206" s="114"/>
      <c r="AI206" s="114"/>
      <c r="AJ206" s="83">
        <f t="shared" si="30"/>
        <v>595.94529999999997</v>
      </c>
      <c r="AK206" s="82"/>
      <c r="AL206" s="84"/>
      <c r="AM206" s="66"/>
    </row>
    <row r="207" spans="3:39" ht="15.6" x14ac:dyDescent="0.3">
      <c r="C207" s="41" t="s">
        <v>584</v>
      </c>
      <c r="D207" s="41" t="s">
        <v>124</v>
      </c>
      <c r="E207" s="42" t="s">
        <v>88</v>
      </c>
      <c r="G207" s="66"/>
      <c r="H207" s="74">
        <v>578</v>
      </c>
      <c r="I207" s="74">
        <v>606</v>
      </c>
      <c r="J207" s="74">
        <v>1185</v>
      </c>
      <c r="K207" s="74">
        <v>807</v>
      </c>
      <c r="L207" s="74">
        <v>817</v>
      </c>
      <c r="M207" s="74">
        <v>416</v>
      </c>
      <c r="N207" s="76" cm="1">
        <f t="array" ref="N207">SUM((H207:L207)/5)</f>
        <v>798.6</v>
      </c>
      <c r="O207" s="74">
        <v>810</v>
      </c>
      <c r="P207" s="66"/>
      <c r="Q207" s="77">
        <v>49.308</v>
      </c>
      <c r="R207" s="77">
        <v>72.016000000000005</v>
      </c>
      <c r="S207" s="77">
        <v>0.441</v>
      </c>
      <c r="T207" s="77">
        <v>0.441</v>
      </c>
      <c r="U207" s="77">
        <f t="shared" si="24"/>
        <v>324</v>
      </c>
      <c r="V207" s="77">
        <f t="shared" si="25"/>
        <v>486</v>
      </c>
      <c r="W207" s="66"/>
      <c r="X207" s="77">
        <v>15.868</v>
      </c>
      <c r="Y207" s="77">
        <v>27.082280000000001</v>
      </c>
      <c r="Z207" s="79">
        <v>27.082280000000001</v>
      </c>
      <c r="AA207" s="80">
        <f t="shared" si="31"/>
        <v>44.685761999999997</v>
      </c>
      <c r="AB207" s="66"/>
      <c r="AC207" s="81">
        <v>365</v>
      </c>
      <c r="AD207" s="82">
        <f t="shared" si="27"/>
        <v>131.7893</v>
      </c>
      <c r="AE207" s="82">
        <f t="shared" si="28"/>
        <v>144.17600000000002</v>
      </c>
      <c r="AF207" s="82">
        <f t="shared" si="29"/>
        <v>87.75</v>
      </c>
      <c r="AG207" s="82">
        <f t="shared" si="29"/>
        <v>217.17</v>
      </c>
      <c r="AH207" s="114"/>
      <c r="AI207" s="114"/>
      <c r="AJ207" s="83">
        <f t="shared" si="30"/>
        <v>580.88530000000003</v>
      </c>
      <c r="AK207" s="82"/>
      <c r="AL207" s="84"/>
      <c r="AM207" s="66"/>
    </row>
    <row r="208" spans="3:39" ht="60" x14ac:dyDescent="0.3">
      <c r="C208" s="41" t="s">
        <v>584</v>
      </c>
      <c r="D208" s="41" t="s">
        <v>124</v>
      </c>
      <c r="E208" s="42" t="s">
        <v>88</v>
      </c>
      <c r="G208" s="66"/>
      <c r="H208" s="74">
        <v>1256</v>
      </c>
      <c r="I208" s="74">
        <v>1034</v>
      </c>
      <c r="J208" s="74">
        <v>961</v>
      </c>
      <c r="K208" s="74">
        <v>1593</v>
      </c>
      <c r="L208" s="74">
        <v>1241</v>
      </c>
      <c r="M208" s="74">
        <v>741</v>
      </c>
      <c r="N208" s="76" cm="1">
        <f t="array" ref="N208">SUM((H208:L208)/5)</f>
        <v>1217</v>
      </c>
      <c r="O208" s="74">
        <v>1350</v>
      </c>
      <c r="P208" s="66"/>
      <c r="Q208" s="77">
        <v>50.344000000000001</v>
      </c>
      <c r="R208" s="77">
        <v>63.256999999999998</v>
      </c>
      <c r="S208" s="77">
        <v>0.441</v>
      </c>
      <c r="T208" s="77">
        <v>0.441</v>
      </c>
      <c r="U208" s="77">
        <f t="shared" si="24"/>
        <v>540</v>
      </c>
      <c r="V208" s="77">
        <f t="shared" si="25"/>
        <v>810</v>
      </c>
      <c r="W208" s="66"/>
      <c r="X208" s="77" t="s">
        <v>257</v>
      </c>
      <c r="Y208" s="77" t="s">
        <v>258</v>
      </c>
      <c r="Z208" s="79">
        <f>SUM(26.72093+25.09016)/2</f>
        <v>25.905545</v>
      </c>
      <c r="AA208" s="80">
        <f t="shared" si="31"/>
        <v>42.74414925</v>
      </c>
      <c r="AB208" s="66"/>
      <c r="AC208" s="81">
        <v>365</v>
      </c>
      <c r="AD208" s="82">
        <f t="shared" si="27"/>
        <v>115.7603</v>
      </c>
      <c r="AE208" s="82">
        <f t="shared" si="28"/>
        <v>126.64049999999999</v>
      </c>
      <c r="AF208" s="82">
        <f t="shared" si="29"/>
        <v>139.88999999999999</v>
      </c>
      <c r="AG208" s="82">
        <f t="shared" si="29"/>
        <v>346.23</v>
      </c>
      <c r="AH208" s="114"/>
      <c r="AI208" s="114"/>
      <c r="AJ208" s="83">
        <f t="shared" si="30"/>
        <v>728.52080000000001</v>
      </c>
      <c r="AK208" s="82"/>
      <c r="AL208" s="84"/>
      <c r="AM208" s="66"/>
    </row>
    <row r="209" spans="3:39" ht="15.6" x14ac:dyDescent="0.3">
      <c r="C209" s="41" t="s">
        <v>584</v>
      </c>
      <c r="D209" s="41" t="s">
        <v>124</v>
      </c>
      <c r="E209" s="42" t="s">
        <v>88</v>
      </c>
      <c r="G209" s="66"/>
      <c r="H209" s="74">
        <v>797</v>
      </c>
      <c r="I209" s="74">
        <v>1078</v>
      </c>
      <c r="J209" s="74">
        <v>939</v>
      </c>
      <c r="K209" s="74">
        <v>524</v>
      </c>
      <c r="L209" s="74">
        <v>665</v>
      </c>
      <c r="M209" s="74">
        <v>386</v>
      </c>
      <c r="N209" s="76" cm="1">
        <f t="array" ref="N209">SUM((H209:L209)/5)</f>
        <v>800.59999999999991</v>
      </c>
      <c r="O209" s="74">
        <v>800</v>
      </c>
      <c r="P209" s="66"/>
      <c r="Q209" s="77">
        <v>49.308</v>
      </c>
      <c r="R209" s="77">
        <v>72.016000000000005</v>
      </c>
      <c r="S209" s="77">
        <v>0.441</v>
      </c>
      <c r="T209" s="77">
        <v>0.441</v>
      </c>
      <c r="U209" s="77">
        <f t="shared" si="24"/>
        <v>320</v>
      </c>
      <c r="V209" s="77">
        <f t="shared" si="25"/>
        <v>480</v>
      </c>
      <c r="W209" s="66"/>
      <c r="X209" s="77">
        <v>15.868</v>
      </c>
      <c r="Y209" s="77">
        <v>27.082319999999999</v>
      </c>
      <c r="Z209" s="79">
        <v>27.082319999999999</v>
      </c>
      <c r="AA209" s="80">
        <f t="shared" si="31"/>
        <v>44.685828000000001</v>
      </c>
      <c r="AB209" s="66"/>
      <c r="AC209" s="81">
        <v>365</v>
      </c>
      <c r="AD209" s="82">
        <f t="shared" si="27"/>
        <v>131.7893</v>
      </c>
      <c r="AE209" s="82">
        <f t="shared" si="28"/>
        <v>144.17600000000002</v>
      </c>
      <c r="AF209" s="82">
        <f t="shared" si="29"/>
        <v>86.66</v>
      </c>
      <c r="AG209" s="82">
        <f t="shared" si="29"/>
        <v>214.49</v>
      </c>
      <c r="AH209" s="114"/>
      <c r="AI209" s="114"/>
      <c r="AJ209" s="83">
        <f t="shared" si="30"/>
        <v>577.11530000000005</v>
      </c>
      <c r="AK209" s="82"/>
      <c r="AL209" s="84"/>
      <c r="AM209" s="66"/>
    </row>
    <row r="210" spans="3:39" ht="15.6" x14ac:dyDescent="0.3">
      <c r="C210" s="41" t="s">
        <v>585</v>
      </c>
      <c r="D210" s="41" t="s">
        <v>124</v>
      </c>
      <c r="E210" s="42" t="s">
        <v>88</v>
      </c>
      <c r="G210" s="66"/>
      <c r="H210" s="74">
        <v>924</v>
      </c>
      <c r="I210" s="74">
        <v>1167</v>
      </c>
      <c r="J210" s="74">
        <v>1339</v>
      </c>
      <c r="K210" s="74">
        <v>1105</v>
      </c>
      <c r="L210" s="74">
        <v>686</v>
      </c>
      <c r="M210" s="74">
        <v>343</v>
      </c>
      <c r="N210" s="76" cm="1">
        <f t="array" ref="N210">SUM((H210:L210)/5)</f>
        <v>1044.2</v>
      </c>
      <c r="O210" s="74">
        <v>1000</v>
      </c>
      <c r="P210" s="66"/>
      <c r="Q210" s="77">
        <v>49.308</v>
      </c>
      <c r="R210" s="77">
        <v>72.016000000000005</v>
      </c>
      <c r="S210" s="77">
        <v>0.441</v>
      </c>
      <c r="T210" s="77">
        <v>0.441</v>
      </c>
      <c r="U210" s="77">
        <f t="shared" si="24"/>
        <v>400</v>
      </c>
      <c r="V210" s="77">
        <f t="shared" si="25"/>
        <v>600</v>
      </c>
      <c r="W210" s="66"/>
      <c r="X210" s="77">
        <v>15.868</v>
      </c>
      <c r="Y210" s="77">
        <v>27.082640000000001</v>
      </c>
      <c r="Z210" s="79">
        <v>27.082640000000001</v>
      </c>
      <c r="AA210" s="80">
        <f t="shared" si="31"/>
        <v>44.686356000000004</v>
      </c>
      <c r="AB210" s="66"/>
      <c r="AC210" s="81">
        <v>365</v>
      </c>
      <c r="AD210" s="82">
        <f t="shared" si="27"/>
        <v>131.7893</v>
      </c>
      <c r="AE210" s="82">
        <f t="shared" si="28"/>
        <v>144.17600000000002</v>
      </c>
      <c r="AF210" s="82">
        <f t="shared" si="29"/>
        <v>108.33</v>
      </c>
      <c r="AG210" s="82">
        <f t="shared" si="29"/>
        <v>268.12</v>
      </c>
      <c r="AH210" s="114"/>
      <c r="AI210" s="114"/>
      <c r="AJ210" s="83">
        <f t="shared" si="30"/>
        <v>652.4153</v>
      </c>
      <c r="AK210" s="82"/>
      <c r="AL210" s="84"/>
      <c r="AM210" s="66"/>
    </row>
    <row r="211" spans="3:39" ht="15.6" x14ac:dyDescent="0.3">
      <c r="C211" s="41" t="s">
        <v>586</v>
      </c>
      <c r="D211" s="41" t="s">
        <v>124</v>
      </c>
      <c r="E211" s="42" t="s">
        <v>88</v>
      </c>
      <c r="G211" s="66"/>
      <c r="H211" s="74">
        <v>34</v>
      </c>
      <c r="I211" s="74">
        <v>10</v>
      </c>
      <c r="J211" s="74">
        <v>103</v>
      </c>
      <c r="K211" s="74">
        <v>102</v>
      </c>
      <c r="L211" s="74">
        <v>2</v>
      </c>
      <c r="M211" s="74">
        <v>1</v>
      </c>
      <c r="N211" s="76" cm="1">
        <f t="array" ref="N211">SUM((H211:L211)/5)</f>
        <v>50.199999999999996</v>
      </c>
      <c r="O211" s="74">
        <v>50</v>
      </c>
      <c r="P211" s="66"/>
      <c r="Q211" s="77">
        <v>49.828000000000003</v>
      </c>
      <c r="R211" s="77">
        <v>63.274999999999999</v>
      </c>
      <c r="S211" s="77">
        <v>0.441</v>
      </c>
      <c r="T211" s="77">
        <v>0.441</v>
      </c>
      <c r="U211" s="77">
        <f t="shared" si="24"/>
        <v>20</v>
      </c>
      <c r="V211" s="77">
        <f t="shared" si="25"/>
        <v>30</v>
      </c>
      <c r="W211" s="66"/>
      <c r="X211" s="77">
        <v>15.061999999999999</v>
      </c>
      <c r="Y211" s="77">
        <v>26.37893</v>
      </c>
      <c r="Z211" s="79">
        <v>26.37893</v>
      </c>
      <c r="AA211" s="80">
        <f t="shared" si="31"/>
        <v>43.525234499999996</v>
      </c>
      <c r="AB211" s="66"/>
      <c r="AC211" s="81">
        <v>365</v>
      </c>
      <c r="AD211" s="82">
        <f t="shared" si="27"/>
        <v>115.7933</v>
      </c>
      <c r="AE211" s="82">
        <f t="shared" si="28"/>
        <v>126.67659999999999</v>
      </c>
      <c r="AF211" s="82">
        <f t="shared" si="29"/>
        <v>5.28</v>
      </c>
      <c r="AG211" s="82">
        <f t="shared" si="29"/>
        <v>13.06</v>
      </c>
      <c r="AH211" s="114"/>
      <c r="AI211" s="114"/>
      <c r="AJ211" s="83">
        <f t="shared" si="30"/>
        <v>260.80989999999997</v>
      </c>
      <c r="AK211" s="82"/>
      <c r="AL211" s="84"/>
      <c r="AM211" s="66"/>
    </row>
    <row r="212" spans="3:39" ht="15.6" x14ac:dyDescent="0.3">
      <c r="C212" s="41" t="s">
        <v>587</v>
      </c>
      <c r="D212" s="41" t="s">
        <v>124</v>
      </c>
      <c r="E212" s="42" t="s">
        <v>88</v>
      </c>
      <c r="G212" s="66"/>
      <c r="H212" s="74">
        <v>318</v>
      </c>
      <c r="I212" s="74">
        <v>360</v>
      </c>
      <c r="J212" s="74">
        <v>374</v>
      </c>
      <c r="K212" s="74">
        <v>348</v>
      </c>
      <c r="L212" s="74">
        <v>7</v>
      </c>
      <c r="M212" s="74">
        <v>1</v>
      </c>
      <c r="N212" s="76" cm="1">
        <f t="array" ref="N212">SUM((H212:L212)/5)</f>
        <v>281.39999999999998</v>
      </c>
      <c r="O212" s="74">
        <v>280</v>
      </c>
      <c r="P212" s="66"/>
      <c r="Q212" s="77">
        <v>49.308</v>
      </c>
      <c r="R212" s="77">
        <v>72.016000000000005</v>
      </c>
      <c r="S212" s="77">
        <v>0.441</v>
      </c>
      <c r="T212" s="77">
        <v>0.441</v>
      </c>
      <c r="U212" s="77">
        <f t="shared" si="24"/>
        <v>112</v>
      </c>
      <c r="V212" s="77">
        <f t="shared" si="25"/>
        <v>168</v>
      </c>
      <c r="W212" s="66"/>
      <c r="X212" s="77">
        <v>15.868</v>
      </c>
      <c r="Y212" s="77">
        <v>27.16957</v>
      </c>
      <c r="Z212" s="79">
        <v>27.16957</v>
      </c>
      <c r="AA212" s="80">
        <f t="shared" si="31"/>
        <v>44.829790500000001</v>
      </c>
      <c r="AB212" s="66"/>
      <c r="AC212" s="81">
        <v>365</v>
      </c>
      <c r="AD212" s="82">
        <f t="shared" si="27"/>
        <v>131.7893</v>
      </c>
      <c r="AE212" s="82">
        <f t="shared" si="28"/>
        <v>144.17600000000002</v>
      </c>
      <c r="AF212" s="82">
        <f t="shared" si="29"/>
        <v>30.43</v>
      </c>
      <c r="AG212" s="82">
        <f t="shared" si="29"/>
        <v>75.31</v>
      </c>
      <c r="AH212" s="114"/>
      <c r="AI212" s="114"/>
      <c r="AJ212" s="83">
        <f t="shared" si="30"/>
        <v>381.70530000000002</v>
      </c>
      <c r="AK212" s="82"/>
      <c r="AL212" s="84"/>
      <c r="AM212" s="66"/>
    </row>
    <row r="213" spans="3:39" ht="15.6" x14ac:dyDescent="0.3">
      <c r="C213" s="41" t="s">
        <v>588</v>
      </c>
      <c r="D213" s="41" t="s">
        <v>124</v>
      </c>
      <c r="E213" s="42" t="s">
        <v>88</v>
      </c>
      <c r="G213" s="66"/>
      <c r="H213" s="74">
        <v>556</v>
      </c>
      <c r="I213" s="74">
        <v>502</v>
      </c>
      <c r="J213" s="74">
        <v>472</v>
      </c>
      <c r="K213" s="74">
        <v>640</v>
      </c>
      <c r="L213" s="74">
        <v>531</v>
      </c>
      <c r="M213" s="74">
        <v>134</v>
      </c>
      <c r="N213" s="76" cm="1">
        <f t="array" ref="N213">SUM((H213:L213)/5)</f>
        <v>540.20000000000005</v>
      </c>
      <c r="O213" s="74">
        <v>540</v>
      </c>
      <c r="P213" s="66"/>
      <c r="Q213" s="77">
        <v>49.308</v>
      </c>
      <c r="R213" s="77">
        <v>72.016000000000005</v>
      </c>
      <c r="S213" s="77">
        <v>0.441</v>
      </c>
      <c r="T213" s="77">
        <v>0.441</v>
      </c>
      <c r="U213" s="77">
        <f t="shared" si="24"/>
        <v>216</v>
      </c>
      <c r="V213" s="77">
        <f t="shared" si="25"/>
        <v>324</v>
      </c>
      <c r="W213" s="66"/>
      <c r="X213" s="77">
        <v>15.868</v>
      </c>
      <c r="Y213" s="77">
        <v>27.08361</v>
      </c>
      <c r="Z213" s="79">
        <v>27.08361</v>
      </c>
      <c r="AA213" s="80">
        <f t="shared" si="31"/>
        <v>44.687956499999999</v>
      </c>
      <c r="AB213" s="66"/>
      <c r="AC213" s="81">
        <v>365</v>
      </c>
      <c r="AD213" s="82">
        <f t="shared" si="27"/>
        <v>131.7893</v>
      </c>
      <c r="AE213" s="82">
        <f t="shared" si="28"/>
        <v>144.17600000000002</v>
      </c>
      <c r="AF213" s="82">
        <f t="shared" si="29"/>
        <v>58.5</v>
      </c>
      <c r="AG213" s="82">
        <f t="shared" si="29"/>
        <v>144.79</v>
      </c>
      <c r="AH213" s="114"/>
      <c r="AI213" s="114"/>
      <c r="AJ213" s="83">
        <f t="shared" si="30"/>
        <v>479.25530000000003</v>
      </c>
      <c r="AK213" s="82"/>
      <c r="AL213" s="84"/>
      <c r="AM213" s="66"/>
    </row>
    <row r="214" spans="3:39" ht="15.6" x14ac:dyDescent="0.3">
      <c r="C214" s="41" t="s">
        <v>589</v>
      </c>
      <c r="D214" s="41" t="s">
        <v>124</v>
      </c>
      <c r="E214" s="42" t="s">
        <v>88</v>
      </c>
      <c r="G214" s="66"/>
      <c r="H214" s="74">
        <v>515</v>
      </c>
      <c r="I214" s="74">
        <v>507</v>
      </c>
      <c r="J214" s="74">
        <v>350</v>
      </c>
      <c r="K214" s="74">
        <v>339</v>
      </c>
      <c r="L214" s="74">
        <v>409</v>
      </c>
      <c r="M214" s="74">
        <v>213</v>
      </c>
      <c r="N214" s="76" cm="1">
        <f t="array" ref="N214">SUM((H214:L214)/5)</f>
        <v>424</v>
      </c>
      <c r="O214" s="74">
        <v>430</v>
      </c>
      <c r="P214" s="66"/>
      <c r="Q214" s="77">
        <v>49.308</v>
      </c>
      <c r="R214" s="77">
        <v>72.016000000000005</v>
      </c>
      <c r="S214" s="77">
        <v>0.441</v>
      </c>
      <c r="T214" s="77">
        <v>0.441</v>
      </c>
      <c r="U214" s="77">
        <f t="shared" si="24"/>
        <v>172</v>
      </c>
      <c r="V214" s="77">
        <f t="shared" si="25"/>
        <v>258</v>
      </c>
      <c r="W214" s="66"/>
      <c r="X214" s="77">
        <v>15.868</v>
      </c>
      <c r="Y214" s="77">
        <v>27.08229</v>
      </c>
      <c r="Z214" s="79">
        <v>27.08229</v>
      </c>
      <c r="AA214" s="80">
        <f t="shared" si="31"/>
        <v>44.685778499999998</v>
      </c>
      <c r="AB214" s="66"/>
      <c r="AC214" s="81">
        <v>365</v>
      </c>
      <c r="AD214" s="82">
        <f t="shared" si="27"/>
        <v>131.7893</v>
      </c>
      <c r="AE214" s="82">
        <f t="shared" si="28"/>
        <v>144.17600000000002</v>
      </c>
      <c r="AF214" s="82">
        <f t="shared" si="29"/>
        <v>46.58</v>
      </c>
      <c r="AG214" s="82">
        <f t="shared" si="29"/>
        <v>115.29</v>
      </c>
      <c r="AH214" s="114"/>
      <c r="AI214" s="114"/>
      <c r="AJ214" s="83">
        <f t="shared" si="30"/>
        <v>437.83530000000002</v>
      </c>
      <c r="AK214" s="82"/>
      <c r="AL214" s="84"/>
      <c r="AM214" s="66"/>
    </row>
    <row r="215" spans="3:39" ht="60" x14ac:dyDescent="0.3">
      <c r="C215" s="41" t="s">
        <v>590</v>
      </c>
      <c r="D215" s="41" t="s">
        <v>124</v>
      </c>
      <c r="E215" s="42" t="s">
        <v>88</v>
      </c>
      <c r="G215" s="66"/>
      <c r="H215" s="74">
        <v>3329</v>
      </c>
      <c r="I215" s="74">
        <v>3284</v>
      </c>
      <c r="J215" s="74">
        <v>3394</v>
      </c>
      <c r="K215" s="74">
        <v>3318</v>
      </c>
      <c r="L215" s="74">
        <v>2193</v>
      </c>
      <c r="M215" s="74">
        <v>1294</v>
      </c>
      <c r="N215" s="76" cm="1">
        <f t="array" ref="N215">SUM((H215:L215)/5)</f>
        <v>3103.6</v>
      </c>
      <c r="O215" s="74">
        <v>3100</v>
      </c>
      <c r="P215" s="66"/>
      <c r="Q215" s="77">
        <v>49.325000000000003</v>
      </c>
      <c r="R215" s="77">
        <v>72.016000000000005</v>
      </c>
      <c r="S215" s="77">
        <v>0.441</v>
      </c>
      <c r="T215" s="77">
        <v>0.441</v>
      </c>
      <c r="U215" s="77">
        <f t="shared" si="24"/>
        <v>1240</v>
      </c>
      <c r="V215" s="77">
        <f t="shared" si="25"/>
        <v>1860</v>
      </c>
      <c r="W215" s="66"/>
      <c r="X215" s="77" t="s">
        <v>259</v>
      </c>
      <c r="Y215" s="77" t="s">
        <v>260</v>
      </c>
      <c r="Z215" s="79">
        <f>SUM(27.21426+25.09115)/2</f>
        <v>26.152704999999997</v>
      </c>
      <c r="AA215" s="80">
        <f t="shared" si="31"/>
        <v>43.151963249999994</v>
      </c>
      <c r="AB215" s="66"/>
      <c r="AC215" s="81">
        <v>365</v>
      </c>
      <c r="AD215" s="82">
        <f t="shared" si="27"/>
        <v>131.7893</v>
      </c>
      <c r="AE215" s="82">
        <f t="shared" si="28"/>
        <v>144.17600000000002</v>
      </c>
      <c r="AF215" s="82">
        <f t="shared" si="29"/>
        <v>324.29000000000002</v>
      </c>
      <c r="AG215" s="82">
        <f t="shared" si="29"/>
        <v>802.63</v>
      </c>
      <c r="AH215" s="114"/>
      <c r="AI215" s="114"/>
      <c r="AJ215" s="83">
        <f t="shared" si="30"/>
        <v>1402.8852999999999</v>
      </c>
      <c r="AK215" s="82"/>
      <c r="AL215" s="84"/>
      <c r="AM215" s="66"/>
    </row>
    <row r="216" spans="3:39" ht="60" x14ac:dyDescent="0.3">
      <c r="C216" s="41" t="s">
        <v>590</v>
      </c>
      <c r="D216" s="41" t="s">
        <v>124</v>
      </c>
      <c r="E216" s="42" t="s">
        <v>88</v>
      </c>
      <c r="G216" s="66"/>
      <c r="H216" s="74">
        <v>1966</v>
      </c>
      <c r="I216" s="74">
        <v>1345</v>
      </c>
      <c r="J216" s="74">
        <v>1969</v>
      </c>
      <c r="K216" s="74">
        <v>1858</v>
      </c>
      <c r="L216" s="74">
        <v>1520</v>
      </c>
      <c r="M216" s="74">
        <v>664</v>
      </c>
      <c r="N216" s="76" cm="1">
        <f t="array" ref="N216">SUM((H216:L216)/5)</f>
        <v>1731.6</v>
      </c>
      <c r="O216" s="74">
        <v>1730</v>
      </c>
      <c r="P216" s="66"/>
      <c r="Q216" s="77">
        <v>49.325000000000003</v>
      </c>
      <c r="R216" s="77">
        <v>72.016000000000005</v>
      </c>
      <c r="S216" s="77">
        <v>0.441</v>
      </c>
      <c r="T216" s="77">
        <v>0.441</v>
      </c>
      <c r="U216" s="77">
        <f t="shared" si="24"/>
        <v>692</v>
      </c>
      <c r="V216" s="77">
        <f t="shared" si="25"/>
        <v>1038</v>
      </c>
      <c r="W216" s="66"/>
      <c r="X216" s="77" t="s">
        <v>259</v>
      </c>
      <c r="Y216" s="77" t="s">
        <v>261</v>
      </c>
      <c r="Z216" s="79">
        <f>SUM(27.21409+25.09091)/2</f>
        <v>26.1525</v>
      </c>
      <c r="AA216" s="80">
        <f t="shared" si="31"/>
        <v>43.151624999999996</v>
      </c>
      <c r="AB216" s="66"/>
      <c r="AC216" s="81">
        <v>365</v>
      </c>
      <c r="AD216" s="82">
        <f t="shared" si="27"/>
        <v>131.7893</v>
      </c>
      <c r="AE216" s="82">
        <f t="shared" si="28"/>
        <v>144.17600000000002</v>
      </c>
      <c r="AF216" s="82">
        <f t="shared" si="29"/>
        <v>180.98</v>
      </c>
      <c r="AG216" s="82">
        <f t="shared" si="29"/>
        <v>447.91</v>
      </c>
      <c r="AH216" s="114"/>
      <c r="AI216" s="114"/>
      <c r="AJ216" s="83">
        <f t="shared" si="30"/>
        <v>904.85529999999994</v>
      </c>
      <c r="AK216" s="82"/>
      <c r="AL216" s="84"/>
      <c r="AM216" s="66"/>
    </row>
    <row r="217" spans="3:39" ht="60" x14ac:dyDescent="0.3">
      <c r="C217" s="41" t="s">
        <v>590</v>
      </c>
      <c r="D217" s="41" t="s">
        <v>124</v>
      </c>
      <c r="E217" s="42" t="s">
        <v>88</v>
      </c>
      <c r="G217" s="66"/>
      <c r="H217" s="74">
        <v>774</v>
      </c>
      <c r="I217" s="74">
        <v>723</v>
      </c>
      <c r="J217" s="74">
        <v>644</v>
      </c>
      <c r="K217" s="74">
        <v>643</v>
      </c>
      <c r="L217" s="74">
        <v>628</v>
      </c>
      <c r="M217" s="74">
        <v>237</v>
      </c>
      <c r="N217" s="76" cm="1">
        <f t="array" ref="N217">SUM((H217:L217)/5)</f>
        <v>682.4</v>
      </c>
      <c r="O217" s="74">
        <v>680</v>
      </c>
      <c r="P217" s="66"/>
      <c r="Q217" s="77">
        <v>49.325000000000003</v>
      </c>
      <c r="R217" s="77">
        <v>72.016000000000005</v>
      </c>
      <c r="S217" s="77">
        <v>0.441</v>
      </c>
      <c r="T217" s="77">
        <v>0.441</v>
      </c>
      <c r="U217" s="77">
        <f t="shared" si="24"/>
        <v>272</v>
      </c>
      <c r="V217" s="77">
        <f t="shared" si="25"/>
        <v>408</v>
      </c>
      <c r="W217" s="66"/>
      <c r="X217" s="77" t="s">
        <v>259</v>
      </c>
      <c r="Y217" s="77" t="s">
        <v>262</v>
      </c>
      <c r="Z217" s="79">
        <f>SUM(27.14636+25.02359)/2</f>
        <v>26.084975</v>
      </c>
      <c r="AA217" s="80">
        <f t="shared" si="31"/>
        <v>43.040208750000005</v>
      </c>
      <c r="AB217" s="66"/>
      <c r="AC217" s="81">
        <v>365</v>
      </c>
      <c r="AD217" s="82">
        <f t="shared" si="27"/>
        <v>131.7893</v>
      </c>
      <c r="AE217" s="82">
        <f t="shared" si="28"/>
        <v>144.17600000000002</v>
      </c>
      <c r="AF217" s="82">
        <f t="shared" si="29"/>
        <v>70.95</v>
      </c>
      <c r="AG217" s="82">
        <f t="shared" si="29"/>
        <v>175.6</v>
      </c>
      <c r="AH217" s="114"/>
      <c r="AI217" s="114"/>
      <c r="AJ217" s="83">
        <f t="shared" si="30"/>
        <v>522.51530000000002</v>
      </c>
      <c r="AK217" s="82"/>
      <c r="AL217" s="84"/>
      <c r="AM217" s="66"/>
    </row>
    <row r="218" spans="3:39" ht="60" x14ac:dyDescent="0.3">
      <c r="C218" s="41" t="s">
        <v>590</v>
      </c>
      <c r="D218" s="41" t="s">
        <v>124</v>
      </c>
      <c r="E218" s="42" t="s">
        <v>88</v>
      </c>
      <c r="G218" s="66"/>
      <c r="H218" s="74">
        <v>2033</v>
      </c>
      <c r="I218" s="74">
        <v>2120</v>
      </c>
      <c r="J218" s="74">
        <v>2036</v>
      </c>
      <c r="K218" s="74">
        <v>1605</v>
      </c>
      <c r="L218" s="74">
        <v>1224</v>
      </c>
      <c r="M218" s="74">
        <v>535</v>
      </c>
      <c r="N218" s="76" cm="1">
        <f t="array" ref="N218">SUM((H218:L218)/5)</f>
        <v>1803.6</v>
      </c>
      <c r="O218" s="74">
        <v>1800</v>
      </c>
      <c r="P218" s="66"/>
      <c r="Q218" s="77">
        <v>49.325000000000003</v>
      </c>
      <c r="R218" s="77">
        <v>72.016000000000005</v>
      </c>
      <c r="S218" s="77">
        <v>0.441</v>
      </c>
      <c r="T218" s="77">
        <v>0.441</v>
      </c>
      <c r="U218" s="77">
        <f t="shared" si="24"/>
        <v>720</v>
      </c>
      <c r="V218" s="77">
        <f t="shared" si="25"/>
        <v>1080</v>
      </c>
      <c r="W218" s="66"/>
      <c r="X218" s="77" t="s">
        <v>259</v>
      </c>
      <c r="Y218" s="77" t="s">
        <v>263</v>
      </c>
      <c r="Z218" s="79">
        <f>SUM(27.14667+25.0236)/2</f>
        <v>26.085135000000001</v>
      </c>
      <c r="AA218" s="80">
        <f t="shared" si="31"/>
        <v>43.040472750000006</v>
      </c>
      <c r="AB218" s="66"/>
      <c r="AC218" s="81">
        <v>365</v>
      </c>
      <c r="AD218" s="82">
        <f t="shared" si="27"/>
        <v>131.7893</v>
      </c>
      <c r="AE218" s="82">
        <f t="shared" si="28"/>
        <v>144.17600000000002</v>
      </c>
      <c r="AF218" s="82">
        <f t="shared" si="29"/>
        <v>187.81</v>
      </c>
      <c r="AG218" s="82">
        <f t="shared" si="29"/>
        <v>464.84</v>
      </c>
      <c r="AH218" s="114"/>
      <c r="AI218" s="114"/>
      <c r="AJ218" s="83">
        <f t="shared" si="30"/>
        <v>928.61529999999993</v>
      </c>
      <c r="AK218" s="82"/>
      <c r="AL218" s="84"/>
      <c r="AM218" s="66"/>
    </row>
    <row r="219" spans="3:39" ht="15.6" x14ac:dyDescent="0.3">
      <c r="C219" s="41" t="s">
        <v>264</v>
      </c>
      <c r="D219" s="41" t="s">
        <v>124</v>
      </c>
      <c r="E219" s="42" t="s">
        <v>88</v>
      </c>
      <c r="G219" s="66"/>
      <c r="H219" s="74">
        <v>1152</v>
      </c>
      <c r="I219" s="74">
        <v>1096</v>
      </c>
      <c r="J219" s="74">
        <v>943</v>
      </c>
      <c r="K219" s="74">
        <v>1222</v>
      </c>
      <c r="L219" s="74">
        <v>1030</v>
      </c>
      <c r="M219" s="74">
        <v>703</v>
      </c>
      <c r="N219" s="76" cm="1">
        <f t="array" ref="N219">SUM((H219:L219)/5)</f>
        <v>1088.5999999999999</v>
      </c>
      <c r="O219" s="74">
        <v>1100</v>
      </c>
      <c r="P219" s="66"/>
      <c r="Q219" s="77">
        <v>49.828000000000003</v>
      </c>
      <c r="R219" s="77">
        <v>63.256999999999998</v>
      </c>
      <c r="S219" s="77">
        <v>0.441</v>
      </c>
      <c r="T219" s="77">
        <v>0.441</v>
      </c>
      <c r="U219" s="77">
        <f t="shared" si="24"/>
        <v>440</v>
      </c>
      <c r="V219" s="77">
        <f t="shared" si="25"/>
        <v>660</v>
      </c>
      <c r="W219" s="66"/>
      <c r="X219" s="77">
        <v>15.62</v>
      </c>
      <c r="Y219" s="77">
        <v>26.50648</v>
      </c>
      <c r="Z219" s="79">
        <v>26.50648</v>
      </c>
      <c r="AA219" s="80">
        <f t="shared" si="31"/>
        <v>43.735692</v>
      </c>
      <c r="AB219" s="66"/>
      <c r="AC219" s="81">
        <v>365</v>
      </c>
      <c r="AD219" s="82">
        <f t="shared" si="27"/>
        <v>115.7603</v>
      </c>
      <c r="AE219" s="82">
        <f t="shared" si="28"/>
        <v>126.64049999999999</v>
      </c>
      <c r="AF219" s="82">
        <f t="shared" si="29"/>
        <v>116.63</v>
      </c>
      <c r="AG219" s="82">
        <f t="shared" si="29"/>
        <v>288.66000000000003</v>
      </c>
      <c r="AH219" s="114"/>
      <c r="AI219" s="114"/>
      <c r="AJ219" s="83">
        <f t="shared" si="30"/>
        <v>647.69080000000008</v>
      </c>
      <c r="AK219" s="82"/>
      <c r="AL219" s="84"/>
      <c r="AM219" s="66"/>
    </row>
    <row r="220" spans="3:39" ht="15.6" x14ac:dyDescent="0.3">
      <c r="C220" s="41" t="s">
        <v>591</v>
      </c>
      <c r="D220" s="41" t="s">
        <v>124</v>
      </c>
      <c r="E220" s="42" t="s">
        <v>88</v>
      </c>
      <c r="G220" s="66"/>
      <c r="H220" s="74">
        <v>425</v>
      </c>
      <c r="I220" s="74">
        <v>360</v>
      </c>
      <c r="J220" s="74">
        <v>280</v>
      </c>
      <c r="K220" s="74">
        <v>245</v>
      </c>
      <c r="L220" s="74">
        <v>192</v>
      </c>
      <c r="M220" s="74">
        <v>1</v>
      </c>
      <c r="N220" s="76" cm="1">
        <f t="array" ref="N220">SUM((H220:L220)/5)</f>
        <v>300.39999999999998</v>
      </c>
      <c r="O220" s="74">
        <v>300</v>
      </c>
      <c r="P220" s="66"/>
      <c r="Q220" s="77">
        <v>49.308</v>
      </c>
      <c r="R220" s="77">
        <v>63.256999999999998</v>
      </c>
      <c r="S220" s="77">
        <v>0.441</v>
      </c>
      <c r="T220" s="77">
        <v>0.441</v>
      </c>
      <c r="U220" s="77">
        <f t="shared" si="24"/>
        <v>120</v>
      </c>
      <c r="V220" s="77">
        <f t="shared" si="25"/>
        <v>180</v>
      </c>
      <c r="W220" s="66"/>
      <c r="X220" s="77">
        <v>15.868</v>
      </c>
      <c r="Y220" s="77">
        <v>27.083590000000001</v>
      </c>
      <c r="Z220" s="79">
        <v>27.083590000000001</v>
      </c>
      <c r="AA220" s="80">
        <f t="shared" si="31"/>
        <v>44.687923500000004</v>
      </c>
      <c r="AB220" s="66"/>
      <c r="AC220" s="81">
        <v>365</v>
      </c>
      <c r="AD220" s="82">
        <f t="shared" si="27"/>
        <v>115.7603</v>
      </c>
      <c r="AE220" s="82">
        <f t="shared" si="28"/>
        <v>126.64049999999999</v>
      </c>
      <c r="AF220" s="82">
        <f t="shared" si="29"/>
        <v>32.5</v>
      </c>
      <c r="AG220" s="82">
        <f t="shared" si="29"/>
        <v>80.44</v>
      </c>
      <c r="AH220" s="114"/>
      <c r="AI220" s="114"/>
      <c r="AJ220" s="83">
        <f t="shared" si="30"/>
        <v>355.3408</v>
      </c>
      <c r="AK220" s="82"/>
      <c r="AL220" s="84"/>
      <c r="AM220" s="66"/>
    </row>
    <row r="221" spans="3:39" ht="15.6" x14ac:dyDescent="0.3">
      <c r="C221" s="41" t="s">
        <v>591</v>
      </c>
      <c r="D221" s="41" t="s">
        <v>124</v>
      </c>
      <c r="E221" s="42" t="s">
        <v>88</v>
      </c>
      <c r="G221" s="66"/>
      <c r="H221" s="74">
        <v>380</v>
      </c>
      <c r="I221" s="74">
        <v>282</v>
      </c>
      <c r="J221" s="74">
        <v>503</v>
      </c>
      <c r="K221" s="74">
        <v>424</v>
      </c>
      <c r="L221" s="74">
        <v>355</v>
      </c>
      <c r="M221" s="74">
        <v>195</v>
      </c>
      <c r="N221" s="76" cm="1">
        <f t="array" ref="N221">SUM((H221:L221)/5)</f>
        <v>388.8</v>
      </c>
      <c r="O221" s="74">
        <v>390</v>
      </c>
      <c r="P221" s="66"/>
      <c r="Q221" s="77">
        <v>49.308</v>
      </c>
      <c r="R221" s="77">
        <v>72.016000000000005</v>
      </c>
      <c r="S221" s="77">
        <v>0.441</v>
      </c>
      <c r="T221" s="77">
        <v>0.441</v>
      </c>
      <c r="U221" s="77">
        <f t="shared" si="24"/>
        <v>156</v>
      </c>
      <c r="V221" s="77">
        <f t="shared" si="25"/>
        <v>234</v>
      </c>
      <c r="W221" s="66"/>
      <c r="X221" s="77">
        <v>15.868</v>
      </c>
      <c r="Y221" s="77">
        <v>27.0839</v>
      </c>
      <c r="Z221" s="79">
        <v>27.0839</v>
      </c>
      <c r="AA221" s="80">
        <f t="shared" si="31"/>
        <v>44.688434999999998</v>
      </c>
      <c r="AB221" s="66"/>
      <c r="AC221" s="81">
        <v>365</v>
      </c>
      <c r="AD221" s="82">
        <f t="shared" si="27"/>
        <v>131.7893</v>
      </c>
      <c r="AE221" s="82">
        <f t="shared" si="28"/>
        <v>144.17600000000002</v>
      </c>
      <c r="AF221" s="82">
        <f t="shared" si="29"/>
        <v>42.25</v>
      </c>
      <c r="AG221" s="82">
        <f t="shared" si="29"/>
        <v>104.57</v>
      </c>
      <c r="AH221" s="114"/>
      <c r="AI221" s="114"/>
      <c r="AJ221" s="83">
        <f t="shared" si="30"/>
        <v>422.78530000000001</v>
      </c>
      <c r="AK221" s="82"/>
      <c r="AL221" s="84"/>
      <c r="AM221" s="66"/>
    </row>
    <row r="222" spans="3:39" ht="15.6" x14ac:dyDescent="0.3">
      <c r="C222" s="41" t="s">
        <v>592</v>
      </c>
      <c r="D222" s="41" t="s">
        <v>124</v>
      </c>
      <c r="E222" s="42" t="s">
        <v>88</v>
      </c>
      <c r="G222" s="66"/>
      <c r="H222" s="74">
        <v>368</v>
      </c>
      <c r="I222" s="74">
        <v>356</v>
      </c>
      <c r="J222" s="74">
        <v>322</v>
      </c>
      <c r="K222" s="74">
        <v>280</v>
      </c>
      <c r="L222" s="74">
        <v>192</v>
      </c>
      <c r="M222" s="74">
        <v>74</v>
      </c>
      <c r="N222" s="76" cm="1">
        <f t="array" ref="N222">SUM((H222:L222)/5)</f>
        <v>303.60000000000002</v>
      </c>
      <c r="O222" s="74">
        <v>300</v>
      </c>
      <c r="P222" s="66"/>
      <c r="Q222" s="77">
        <v>49.308</v>
      </c>
      <c r="R222" s="77">
        <v>72.016000000000005</v>
      </c>
      <c r="S222" s="77">
        <v>0.441</v>
      </c>
      <c r="T222" s="77">
        <v>0.441</v>
      </c>
      <c r="U222" s="77">
        <f t="shared" si="24"/>
        <v>120</v>
      </c>
      <c r="V222" s="77">
        <f t="shared" si="25"/>
        <v>180</v>
      </c>
      <c r="W222" s="66"/>
      <c r="X222" s="77">
        <v>15.868</v>
      </c>
      <c r="Y222" s="77">
        <v>27.084820000000001</v>
      </c>
      <c r="Z222" s="79">
        <v>27.084820000000001</v>
      </c>
      <c r="AA222" s="80">
        <f t="shared" si="31"/>
        <v>44.689953000000003</v>
      </c>
      <c r="AB222" s="66"/>
      <c r="AC222" s="81">
        <v>365</v>
      </c>
      <c r="AD222" s="82">
        <f t="shared" si="27"/>
        <v>131.7893</v>
      </c>
      <c r="AE222" s="82">
        <f t="shared" si="28"/>
        <v>144.17600000000002</v>
      </c>
      <c r="AF222" s="82">
        <f t="shared" si="29"/>
        <v>32.5</v>
      </c>
      <c r="AG222" s="82">
        <f t="shared" si="29"/>
        <v>80.44</v>
      </c>
      <c r="AH222" s="114"/>
      <c r="AI222" s="114"/>
      <c r="AJ222" s="83">
        <f t="shared" si="30"/>
        <v>388.90530000000001</v>
      </c>
      <c r="AK222" s="82"/>
      <c r="AL222" s="84"/>
      <c r="AM222" s="66"/>
    </row>
    <row r="223" spans="3:39" ht="15.6" x14ac:dyDescent="0.3">
      <c r="C223" s="41" t="s">
        <v>593</v>
      </c>
      <c r="D223" s="41" t="s">
        <v>124</v>
      </c>
      <c r="E223" s="42" t="s">
        <v>88</v>
      </c>
      <c r="G223" s="66"/>
      <c r="H223" s="74">
        <v>353</v>
      </c>
      <c r="I223" s="74">
        <v>346</v>
      </c>
      <c r="J223" s="74">
        <v>160</v>
      </c>
      <c r="K223" s="74">
        <v>224</v>
      </c>
      <c r="L223" s="74">
        <v>226</v>
      </c>
      <c r="M223" s="74">
        <v>89</v>
      </c>
      <c r="N223" s="76" cm="1">
        <f t="array" ref="N223">SUM((H223:L223)/5)</f>
        <v>261.8</v>
      </c>
      <c r="O223" s="74">
        <v>260</v>
      </c>
      <c r="P223" s="66"/>
      <c r="Q223" s="77">
        <v>49.308</v>
      </c>
      <c r="R223" s="77">
        <v>72.016000000000005</v>
      </c>
      <c r="S223" s="77">
        <v>0.441</v>
      </c>
      <c r="T223" s="77">
        <v>0.441</v>
      </c>
      <c r="U223" s="77">
        <f t="shared" si="24"/>
        <v>104</v>
      </c>
      <c r="V223" s="77">
        <f t="shared" si="25"/>
        <v>156</v>
      </c>
      <c r="W223" s="66"/>
      <c r="X223" s="77">
        <v>15.868</v>
      </c>
      <c r="Y223" s="77">
        <v>27.0824</v>
      </c>
      <c r="Z223" s="79">
        <v>27.0824</v>
      </c>
      <c r="AA223" s="80">
        <f t="shared" si="31"/>
        <v>44.685960000000001</v>
      </c>
      <c r="AB223" s="66"/>
      <c r="AC223" s="81">
        <v>365</v>
      </c>
      <c r="AD223" s="82">
        <f t="shared" si="27"/>
        <v>131.7893</v>
      </c>
      <c r="AE223" s="82">
        <f t="shared" si="28"/>
        <v>144.17600000000002</v>
      </c>
      <c r="AF223" s="82">
        <f t="shared" si="29"/>
        <v>28.17</v>
      </c>
      <c r="AG223" s="82">
        <f t="shared" si="29"/>
        <v>69.709999999999994</v>
      </c>
      <c r="AH223" s="114"/>
      <c r="AI223" s="114"/>
      <c r="AJ223" s="83">
        <f t="shared" si="30"/>
        <v>373.84530000000001</v>
      </c>
      <c r="AK223" s="82"/>
      <c r="AL223" s="84"/>
      <c r="AM223" s="66"/>
    </row>
    <row r="224" spans="3:39" ht="60" x14ac:dyDescent="0.3">
      <c r="C224" s="41" t="s">
        <v>594</v>
      </c>
      <c r="D224" s="41" t="s">
        <v>124</v>
      </c>
      <c r="E224" s="42" t="s">
        <v>88</v>
      </c>
      <c r="G224" s="66"/>
      <c r="H224" s="74">
        <v>1104</v>
      </c>
      <c r="I224" s="74">
        <v>1036</v>
      </c>
      <c r="J224" s="74">
        <v>837</v>
      </c>
      <c r="K224" s="74">
        <v>784</v>
      </c>
      <c r="L224" s="74">
        <v>846</v>
      </c>
      <c r="M224" s="74">
        <v>336</v>
      </c>
      <c r="N224" s="76" cm="1">
        <f t="array" ref="N224">SUM((H224:L224)/5)</f>
        <v>921.40000000000009</v>
      </c>
      <c r="O224" s="74">
        <v>920</v>
      </c>
      <c r="P224" s="66"/>
      <c r="Q224" s="77">
        <v>49.325000000000003</v>
      </c>
      <c r="R224" s="77">
        <v>72.016000000000005</v>
      </c>
      <c r="S224" s="77">
        <v>0.441</v>
      </c>
      <c r="T224" s="77">
        <v>0.441</v>
      </c>
      <c r="U224" s="77">
        <f t="shared" si="24"/>
        <v>368</v>
      </c>
      <c r="V224" s="77">
        <f t="shared" si="25"/>
        <v>552</v>
      </c>
      <c r="W224" s="66"/>
      <c r="X224" s="77" t="s">
        <v>259</v>
      </c>
      <c r="Y224" s="77" t="s">
        <v>265</v>
      </c>
      <c r="Z224" s="79">
        <f>SUM(27.18209+25.05878)/2</f>
        <v>26.120435000000001</v>
      </c>
      <c r="AA224" s="80">
        <f t="shared" si="31"/>
        <v>43.098717750000006</v>
      </c>
      <c r="AB224" s="66"/>
      <c r="AC224" s="81">
        <v>365</v>
      </c>
      <c r="AD224" s="82">
        <f t="shared" si="27"/>
        <v>131.7893</v>
      </c>
      <c r="AE224" s="82">
        <f t="shared" si="28"/>
        <v>144.17600000000002</v>
      </c>
      <c r="AF224" s="82">
        <f t="shared" si="29"/>
        <v>96.12</v>
      </c>
      <c r="AG224" s="82">
        <f t="shared" si="29"/>
        <v>237.9</v>
      </c>
      <c r="AH224" s="114"/>
      <c r="AI224" s="114"/>
      <c r="AJ224" s="83">
        <f t="shared" si="30"/>
        <v>609.98530000000005</v>
      </c>
      <c r="AK224" s="82"/>
      <c r="AL224" s="84"/>
      <c r="AM224" s="66"/>
    </row>
    <row r="225" spans="3:39" ht="15.6" x14ac:dyDescent="0.3">
      <c r="C225" s="41" t="s">
        <v>594</v>
      </c>
      <c r="D225" s="41" t="s">
        <v>124</v>
      </c>
      <c r="E225" s="42" t="s">
        <v>88</v>
      </c>
      <c r="G225" s="66"/>
      <c r="H225" s="74">
        <v>292</v>
      </c>
      <c r="I225" s="74">
        <v>292</v>
      </c>
      <c r="J225" s="74">
        <v>283</v>
      </c>
      <c r="K225" s="74">
        <v>266</v>
      </c>
      <c r="L225" s="74">
        <v>229</v>
      </c>
      <c r="M225" s="74">
        <v>113</v>
      </c>
      <c r="N225" s="76" cm="1">
        <f t="array" ref="N225">SUM((H225:L225)/5)</f>
        <v>272.40000000000003</v>
      </c>
      <c r="O225" s="74">
        <v>270</v>
      </c>
      <c r="P225" s="66"/>
      <c r="Q225" s="77">
        <v>49.828000000000003</v>
      </c>
      <c r="R225" s="77">
        <v>63.256999999999998</v>
      </c>
      <c r="S225" s="77">
        <v>0.441</v>
      </c>
      <c r="T225" s="77">
        <v>0.441</v>
      </c>
      <c r="U225" s="77">
        <f t="shared" si="24"/>
        <v>108</v>
      </c>
      <c r="V225" s="77">
        <f t="shared" si="25"/>
        <v>162</v>
      </c>
      <c r="W225" s="66"/>
      <c r="X225" s="77">
        <v>15.061999999999999</v>
      </c>
      <c r="Y225" s="77">
        <v>26.50742</v>
      </c>
      <c r="Z225" s="79">
        <v>26.50742</v>
      </c>
      <c r="AA225" s="80">
        <f t="shared" si="31"/>
        <v>43.737242999999999</v>
      </c>
      <c r="AB225" s="66"/>
      <c r="AC225" s="81">
        <v>365</v>
      </c>
      <c r="AD225" s="82">
        <f t="shared" si="27"/>
        <v>115.7603</v>
      </c>
      <c r="AE225" s="82">
        <f t="shared" si="28"/>
        <v>126.64049999999999</v>
      </c>
      <c r="AF225" s="82">
        <f t="shared" si="29"/>
        <v>28.63</v>
      </c>
      <c r="AG225" s="82">
        <f t="shared" si="29"/>
        <v>70.849999999999994</v>
      </c>
      <c r="AH225" s="114"/>
      <c r="AI225" s="114"/>
      <c r="AJ225" s="83">
        <f t="shared" si="30"/>
        <v>341.88080000000002</v>
      </c>
      <c r="AK225" s="82"/>
      <c r="AL225" s="84"/>
      <c r="AM225" s="66"/>
    </row>
    <row r="226" spans="3:39" ht="15.6" x14ac:dyDescent="0.3">
      <c r="C226" s="41" t="s">
        <v>594</v>
      </c>
      <c r="D226" s="41" t="s">
        <v>124</v>
      </c>
      <c r="E226" s="42" t="s">
        <v>88</v>
      </c>
      <c r="G226" s="66"/>
      <c r="H226" s="74">
        <v>144</v>
      </c>
      <c r="I226" s="74">
        <v>94</v>
      </c>
      <c r="J226" s="74">
        <v>112</v>
      </c>
      <c r="K226" s="74">
        <v>88</v>
      </c>
      <c r="L226" s="74">
        <v>65</v>
      </c>
      <c r="M226" s="74">
        <v>31</v>
      </c>
      <c r="N226" s="76" cm="1">
        <f t="array" ref="N226">SUM((H226:L226)/5)</f>
        <v>100.6</v>
      </c>
      <c r="O226" s="74">
        <v>100</v>
      </c>
      <c r="P226" s="66"/>
      <c r="Q226" s="77">
        <v>49.828000000000003</v>
      </c>
      <c r="R226" s="77">
        <v>63.256999999999998</v>
      </c>
      <c r="S226" s="77">
        <v>0.441</v>
      </c>
      <c r="T226" s="77">
        <v>0.441</v>
      </c>
      <c r="U226" s="77">
        <f t="shared" si="24"/>
        <v>40</v>
      </c>
      <c r="V226" s="77">
        <f t="shared" si="25"/>
        <v>60</v>
      </c>
      <c r="W226" s="66"/>
      <c r="X226" s="77">
        <v>15.061999999999999</v>
      </c>
      <c r="Y226" s="77">
        <v>26.505120000000002</v>
      </c>
      <c r="Z226" s="79">
        <v>26.505120000000002</v>
      </c>
      <c r="AA226" s="80">
        <f t="shared" si="31"/>
        <v>43.733448000000003</v>
      </c>
      <c r="AB226" s="66"/>
      <c r="AC226" s="81">
        <v>365</v>
      </c>
      <c r="AD226" s="82">
        <f t="shared" si="27"/>
        <v>115.7603</v>
      </c>
      <c r="AE226" s="82">
        <f t="shared" si="28"/>
        <v>126.64049999999999</v>
      </c>
      <c r="AF226" s="82">
        <f t="shared" si="29"/>
        <v>10.6</v>
      </c>
      <c r="AG226" s="82">
        <f t="shared" si="29"/>
        <v>26.24</v>
      </c>
      <c r="AH226" s="114"/>
      <c r="AI226" s="114"/>
      <c r="AJ226" s="83">
        <f t="shared" si="30"/>
        <v>279.24079999999998</v>
      </c>
      <c r="AK226" s="82"/>
      <c r="AL226" s="84"/>
      <c r="AM226" s="66"/>
    </row>
    <row r="227" spans="3:39" ht="75" x14ac:dyDescent="0.3">
      <c r="C227" s="41" t="s">
        <v>595</v>
      </c>
      <c r="D227" s="41" t="s">
        <v>124</v>
      </c>
      <c r="E227" s="42" t="s">
        <v>88</v>
      </c>
      <c r="G227" s="66"/>
      <c r="H227" s="74">
        <v>2945</v>
      </c>
      <c r="I227" s="74">
        <v>1928</v>
      </c>
      <c r="J227" s="74">
        <v>1547</v>
      </c>
      <c r="K227" s="74">
        <v>1408</v>
      </c>
      <c r="L227" s="74">
        <v>1313</v>
      </c>
      <c r="M227" s="74">
        <v>924</v>
      </c>
      <c r="N227" s="76" cm="1">
        <f t="array" ref="N227">SUM((H227:L227)/5)</f>
        <v>1828.1999999999998</v>
      </c>
      <c r="O227" s="74">
        <v>1800</v>
      </c>
      <c r="P227" s="66"/>
      <c r="Q227" s="77">
        <v>50.334000000000003</v>
      </c>
      <c r="R227" s="77">
        <v>63.256999999999998</v>
      </c>
      <c r="S227" s="77">
        <v>0.441</v>
      </c>
      <c r="T227" s="77">
        <v>0.441</v>
      </c>
      <c r="U227" s="77">
        <f t="shared" si="24"/>
        <v>720</v>
      </c>
      <c r="V227" s="77">
        <f t="shared" si="25"/>
        <v>1080</v>
      </c>
      <c r="W227" s="66"/>
      <c r="X227" s="77" t="s">
        <v>187</v>
      </c>
      <c r="Y227" s="77" t="s">
        <v>266</v>
      </c>
      <c r="Z227" s="79">
        <f>SUM(27.4337+25.0438+25.36308)/3</f>
        <v>25.946860000000001</v>
      </c>
      <c r="AA227" s="80">
        <f t="shared" si="31"/>
        <v>42.812319000000002</v>
      </c>
      <c r="AB227" s="66"/>
      <c r="AC227" s="81">
        <v>365</v>
      </c>
      <c r="AD227" s="82">
        <f t="shared" si="27"/>
        <v>115.7603</v>
      </c>
      <c r="AE227" s="82">
        <f t="shared" si="28"/>
        <v>126.64049999999999</v>
      </c>
      <c r="AF227" s="82">
        <f t="shared" si="29"/>
        <v>186.82</v>
      </c>
      <c r="AG227" s="82">
        <f t="shared" si="29"/>
        <v>462.37</v>
      </c>
      <c r="AH227" s="114"/>
      <c r="AI227" s="114"/>
      <c r="AJ227" s="83">
        <f t="shared" si="30"/>
        <v>891.59079999999994</v>
      </c>
      <c r="AK227" s="82"/>
      <c r="AL227" s="84"/>
      <c r="AM227" s="66"/>
    </row>
    <row r="228" spans="3:39" ht="15.6" x14ac:dyDescent="0.3">
      <c r="C228" s="41" t="s">
        <v>267</v>
      </c>
      <c r="D228" s="41" t="s">
        <v>124</v>
      </c>
      <c r="E228" s="42" t="s">
        <v>88</v>
      </c>
      <c r="G228" s="66"/>
      <c r="H228" s="74">
        <v>1985</v>
      </c>
      <c r="I228" s="74">
        <v>2260</v>
      </c>
      <c r="J228" s="74">
        <v>2147</v>
      </c>
      <c r="K228" s="74">
        <v>2048</v>
      </c>
      <c r="L228" s="74">
        <v>1938</v>
      </c>
      <c r="M228" s="74">
        <v>914</v>
      </c>
      <c r="N228" s="76" cm="1">
        <f t="array" ref="N228">SUM((H228:L228)/5)</f>
        <v>2075.6</v>
      </c>
      <c r="O228" s="74">
        <v>2070</v>
      </c>
      <c r="P228" s="66"/>
      <c r="Q228" s="77">
        <v>49.828000000000003</v>
      </c>
      <c r="R228" s="77">
        <v>63.256999999999998</v>
      </c>
      <c r="S228" s="77">
        <v>0.441</v>
      </c>
      <c r="T228" s="77">
        <v>0.441</v>
      </c>
      <c r="U228" s="77">
        <f t="shared" si="24"/>
        <v>828</v>
      </c>
      <c r="V228" s="77">
        <f t="shared" si="25"/>
        <v>1242</v>
      </c>
      <c r="W228" s="66"/>
      <c r="X228" s="77">
        <v>15.061999999999999</v>
      </c>
      <c r="Y228" s="77">
        <v>25.506399999999999</v>
      </c>
      <c r="Z228" s="79">
        <v>25.506399999999999</v>
      </c>
      <c r="AA228" s="80">
        <f t="shared" si="31"/>
        <v>42.085560000000001</v>
      </c>
      <c r="AB228" s="66"/>
      <c r="AC228" s="81">
        <v>365</v>
      </c>
      <c r="AD228" s="82">
        <f t="shared" si="27"/>
        <v>115.7603</v>
      </c>
      <c r="AE228" s="82">
        <f t="shared" si="28"/>
        <v>126.64049999999999</v>
      </c>
      <c r="AF228" s="82">
        <f t="shared" si="29"/>
        <v>211.19</v>
      </c>
      <c r="AG228" s="82">
        <f t="shared" si="29"/>
        <v>522.70000000000005</v>
      </c>
      <c r="AH228" s="114"/>
      <c r="AI228" s="114"/>
      <c r="AJ228" s="83">
        <f t="shared" si="30"/>
        <v>976.29079999999999</v>
      </c>
      <c r="AK228" s="82"/>
      <c r="AL228" s="84"/>
      <c r="AM228" s="66"/>
    </row>
    <row r="229" spans="3:39" ht="15.6" x14ac:dyDescent="0.3">
      <c r="C229" s="41" t="s">
        <v>596</v>
      </c>
      <c r="D229" s="41" t="s">
        <v>124</v>
      </c>
      <c r="E229" s="42" t="s">
        <v>88</v>
      </c>
      <c r="G229" s="66"/>
      <c r="H229" s="74">
        <v>2</v>
      </c>
      <c r="I229" s="74">
        <v>2</v>
      </c>
      <c r="J229" s="74">
        <v>2</v>
      </c>
      <c r="K229" s="74">
        <v>1</v>
      </c>
      <c r="L229" s="74">
        <v>2</v>
      </c>
      <c r="M229" s="74">
        <v>1</v>
      </c>
      <c r="N229" s="76" cm="1">
        <f t="array" ref="N229">SUM((H229:L229)/5)</f>
        <v>1.8000000000000003</v>
      </c>
      <c r="O229" s="74">
        <v>10</v>
      </c>
      <c r="P229" s="66"/>
      <c r="Q229" s="77">
        <v>49.828000000000003</v>
      </c>
      <c r="R229" s="77">
        <v>63.256999999999998</v>
      </c>
      <c r="S229" s="77">
        <v>0.441</v>
      </c>
      <c r="T229" s="77">
        <v>0.441</v>
      </c>
      <c r="U229" s="77">
        <f t="shared" si="24"/>
        <v>4</v>
      </c>
      <c r="V229" s="77">
        <f t="shared" si="25"/>
        <v>6</v>
      </c>
      <c r="W229" s="66"/>
      <c r="X229" s="77">
        <v>15.061999999999999</v>
      </c>
      <c r="Y229" s="77">
        <v>25.506399999999999</v>
      </c>
      <c r="Z229" s="79">
        <v>25.506399999999999</v>
      </c>
      <c r="AA229" s="80">
        <f t="shared" si="31"/>
        <v>42.085560000000001</v>
      </c>
      <c r="AB229" s="66"/>
      <c r="AC229" s="81">
        <v>365</v>
      </c>
      <c r="AD229" s="82">
        <f t="shared" si="27"/>
        <v>115.7603</v>
      </c>
      <c r="AE229" s="82">
        <f t="shared" si="28"/>
        <v>126.64049999999999</v>
      </c>
      <c r="AF229" s="82">
        <f t="shared" si="29"/>
        <v>1.02</v>
      </c>
      <c r="AG229" s="82">
        <f t="shared" si="29"/>
        <v>2.5299999999999998</v>
      </c>
      <c r="AH229" s="114"/>
      <c r="AI229" s="114"/>
      <c r="AJ229" s="83">
        <f t="shared" si="30"/>
        <v>245.95080000000002</v>
      </c>
      <c r="AK229" s="82"/>
      <c r="AL229" s="84"/>
      <c r="AM229" s="66"/>
    </row>
    <row r="230" spans="3:39" ht="15.6" x14ac:dyDescent="0.3">
      <c r="C230" s="41" t="s">
        <v>597</v>
      </c>
      <c r="D230" s="41" t="s">
        <v>124</v>
      </c>
      <c r="E230" s="42" t="s">
        <v>88</v>
      </c>
      <c r="G230" s="66"/>
      <c r="H230" s="74">
        <v>125</v>
      </c>
      <c r="I230" s="74">
        <v>72</v>
      </c>
      <c r="J230" s="74">
        <v>25</v>
      </c>
      <c r="K230" s="74">
        <v>11</v>
      </c>
      <c r="L230" s="74">
        <v>221</v>
      </c>
      <c r="M230" s="74">
        <v>86</v>
      </c>
      <c r="N230" s="76" cm="1">
        <f t="array" ref="N230">SUM((H230:L230)/5)</f>
        <v>90.800000000000011</v>
      </c>
      <c r="O230" s="74">
        <v>150</v>
      </c>
      <c r="P230" s="66"/>
      <c r="Q230" s="77">
        <v>49.308</v>
      </c>
      <c r="R230" s="77">
        <v>72.016000000000005</v>
      </c>
      <c r="S230" s="77">
        <v>0.441</v>
      </c>
      <c r="T230" s="77">
        <v>0.441</v>
      </c>
      <c r="U230" s="77">
        <f t="shared" si="24"/>
        <v>60</v>
      </c>
      <c r="V230" s="77">
        <f t="shared" si="25"/>
        <v>90</v>
      </c>
      <c r="W230" s="66"/>
      <c r="X230" s="77">
        <v>15.868</v>
      </c>
      <c r="Y230" s="77">
        <v>27.08277</v>
      </c>
      <c r="Z230" s="79">
        <v>27.08277</v>
      </c>
      <c r="AA230" s="80">
        <f t="shared" si="31"/>
        <v>44.686570500000002</v>
      </c>
      <c r="AB230" s="66"/>
      <c r="AC230" s="81">
        <v>365</v>
      </c>
      <c r="AD230" s="82">
        <f t="shared" si="27"/>
        <v>131.7893</v>
      </c>
      <c r="AE230" s="82">
        <f t="shared" si="28"/>
        <v>144.17600000000002</v>
      </c>
      <c r="AF230" s="82">
        <f t="shared" si="29"/>
        <v>16.25</v>
      </c>
      <c r="AG230" s="82">
        <f t="shared" si="29"/>
        <v>40.22</v>
      </c>
      <c r="AH230" s="114"/>
      <c r="AI230" s="114"/>
      <c r="AJ230" s="83">
        <f t="shared" si="30"/>
        <v>332.43529999999998</v>
      </c>
      <c r="AK230" s="82"/>
      <c r="AL230" s="84"/>
      <c r="AM230" s="66"/>
    </row>
    <row r="231" spans="3:39" ht="15.6" x14ac:dyDescent="0.3">
      <c r="C231" s="41" t="s">
        <v>598</v>
      </c>
      <c r="D231" s="41" t="s">
        <v>124</v>
      </c>
      <c r="E231" s="42" t="s">
        <v>88</v>
      </c>
      <c r="G231" s="66"/>
      <c r="H231" s="74">
        <v>480</v>
      </c>
      <c r="I231" s="74">
        <v>197</v>
      </c>
      <c r="J231" s="74">
        <v>135</v>
      </c>
      <c r="K231" s="74">
        <v>230</v>
      </c>
      <c r="L231" s="74">
        <v>148</v>
      </c>
      <c r="M231" s="74">
        <v>101</v>
      </c>
      <c r="N231" s="76" cm="1">
        <f t="array" ref="N231">SUM((H231:L231)/5)</f>
        <v>238</v>
      </c>
      <c r="O231" s="74">
        <v>230</v>
      </c>
      <c r="P231" s="66"/>
      <c r="Q231" s="77">
        <v>49.308</v>
      </c>
      <c r="R231" s="77">
        <v>72.016000000000005</v>
      </c>
      <c r="S231" s="77">
        <v>0.441</v>
      </c>
      <c r="T231" s="77">
        <v>0.441</v>
      </c>
      <c r="U231" s="77">
        <f t="shared" si="24"/>
        <v>92</v>
      </c>
      <c r="V231" s="77">
        <f t="shared" si="25"/>
        <v>138</v>
      </c>
      <c r="W231" s="66"/>
      <c r="X231" s="77">
        <v>15.868</v>
      </c>
      <c r="Y231" s="77">
        <v>27.081499999999998</v>
      </c>
      <c r="Z231" s="79">
        <v>27.081499999999998</v>
      </c>
      <c r="AA231" s="80">
        <f t="shared" si="31"/>
        <v>44.684474999999999</v>
      </c>
      <c r="AB231" s="66"/>
      <c r="AC231" s="81">
        <v>365</v>
      </c>
      <c r="AD231" s="82">
        <f t="shared" si="27"/>
        <v>131.7893</v>
      </c>
      <c r="AE231" s="82">
        <f t="shared" si="28"/>
        <v>144.17600000000002</v>
      </c>
      <c r="AF231" s="82">
        <f t="shared" si="29"/>
        <v>24.91</v>
      </c>
      <c r="AG231" s="82">
        <f t="shared" si="29"/>
        <v>61.66</v>
      </c>
      <c r="AH231" s="114"/>
      <c r="AI231" s="114"/>
      <c r="AJ231" s="83">
        <f t="shared" si="30"/>
        <v>362.53530000000001</v>
      </c>
      <c r="AK231" s="82"/>
      <c r="AL231" s="84"/>
      <c r="AM231" s="66"/>
    </row>
    <row r="232" spans="3:39" ht="90" x14ac:dyDescent="0.3">
      <c r="C232" s="41" t="s">
        <v>599</v>
      </c>
      <c r="D232" s="41" t="s">
        <v>124</v>
      </c>
      <c r="E232" s="42" t="s">
        <v>88</v>
      </c>
      <c r="G232" s="66"/>
      <c r="H232" s="74">
        <v>2329</v>
      </c>
      <c r="I232" s="74">
        <v>2162</v>
      </c>
      <c r="J232" s="74">
        <v>1547</v>
      </c>
      <c r="K232" s="74">
        <v>989</v>
      </c>
      <c r="L232" s="74">
        <v>1406</v>
      </c>
      <c r="M232" s="74">
        <v>987</v>
      </c>
      <c r="N232" s="76" cm="1">
        <f t="array" ref="N232">SUM((H232:L232)/5)</f>
        <v>1686.6</v>
      </c>
      <c r="O232" s="74">
        <v>1650</v>
      </c>
      <c r="P232" s="66"/>
      <c r="Q232" s="77">
        <v>50.334000000000003</v>
      </c>
      <c r="R232" s="77">
        <v>63.256999999999998</v>
      </c>
      <c r="S232" s="77">
        <v>0.441</v>
      </c>
      <c r="T232" s="77">
        <v>0.441</v>
      </c>
      <c r="U232" s="77">
        <f t="shared" si="24"/>
        <v>660</v>
      </c>
      <c r="V232" s="77">
        <f t="shared" si="25"/>
        <v>990</v>
      </c>
      <c r="W232" s="66"/>
      <c r="X232" s="77" t="s">
        <v>268</v>
      </c>
      <c r="Y232" s="77" t="s">
        <v>269</v>
      </c>
      <c r="Z232" s="79">
        <f>SUM(27.4798+25.04972+25.36849)/3</f>
        <v>25.966003333333333</v>
      </c>
      <c r="AA232" s="80">
        <f t="shared" si="31"/>
        <v>42.843905500000005</v>
      </c>
      <c r="AB232" s="66"/>
      <c r="AC232" s="81">
        <v>365</v>
      </c>
      <c r="AD232" s="82">
        <f t="shared" si="27"/>
        <v>115.7603</v>
      </c>
      <c r="AE232" s="82">
        <f t="shared" si="28"/>
        <v>126.64049999999999</v>
      </c>
      <c r="AF232" s="82">
        <f t="shared" si="29"/>
        <v>171.38</v>
      </c>
      <c r="AG232" s="82">
        <f t="shared" si="29"/>
        <v>424.15</v>
      </c>
      <c r="AH232" s="114"/>
      <c r="AI232" s="114"/>
      <c r="AJ232" s="83">
        <f t="shared" si="30"/>
        <v>837.93079999999998</v>
      </c>
      <c r="AK232" s="82"/>
      <c r="AL232" s="84"/>
      <c r="AM232" s="66"/>
    </row>
    <row r="233" spans="3:39" ht="90" x14ac:dyDescent="0.3">
      <c r="C233" s="41" t="s">
        <v>599</v>
      </c>
      <c r="D233" s="41" t="s">
        <v>124</v>
      </c>
      <c r="E233" s="42" t="s">
        <v>88</v>
      </c>
      <c r="G233" s="66"/>
      <c r="H233" s="74">
        <v>2864</v>
      </c>
      <c r="I233" s="74">
        <v>2758</v>
      </c>
      <c r="J233" s="74">
        <v>2042</v>
      </c>
      <c r="K233" s="74">
        <v>1320</v>
      </c>
      <c r="L233" s="74">
        <v>1375</v>
      </c>
      <c r="M233" s="74">
        <v>604</v>
      </c>
      <c r="N233" s="76" cm="1">
        <f t="array" ref="N233">SUM((H233:L233)/5)</f>
        <v>2071.8000000000002</v>
      </c>
      <c r="O233" s="74">
        <v>2000</v>
      </c>
      <c r="P233" s="66"/>
      <c r="Q233" s="77">
        <v>50.334000000000003</v>
      </c>
      <c r="R233" s="77">
        <v>63.256999999999998</v>
      </c>
      <c r="S233" s="77">
        <v>0.441</v>
      </c>
      <c r="T233" s="77">
        <v>0.441</v>
      </c>
      <c r="U233" s="77">
        <f t="shared" si="24"/>
        <v>800</v>
      </c>
      <c r="V233" s="77">
        <f t="shared" si="25"/>
        <v>1200</v>
      </c>
      <c r="W233" s="66"/>
      <c r="X233" s="77" t="s">
        <v>268</v>
      </c>
      <c r="Y233" s="77" t="s">
        <v>270</v>
      </c>
      <c r="Z233" s="79">
        <f>SUM(27.35411+25.92409+25.24311)/3</f>
        <v>26.173770000000001</v>
      </c>
      <c r="AA233" s="80">
        <f t="shared" si="31"/>
        <v>43.186720500000007</v>
      </c>
      <c r="AB233" s="66"/>
      <c r="AC233" s="81">
        <v>365</v>
      </c>
      <c r="AD233" s="82">
        <f t="shared" si="27"/>
        <v>115.7603</v>
      </c>
      <c r="AE233" s="82">
        <f t="shared" si="28"/>
        <v>126.64049999999999</v>
      </c>
      <c r="AF233" s="82">
        <f t="shared" si="29"/>
        <v>209.39</v>
      </c>
      <c r="AG233" s="82">
        <f t="shared" si="29"/>
        <v>518.24</v>
      </c>
      <c r="AH233" s="114"/>
      <c r="AI233" s="114"/>
      <c r="AJ233" s="83">
        <f t="shared" si="30"/>
        <v>970.0308</v>
      </c>
      <c r="AK233" s="82"/>
      <c r="AL233" s="84"/>
      <c r="AM233" s="66"/>
    </row>
    <row r="234" spans="3:39" ht="45" x14ac:dyDescent="0.3">
      <c r="C234" s="41" t="s">
        <v>271</v>
      </c>
      <c r="D234" s="41" t="s">
        <v>124</v>
      </c>
      <c r="E234" s="42" t="s">
        <v>88</v>
      </c>
      <c r="G234" s="66"/>
      <c r="H234" s="74">
        <v>64197</v>
      </c>
      <c r="I234" s="74">
        <v>69257</v>
      </c>
      <c r="J234" s="74">
        <v>71704</v>
      </c>
      <c r="K234" s="74">
        <v>67062</v>
      </c>
      <c r="L234" s="74">
        <v>54882</v>
      </c>
      <c r="M234" s="74">
        <v>29149</v>
      </c>
      <c r="N234" s="76" cm="1">
        <f t="array" ref="N234">SUM((H234:L234)/5)</f>
        <v>65420.4</v>
      </c>
      <c r="O234" s="74">
        <v>65400</v>
      </c>
      <c r="P234" s="66"/>
      <c r="Q234" s="77">
        <v>126.76600000000001</v>
      </c>
      <c r="R234" s="77">
        <v>272.11399999999998</v>
      </c>
      <c r="S234" s="77">
        <v>0.441</v>
      </c>
      <c r="T234" s="77">
        <v>0.441</v>
      </c>
      <c r="U234" s="77">
        <f t="shared" si="24"/>
        <v>26160</v>
      </c>
      <c r="V234" s="77">
        <f t="shared" si="25"/>
        <v>39240</v>
      </c>
      <c r="W234" s="66"/>
      <c r="X234" s="77" t="s">
        <v>272</v>
      </c>
      <c r="Y234" s="77" t="s">
        <v>273</v>
      </c>
      <c r="Z234" s="79">
        <f>SUM(14.935+10.939)/2</f>
        <v>12.937000000000001</v>
      </c>
      <c r="AA234" s="80">
        <f t="shared" si="31"/>
        <v>21.346050000000002</v>
      </c>
      <c r="AB234" s="66"/>
      <c r="AC234" s="81">
        <v>365</v>
      </c>
      <c r="AD234" s="82">
        <f t="shared" si="27"/>
        <v>497.96859999999998</v>
      </c>
      <c r="AE234" s="82">
        <f t="shared" si="28"/>
        <v>544.7722</v>
      </c>
      <c r="AF234" s="82">
        <f t="shared" si="29"/>
        <v>3384.32</v>
      </c>
      <c r="AG234" s="82">
        <f t="shared" si="29"/>
        <v>8376.19</v>
      </c>
      <c r="AH234" s="114"/>
      <c r="AI234" s="114"/>
      <c r="AJ234" s="83">
        <f t="shared" si="30"/>
        <v>12803.250800000002</v>
      </c>
      <c r="AK234" s="82"/>
      <c r="AL234" s="84"/>
      <c r="AM234" s="66"/>
    </row>
    <row r="235" spans="3:39" ht="15.6" x14ac:dyDescent="0.3">
      <c r="C235" s="41" t="s">
        <v>600</v>
      </c>
      <c r="D235" s="41" t="s">
        <v>124</v>
      </c>
      <c r="E235" s="42" t="s">
        <v>88</v>
      </c>
      <c r="G235" s="66"/>
      <c r="H235" s="74">
        <v>108</v>
      </c>
      <c r="I235" s="74">
        <v>104</v>
      </c>
      <c r="J235" s="74">
        <v>137</v>
      </c>
      <c r="K235" s="74">
        <v>235</v>
      </c>
      <c r="L235" s="74">
        <v>175</v>
      </c>
      <c r="M235" s="74">
        <v>0</v>
      </c>
      <c r="N235" s="76" cm="1">
        <f t="array" ref="N235">SUM((H235:L235)/5)</f>
        <v>151.80000000000001</v>
      </c>
      <c r="O235" s="74">
        <v>200</v>
      </c>
      <c r="P235" s="66"/>
      <c r="Q235" s="77">
        <v>49.828000000000003</v>
      </c>
      <c r="R235" s="77">
        <v>63.256999999999998</v>
      </c>
      <c r="S235" s="77">
        <v>0.441</v>
      </c>
      <c r="T235" s="77">
        <v>0.441</v>
      </c>
      <c r="U235" s="77">
        <f t="shared" si="24"/>
        <v>80</v>
      </c>
      <c r="V235" s="77">
        <f t="shared" si="25"/>
        <v>120</v>
      </c>
      <c r="W235" s="66"/>
      <c r="X235" s="77">
        <v>15.061999999999999</v>
      </c>
      <c r="Y235" s="77">
        <v>26.50217</v>
      </c>
      <c r="Z235" s="79">
        <v>26.50217</v>
      </c>
      <c r="AA235" s="80">
        <f t="shared" si="31"/>
        <v>43.7285805</v>
      </c>
      <c r="AB235" s="66"/>
      <c r="AC235" s="81">
        <v>365</v>
      </c>
      <c r="AD235" s="82">
        <f t="shared" si="27"/>
        <v>115.7603</v>
      </c>
      <c r="AE235" s="82">
        <f t="shared" si="28"/>
        <v>126.64049999999999</v>
      </c>
      <c r="AF235" s="82">
        <f t="shared" si="29"/>
        <v>21.2</v>
      </c>
      <c r="AG235" s="82">
        <f t="shared" si="29"/>
        <v>52.47</v>
      </c>
      <c r="AH235" s="114"/>
      <c r="AI235" s="114"/>
      <c r="AJ235" s="83">
        <f t="shared" si="30"/>
        <v>316.07079999999996</v>
      </c>
      <c r="AK235" s="82"/>
      <c r="AL235" s="84"/>
      <c r="AM235" s="66"/>
    </row>
    <row r="236" spans="3:39" ht="15.6" x14ac:dyDescent="0.3">
      <c r="C236" s="41" t="s">
        <v>601</v>
      </c>
      <c r="D236" s="41" t="s">
        <v>124</v>
      </c>
      <c r="E236" s="42" t="s">
        <v>88</v>
      </c>
      <c r="G236" s="66"/>
      <c r="H236" s="74">
        <v>564</v>
      </c>
      <c r="I236" s="74">
        <v>428</v>
      </c>
      <c r="J236" s="74">
        <v>331</v>
      </c>
      <c r="K236" s="74">
        <v>880</v>
      </c>
      <c r="L236" s="74">
        <v>897</v>
      </c>
      <c r="M236" s="74">
        <v>438</v>
      </c>
      <c r="N236" s="76" cm="1">
        <f t="array" ref="N236">SUM((H236:L236)/5)</f>
        <v>620</v>
      </c>
      <c r="O236" s="74">
        <v>885</v>
      </c>
      <c r="P236" s="66"/>
      <c r="Q236" s="77">
        <v>49.828000000000003</v>
      </c>
      <c r="R236" s="77">
        <v>63.256999999999998</v>
      </c>
      <c r="S236" s="77">
        <v>0.441</v>
      </c>
      <c r="T236" s="77">
        <v>0.441</v>
      </c>
      <c r="U236" s="77">
        <f t="shared" si="24"/>
        <v>354</v>
      </c>
      <c r="V236" s="77">
        <f t="shared" si="25"/>
        <v>531</v>
      </c>
      <c r="W236" s="66"/>
      <c r="X236" s="77">
        <v>15.061999999999999</v>
      </c>
      <c r="Y236" s="77">
        <v>26.506049999999998</v>
      </c>
      <c r="Z236" s="79">
        <v>26.506049999999998</v>
      </c>
      <c r="AA236" s="80">
        <f t="shared" si="31"/>
        <v>43.734982500000001</v>
      </c>
      <c r="AB236" s="66"/>
      <c r="AC236" s="81">
        <v>365</v>
      </c>
      <c r="AD236" s="82">
        <f t="shared" si="27"/>
        <v>115.7603</v>
      </c>
      <c r="AE236" s="82">
        <f t="shared" si="28"/>
        <v>126.64049999999999</v>
      </c>
      <c r="AF236" s="82">
        <f t="shared" si="29"/>
        <v>93.83</v>
      </c>
      <c r="AG236" s="82">
        <f t="shared" si="29"/>
        <v>232.23</v>
      </c>
      <c r="AH236" s="114"/>
      <c r="AI236" s="114"/>
      <c r="AJ236" s="83">
        <f t="shared" si="30"/>
        <v>568.46079999999995</v>
      </c>
      <c r="AK236" s="82"/>
      <c r="AL236" s="84"/>
      <c r="AM236" s="66"/>
    </row>
    <row r="237" spans="3:39" ht="15.6" x14ac:dyDescent="0.3">
      <c r="C237" s="41" t="s">
        <v>602</v>
      </c>
      <c r="D237" s="41" t="s">
        <v>124</v>
      </c>
      <c r="E237" s="42" t="s">
        <v>88</v>
      </c>
      <c r="G237" s="66"/>
      <c r="H237" s="74">
        <v>0</v>
      </c>
      <c r="I237" s="74">
        <v>3893</v>
      </c>
      <c r="J237" s="74">
        <v>0</v>
      </c>
      <c r="K237" s="74">
        <v>0</v>
      </c>
      <c r="L237" s="74">
        <v>0</v>
      </c>
      <c r="M237" s="74">
        <v>0</v>
      </c>
      <c r="N237" s="76" cm="1">
        <f t="array" ref="N237">SUM((H237:L237)/5)</f>
        <v>778.6</v>
      </c>
      <c r="O237" s="74">
        <v>800</v>
      </c>
      <c r="P237" s="66"/>
      <c r="Q237" s="77">
        <v>49.828000000000003</v>
      </c>
      <c r="R237" s="77">
        <v>63.256999999999998</v>
      </c>
      <c r="S237" s="77">
        <v>0.441</v>
      </c>
      <c r="T237" s="77">
        <v>0.441</v>
      </c>
      <c r="U237" s="77">
        <f t="shared" si="24"/>
        <v>320</v>
      </c>
      <c r="V237" s="77">
        <f t="shared" si="25"/>
        <v>480</v>
      </c>
      <c r="W237" s="66"/>
      <c r="X237" s="77">
        <v>15.061999999999999</v>
      </c>
      <c r="Y237" s="77">
        <v>26.443770000000001</v>
      </c>
      <c r="Z237" s="79">
        <v>26.443770000000001</v>
      </c>
      <c r="AA237" s="80">
        <f t="shared" si="31"/>
        <v>43.632220500000003</v>
      </c>
      <c r="AB237" s="66"/>
      <c r="AC237" s="81">
        <v>365</v>
      </c>
      <c r="AD237" s="82">
        <f t="shared" si="27"/>
        <v>115.7603</v>
      </c>
      <c r="AE237" s="82">
        <f t="shared" si="28"/>
        <v>126.64049999999999</v>
      </c>
      <c r="AF237" s="82">
        <f t="shared" si="29"/>
        <v>84.62</v>
      </c>
      <c r="AG237" s="82">
        <f t="shared" si="29"/>
        <v>209.43</v>
      </c>
      <c r="AH237" s="114"/>
      <c r="AI237" s="114"/>
      <c r="AJ237" s="83">
        <f t="shared" si="30"/>
        <v>536.45080000000007</v>
      </c>
      <c r="AK237" s="82"/>
      <c r="AL237" s="84"/>
      <c r="AM237" s="66"/>
    </row>
    <row r="238" spans="3:39" ht="60" x14ac:dyDescent="0.3">
      <c r="C238" s="41" t="s">
        <v>603</v>
      </c>
      <c r="D238" s="41" t="s">
        <v>124</v>
      </c>
      <c r="E238" s="42" t="s">
        <v>88</v>
      </c>
      <c r="G238" s="66"/>
      <c r="H238" s="74">
        <v>1764</v>
      </c>
      <c r="I238" s="74">
        <v>1757</v>
      </c>
      <c r="J238" s="74">
        <v>1975</v>
      </c>
      <c r="K238" s="74">
        <v>1543</v>
      </c>
      <c r="L238" s="74">
        <v>1391</v>
      </c>
      <c r="M238" s="74">
        <v>69</v>
      </c>
      <c r="N238" s="76" cm="1">
        <f t="array" ref="N238">SUM((H238:L238)/5)</f>
        <v>1686.0000000000002</v>
      </c>
      <c r="O238" s="74">
        <v>1650</v>
      </c>
      <c r="P238" s="66"/>
      <c r="Q238" s="77">
        <v>49.325000000000003</v>
      </c>
      <c r="R238" s="77">
        <v>63.256999999999998</v>
      </c>
      <c r="S238" s="77">
        <v>0.441</v>
      </c>
      <c r="T238" s="77">
        <v>0.441</v>
      </c>
      <c r="U238" s="77">
        <f t="shared" si="24"/>
        <v>660</v>
      </c>
      <c r="V238" s="77">
        <f t="shared" si="25"/>
        <v>990</v>
      </c>
      <c r="W238" s="66"/>
      <c r="X238" s="77" t="s">
        <v>259</v>
      </c>
      <c r="Y238" s="77" t="s">
        <v>274</v>
      </c>
      <c r="Z238" s="79">
        <f>SUM(27.14687+25.02344)/2</f>
        <v>26.085155</v>
      </c>
      <c r="AA238" s="80">
        <f t="shared" si="31"/>
        <v>43.040505750000001</v>
      </c>
      <c r="AB238" s="66"/>
      <c r="AC238" s="81">
        <v>365</v>
      </c>
      <c r="AD238" s="82">
        <f t="shared" si="27"/>
        <v>115.7603</v>
      </c>
      <c r="AE238" s="82">
        <f t="shared" si="28"/>
        <v>126.64049999999999</v>
      </c>
      <c r="AF238" s="82">
        <f t="shared" si="29"/>
        <v>172.16</v>
      </c>
      <c r="AG238" s="82">
        <f t="shared" si="29"/>
        <v>426.1</v>
      </c>
      <c r="AH238" s="114"/>
      <c r="AI238" s="114"/>
      <c r="AJ238" s="83">
        <f t="shared" si="30"/>
        <v>840.66079999999999</v>
      </c>
      <c r="AK238" s="82"/>
      <c r="AL238" s="84"/>
      <c r="AM238" s="66"/>
    </row>
    <row r="239" spans="3:39" ht="15.6" x14ac:dyDescent="0.3">
      <c r="C239" s="41" t="s">
        <v>604</v>
      </c>
      <c r="D239" s="41" t="s">
        <v>124</v>
      </c>
      <c r="E239" s="42" t="s">
        <v>88</v>
      </c>
      <c r="G239" s="66"/>
      <c r="H239" s="74">
        <v>959</v>
      </c>
      <c r="I239" s="74">
        <v>1260</v>
      </c>
      <c r="J239" s="74">
        <v>824</v>
      </c>
      <c r="K239" s="74">
        <v>553</v>
      </c>
      <c r="L239" s="74">
        <v>450</v>
      </c>
      <c r="M239" s="74">
        <v>263</v>
      </c>
      <c r="N239" s="76" cm="1">
        <f t="array" ref="N239">SUM((H239:L239)/5)</f>
        <v>809.2</v>
      </c>
      <c r="O239" s="74">
        <v>800</v>
      </c>
      <c r="P239" s="66"/>
      <c r="Q239" s="77">
        <v>49.828000000000003</v>
      </c>
      <c r="R239" s="77">
        <v>63.256999999999998</v>
      </c>
      <c r="S239" s="77">
        <v>0.441</v>
      </c>
      <c r="T239" s="77">
        <v>0.441</v>
      </c>
      <c r="U239" s="77">
        <f t="shared" si="24"/>
        <v>320</v>
      </c>
      <c r="V239" s="77">
        <f t="shared" si="25"/>
        <v>480</v>
      </c>
      <c r="W239" s="66"/>
      <c r="X239" s="77">
        <v>15.061999999999999</v>
      </c>
      <c r="Y239" s="77">
        <v>26.506869999999999</v>
      </c>
      <c r="Z239" s="79">
        <v>26.506869999999999</v>
      </c>
      <c r="AA239" s="80">
        <f t="shared" si="31"/>
        <v>43.736335499999996</v>
      </c>
      <c r="AB239" s="66"/>
      <c r="AC239" s="81">
        <v>365</v>
      </c>
      <c r="AD239" s="82">
        <f t="shared" si="27"/>
        <v>115.7603</v>
      </c>
      <c r="AE239" s="82">
        <f t="shared" si="28"/>
        <v>126.64049999999999</v>
      </c>
      <c r="AF239" s="82">
        <f t="shared" si="29"/>
        <v>84.82</v>
      </c>
      <c r="AG239" s="82">
        <f t="shared" si="29"/>
        <v>209.93</v>
      </c>
      <c r="AH239" s="114"/>
      <c r="AI239" s="114"/>
      <c r="AJ239" s="83">
        <f t="shared" si="30"/>
        <v>537.1508</v>
      </c>
      <c r="AK239" s="82"/>
      <c r="AL239" s="84"/>
      <c r="AM239" s="66"/>
    </row>
    <row r="240" spans="3:39" ht="15.6" x14ac:dyDescent="0.3">
      <c r="C240" s="41" t="s">
        <v>605</v>
      </c>
      <c r="D240" s="41" t="s">
        <v>124</v>
      </c>
      <c r="E240" s="42" t="s">
        <v>88</v>
      </c>
      <c r="G240" s="66"/>
      <c r="H240" s="74">
        <v>130</v>
      </c>
      <c r="I240" s="74">
        <v>160</v>
      </c>
      <c r="J240" s="74">
        <v>151</v>
      </c>
      <c r="K240" s="74">
        <v>2050</v>
      </c>
      <c r="L240" s="74">
        <v>2821</v>
      </c>
      <c r="M240" s="74">
        <v>1348</v>
      </c>
      <c r="N240" s="76" cm="1">
        <f t="array" ref="N240">SUM((H240:L240)/5)</f>
        <v>1062.4000000000001</v>
      </c>
      <c r="O240" s="74">
        <v>2400</v>
      </c>
      <c r="P240" s="66"/>
      <c r="Q240" s="77">
        <v>49.308</v>
      </c>
      <c r="R240" s="77">
        <v>72.016000000000005</v>
      </c>
      <c r="S240" s="77">
        <v>0.441</v>
      </c>
      <c r="T240" s="77">
        <v>0.441</v>
      </c>
      <c r="U240" s="77">
        <f t="shared" si="24"/>
        <v>960</v>
      </c>
      <c r="V240" s="77">
        <f t="shared" si="25"/>
        <v>1440</v>
      </c>
      <c r="W240" s="66"/>
      <c r="X240" s="77">
        <v>15.868</v>
      </c>
      <c r="Y240" s="77">
        <v>27.082930000000001</v>
      </c>
      <c r="Z240" s="79">
        <v>27.082930000000001</v>
      </c>
      <c r="AA240" s="80">
        <f t="shared" si="31"/>
        <v>44.686834500000003</v>
      </c>
      <c r="AB240" s="66"/>
      <c r="AC240" s="81">
        <v>365</v>
      </c>
      <c r="AD240" s="82">
        <f t="shared" si="27"/>
        <v>131.7893</v>
      </c>
      <c r="AE240" s="82">
        <f t="shared" si="28"/>
        <v>144.17600000000002</v>
      </c>
      <c r="AF240" s="82">
        <f t="shared" si="29"/>
        <v>260</v>
      </c>
      <c r="AG240" s="82">
        <f t="shared" si="29"/>
        <v>643.49</v>
      </c>
      <c r="AH240" s="114"/>
      <c r="AI240" s="114"/>
      <c r="AJ240" s="83">
        <f t="shared" si="30"/>
        <v>1179.4553000000001</v>
      </c>
      <c r="AK240" s="82"/>
      <c r="AL240" s="84"/>
      <c r="AM240" s="66"/>
    </row>
    <row r="241" spans="3:39" ht="15.6" x14ac:dyDescent="0.3">
      <c r="C241" s="41" t="s">
        <v>605</v>
      </c>
      <c r="D241" s="41" t="s">
        <v>124</v>
      </c>
      <c r="E241" s="42" t="s">
        <v>88</v>
      </c>
      <c r="G241" s="66"/>
      <c r="H241" s="74">
        <v>951</v>
      </c>
      <c r="I241" s="74">
        <v>1714</v>
      </c>
      <c r="J241" s="74">
        <v>1361</v>
      </c>
      <c r="K241" s="74">
        <v>1270</v>
      </c>
      <c r="L241" s="74">
        <v>1041</v>
      </c>
      <c r="M241" s="74">
        <v>615</v>
      </c>
      <c r="N241" s="76" cm="1">
        <f t="array" ref="N241">SUM((H241:L241)/5)</f>
        <v>1267.4000000000001</v>
      </c>
      <c r="O241" s="74">
        <v>1250</v>
      </c>
      <c r="P241" s="66"/>
      <c r="Q241" s="77">
        <v>49.828000000000003</v>
      </c>
      <c r="R241" s="77">
        <v>63.256999999999998</v>
      </c>
      <c r="S241" s="77">
        <v>0.441</v>
      </c>
      <c r="T241" s="77">
        <v>0.441</v>
      </c>
      <c r="U241" s="77">
        <f t="shared" si="24"/>
        <v>500</v>
      </c>
      <c r="V241" s="77">
        <f t="shared" si="25"/>
        <v>750</v>
      </c>
      <c r="W241" s="66"/>
      <c r="X241" s="77">
        <v>15.061999999999999</v>
      </c>
      <c r="Y241" s="77">
        <v>26.506599999999999</v>
      </c>
      <c r="Z241" s="79">
        <v>26.506599999999999</v>
      </c>
      <c r="AA241" s="80">
        <f t="shared" si="31"/>
        <v>43.735889999999998</v>
      </c>
      <c r="AB241" s="66"/>
      <c r="AC241" s="81">
        <v>365</v>
      </c>
      <c r="AD241" s="82">
        <f t="shared" si="27"/>
        <v>115.7603</v>
      </c>
      <c r="AE241" s="82">
        <f t="shared" si="28"/>
        <v>126.64049999999999</v>
      </c>
      <c r="AF241" s="82">
        <f t="shared" si="29"/>
        <v>132.53</v>
      </c>
      <c r="AG241" s="82">
        <f t="shared" si="29"/>
        <v>328.02</v>
      </c>
      <c r="AH241" s="114"/>
      <c r="AI241" s="114"/>
      <c r="AJ241" s="83">
        <f t="shared" si="30"/>
        <v>702.95079999999996</v>
      </c>
      <c r="AK241" s="82"/>
      <c r="AL241" s="84"/>
      <c r="AM241" s="66"/>
    </row>
    <row r="242" spans="3:39" ht="15.6" x14ac:dyDescent="0.3">
      <c r="C242" s="41" t="s">
        <v>605</v>
      </c>
      <c r="D242" s="41" t="s">
        <v>124</v>
      </c>
      <c r="E242" s="42" t="s">
        <v>88</v>
      </c>
      <c r="G242" s="66"/>
      <c r="H242" s="74">
        <v>581</v>
      </c>
      <c r="I242" s="74">
        <v>537</v>
      </c>
      <c r="J242" s="74">
        <v>542</v>
      </c>
      <c r="K242" s="74">
        <v>396</v>
      </c>
      <c r="L242" s="74">
        <v>310</v>
      </c>
      <c r="M242" s="74">
        <v>119</v>
      </c>
      <c r="N242" s="76" cm="1">
        <f t="array" ref="N242">SUM((H242:L242)/5)</f>
        <v>473.2</v>
      </c>
      <c r="O242" s="74">
        <v>470</v>
      </c>
      <c r="P242" s="66"/>
      <c r="Q242" s="77">
        <v>49.308</v>
      </c>
      <c r="R242" s="77">
        <v>72.016000000000005</v>
      </c>
      <c r="S242" s="77">
        <v>0.441</v>
      </c>
      <c r="T242" s="77">
        <v>0.441</v>
      </c>
      <c r="U242" s="77">
        <f t="shared" ref="U242:U305" si="32">IF(E242="Gas",O242*R237,O242*$R$4)</f>
        <v>188</v>
      </c>
      <c r="V242" s="77">
        <f t="shared" ref="V242:V305" si="33">IF(E242="Gas",O242*T237,O242*$T$4)</f>
        <v>282</v>
      </c>
      <c r="W242" s="66"/>
      <c r="X242" s="77">
        <v>15.868</v>
      </c>
      <c r="Y242" s="77">
        <v>27.083179999999999</v>
      </c>
      <c r="Z242" s="79">
        <v>27.083179999999999</v>
      </c>
      <c r="AA242" s="80">
        <f t="shared" si="31"/>
        <v>44.687246999999999</v>
      </c>
      <c r="AB242" s="66"/>
      <c r="AC242" s="81">
        <v>365</v>
      </c>
      <c r="AD242" s="82">
        <f t="shared" ref="AD242:AD305" si="34">ROUND(R242*183,2)/100</f>
        <v>131.7893</v>
      </c>
      <c r="AE242" s="82">
        <f t="shared" ref="AE242:AE305" si="35">ROUND((R242+R242*$AE$4)*(365-183),2)/100</f>
        <v>144.17600000000002</v>
      </c>
      <c r="AF242" s="82">
        <f t="shared" ref="AF242:AG305" si="36">ROUND((U242*Z242)/100,2)</f>
        <v>50.92</v>
      </c>
      <c r="AG242" s="82">
        <f t="shared" si="36"/>
        <v>126.02</v>
      </c>
      <c r="AH242" s="114"/>
      <c r="AI242" s="114"/>
      <c r="AJ242" s="83">
        <f t="shared" ref="AJ242:AJ305" si="37">SUM(AD242:AG242)</f>
        <v>452.90530000000001</v>
      </c>
      <c r="AK242" s="82"/>
      <c r="AL242" s="84"/>
      <c r="AM242" s="66"/>
    </row>
    <row r="243" spans="3:39" ht="15.6" x14ac:dyDescent="0.3">
      <c r="C243" s="41" t="s">
        <v>605</v>
      </c>
      <c r="D243" s="41" t="s">
        <v>124</v>
      </c>
      <c r="E243" s="42" t="s">
        <v>88</v>
      </c>
      <c r="G243" s="66"/>
      <c r="H243" s="74">
        <v>227</v>
      </c>
      <c r="I243" s="74">
        <v>222</v>
      </c>
      <c r="J243" s="74">
        <v>254</v>
      </c>
      <c r="K243" s="74">
        <v>199</v>
      </c>
      <c r="L243" s="74">
        <v>84</v>
      </c>
      <c r="M243" s="74">
        <v>56</v>
      </c>
      <c r="N243" s="76" cm="1">
        <f t="array" ref="N243">SUM((H243:L243)/5)</f>
        <v>197.2</v>
      </c>
      <c r="O243" s="74">
        <v>190</v>
      </c>
      <c r="P243" s="66"/>
      <c r="Q243" s="77">
        <v>49.828000000000003</v>
      </c>
      <c r="R243" s="77">
        <v>63.256999999999998</v>
      </c>
      <c r="S243" s="77">
        <v>0.441</v>
      </c>
      <c r="T243" s="77">
        <v>0.441</v>
      </c>
      <c r="U243" s="77">
        <f t="shared" si="32"/>
        <v>76</v>
      </c>
      <c r="V243" s="77">
        <f t="shared" si="33"/>
        <v>114</v>
      </c>
      <c r="W243" s="66"/>
      <c r="X243" s="77">
        <v>15.061999999999999</v>
      </c>
      <c r="Y243" s="77">
        <v>26.504940000000001</v>
      </c>
      <c r="Z243" s="79">
        <v>26.504940000000001</v>
      </c>
      <c r="AA243" s="80">
        <f t="shared" si="31"/>
        <v>43.733151000000007</v>
      </c>
      <c r="AB243" s="66"/>
      <c r="AC243" s="81">
        <v>365</v>
      </c>
      <c r="AD243" s="82">
        <f t="shared" si="34"/>
        <v>115.7603</v>
      </c>
      <c r="AE243" s="82">
        <f t="shared" si="35"/>
        <v>126.64049999999999</v>
      </c>
      <c r="AF243" s="82">
        <f t="shared" si="36"/>
        <v>20.14</v>
      </c>
      <c r="AG243" s="82">
        <f t="shared" si="36"/>
        <v>49.86</v>
      </c>
      <c r="AH243" s="114"/>
      <c r="AI243" s="114"/>
      <c r="AJ243" s="83">
        <f t="shared" si="37"/>
        <v>312.4008</v>
      </c>
      <c r="AK243" s="82"/>
      <c r="AL243" s="84"/>
      <c r="AM243" s="66"/>
    </row>
    <row r="244" spans="3:39" ht="15.6" x14ac:dyDescent="0.3">
      <c r="C244" s="41" t="s">
        <v>605</v>
      </c>
      <c r="D244" s="41" t="s">
        <v>124</v>
      </c>
      <c r="E244" s="42" t="s">
        <v>88</v>
      </c>
      <c r="G244" s="66"/>
      <c r="H244" s="74">
        <v>324</v>
      </c>
      <c r="I244" s="74">
        <v>281</v>
      </c>
      <c r="J244" s="74">
        <v>250</v>
      </c>
      <c r="K244" s="74">
        <v>384</v>
      </c>
      <c r="L244" s="74">
        <v>512</v>
      </c>
      <c r="M244" s="74">
        <v>273</v>
      </c>
      <c r="N244" s="76" cm="1">
        <f t="array" ref="N244">SUM((H244:L244)/5)</f>
        <v>350.20000000000005</v>
      </c>
      <c r="O244" s="74">
        <v>400</v>
      </c>
      <c r="P244" s="66"/>
      <c r="Q244" s="77">
        <v>49.308</v>
      </c>
      <c r="R244" s="77">
        <v>72.016000000000005</v>
      </c>
      <c r="S244" s="77">
        <v>0.441</v>
      </c>
      <c r="T244" s="77">
        <v>0.441</v>
      </c>
      <c r="U244" s="77">
        <f t="shared" si="32"/>
        <v>160</v>
      </c>
      <c r="V244" s="77">
        <f t="shared" si="33"/>
        <v>240</v>
      </c>
      <c r="W244" s="66"/>
      <c r="X244" s="77">
        <v>15.868</v>
      </c>
      <c r="Y244" s="77">
        <v>27.083290000000002</v>
      </c>
      <c r="Z244" s="79">
        <v>27.083290000000002</v>
      </c>
      <c r="AA244" s="80">
        <f t="shared" si="31"/>
        <v>44.687428500000003</v>
      </c>
      <c r="AB244" s="66"/>
      <c r="AC244" s="81">
        <v>365</v>
      </c>
      <c r="AD244" s="82">
        <f t="shared" si="34"/>
        <v>131.7893</v>
      </c>
      <c r="AE244" s="82">
        <f t="shared" si="35"/>
        <v>144.17600000000002</v>
      </c>
      <c r="AF244" s="82">
        <f t="shared" si="36"/>
        <v>43.33</v>
      </c>
      <c r="AG244" s="82">
        <f t="shared" si="36"/>
        <v>107.25</v>
      </c>
      <c r="AH244" s="114"/>
      <c r="AI244" s="114"/>
      <c r="AJ244" s="83">
        <f t="shared" si="37"/>
        <v>426.5453</v>
      </c>
      <c r="AK244" s="82"/>
      <c r="AL244" s="84"/>
      <c r="AM244" s="66"/>
    </row>
    <row r="245" spans="3:39" ht="15.6" x14ac:dyDescent="0.3">
      <c r="C245" s="41" t="s">
        <v>606</v>
      </c>
      <c r="D245" s="41" t="s">
        <v>124</v>
      </c>
      <c r="E245" s="42" t="s">
        <v>88</v>
      </c>
      <c r="G245" s="66"/>
      <c r="H245" s="74">
        <v>976</v>
      </c>
      <c r="I245" s="74">
        <v>1048</v>
      </c>
      <c r="J245" s="74">
        <v>1662</v>
      </c>
      <c r="K245" s="74">
        <v>1671</v>
      </c>
      <c r="L245" s="74">
        <v>1423</v>
      </c>
      <c r="M245" s="74">
        <v>104</v>
      </c>
      <c r="N245" s="76" cm="1">
        <f t="array" ref="N245">SUM((H245:L245)/5)</f>
        <v>1356</v>
      </c>
      <c r="O245" s="74">
        <v>1550</v>
      </c>
      <c r="P245" s="66"/>
      <c r="Q245" s="77">
        <v>49.308</v>
      </c>
      <c r="R245" s="77">
        <v>72.016000000000005</v>
      </c>
      <c r="S245" s="77">
        <v>0.441</v>
      </c>
      <c r="T245" s="77">
        <v>0.441</v>
      </c>
      <c r="U245" s="77">
        <f t="shared" si="32"/>
        <v>620</v>
      </c>
      <c r="V245" s="77">
        <f t="shared" si="33"/>
        <v>930</v>
      </c>
      <c r="W245" s="66"/>
      <c r="X245" s="77">
        <v>15.868</v>
      </c>
      <c r="Y245" s="77">
        <v>27.082719999999998</v>
      </c>
      <c r="Z245" s="79">
        <v>27.082719999999998</v>
      </c>
      <c r="AA245" s="80">
        <f t="shared" si="31"/>
        <v>44.686487999999997</v>
      </c>
      <c r="AB245" s="66"/>
      <c r="AC245" s="81">
        <v>365</v>
      </c>
      <c r="AD245" s="82">
        <f t="shared" si="34"/>
        <v>131.7893</v>
      </c>
      <c r="AE245" s="82">
        <f t="shared" si="35"/>
        <v>144.17600000000002</v>
      </c>
      <c r="AF245" s="82">
        <f t="shared" si="36"/>
        <v>167.91</v>
      </c>
      <c r="AG245" s="82">
        <f t="shared" si="36"/>
        <v>415.58</v>
      </c>
      <c r="AH245" s="114"/>
      <c r="AI245" s="114"/>
      <c r="AJ245" s="83">
        <f t="shared" si="37"/>
        <v>859.45530000000008</v>
      </c>
      <c r="AK245" s="82"/>
      <c r="AL245" s="84"/>
      <c r="AM245" s="66"/>
    </row>
    <row r="246" spans="3:39" ht="15.6" x14ac:dyDescent="0.3">
      <c r="C246" s="41" t="s">
        <v>607</v>
      </c>
      <c r="D246" s="41" t="s">
        <v>124</v>
      </c>
      <c r="E246" s="42" t="s">
        <v>88</v>
      </c>
      <c r="G246" s="66"/>
      <c r="H246" s="74">
        <v>630</v>
      </c>
      <c r="I246" s="74">
        <v>616</v>
      </c>
      <c r="J246" s="74">
        <v>587</v>
      </c>
      <c r="K246" s="74">
        <v>626</v>
      </c>
      <c r="L246" s="74">
        <v>507</v>
      </c>
      <c r="M246" s="74">
        <v>291</v>
      </c>
      <c r="N246" s="76" cm="1">
        <f t="array" ref="N246">SUM((H246:L246)/5)</f>
        <v>593.20000000000005</v>
      </c>
      <c r="O246" s="74">
        <v>590</v>
      </c>
      <c r="P246" s="66"/>
      <c r="Q246" s="77">
        <v>49.308</v>
      </c>
      <c r="R246" s="77">
        <v>72.016000000000005</v>
      </c>
      <c r="S246" s="77">
        <v>0.441</v>
      </c>
      <c r="T246" s="77">
        <v>0.441</v>
      </c>
      <c r="U246" s="77">
        <f t="shared" si="32"/>
        <v>236</v>
      </c>
      <c r="V246" s="77">
        <f t="shared" si="33"/>
        <v>354</v>
      </c>
      <c r="W246" s="66"/>
      <c r="X246" s="77">
        <v>15.868</v>
      </c>
      <c r="Y246" s="77">
        <v>27.082260000000002</v>
      </c>
      <c r="Z246" s="79">
        <v>27.082260000000002</v>
      </c>
      <c r="AA246" s="80">
        <f t="shared" si="31"/>
        <v>44.685729000000002</v>
      </c>
      <c r="AB246" s="66"/>
      <c r="AC246" s="81">
        <v>365</v>
      </c>
      <c r="AD246" s="82">
        <f t="shared" si="34"/>
        <v>131.7893</v>
      </c>
      <c r="AE246" s="82">
        <f t="shared" si="35"/>
        <v>144.17600000000002</v>
      </c>
      <c r="AF246" s="82">
        <f t="shared" si="36"/>
        <v>63.91</v>
      </c>
      <c r="AG246" s="82">
        <f t="shared" si="36"/>
        <v>158.19</v>
      </c>
      <c r="AH246" s="114"/>
      <c r="AI246" s="114"/>
      <c r="AJ246" s="83">
        <f t="shared" si="37"/>
        <v>498.06530000000004</v>
      </c>
      <c r="AK246" s="82"/>
      <c r="AL246" s="84"/>
      <c r="AM246" s="66"/>
    </row>
    <row r="247" spans="3:39" ht="15.6" x14ac:dyDescent="0.3">
      <c r="C247" s="41" t="s">
        <v>608</v>
      </c>
      <c r="D247" s="41" t="s">
        <v>124</v>
      </c>
      <c r="E247" s="42" t="s">
        <v>88</v>
      </c>
      <c r="G247" s="66"/>
      <c r="H247" s="74">
        <v>591</v>
      </c>
      <c r="I247" s="74">
        <v>704</v>
      </c>
      <c r="J247" s="74">
        <v>510</v>
      </c>
      <c r="K247" s="74">
        <v>711</v>
      </c>
      <c r="L247" s="74">
        <v>750</v>
      </c>
      <c r="M247" s="74">
        <v>434</v>
      </c>
      <c r="N247" s="76" cm="1">
        <f t="array" ref="N247">SUM((H247:L247)/5)</f>
        <v>653.20000000000005</v>
      </c>
      <c r="O247" s="74">
        <v>700</v>
      </c>
      <c r="P247" s="66"/>
      <c r="Q247" s="77">
        <v>49.308</v>
      </c>
      <c r="R247" s="77">
        <v>72.016000000000005</v>
      </c>
      <c r="S247" s="77">
        <v>0.441</v>
      </c>
      <c r="T247" s="77">
        <v>0.441</v>
      </c>
      <c r="U247" s="77">
        <f t="shared" si="32"/>
        <v>280</v>
      </c>
      <c r="V247" s="77">
        <f t="shared" si="33"/>
        <v>420</v>
      </c>
      <c r="W247" s="66"/>
      <c r="X247" s="77">
        <v>15.868</v>
      </c>
      <c r="Y247" s="77">
        <v>27.082940000000001</v>
      </c>
      <c r="Z247" s="79">
        <v>27.082940000000001</v>
      </c>
      <c r="AA247" s="80">
        <f t="shared" si="31"/>
        <v>44.686851000000004</v>
      </c>
      <c r="AB247" s="66"/>
      <c r="AC247" s="81">
        <v>365</v>
      </c>
      <c r="AD247" s="82">
        <f t="shared" si="34"/>
        <v>131.7893</v>
      </c>
      <c r="AE247" s="82">
        <f t="shared" si="35"/>
        <v>144.17600000000002</v>
      </c>
      <c r="AF247" s="82">
        <f t="shared" si="36"/>
        <v>75.83</v>
      </c>
      <c r="AG247" s="82">
        <f t="shared" si="36"/>
        <v>187.68</v>
      </c>
      <c r="AH247" s="114"/>
      <c r="AI247" s="114"/>
      <c r="AJ247" s="83">
        <f t="shared" si="37"/>
        <v>539.47530000000006</v>
      </c>
      <c r="AK247" s="82"/>
      <c r="AL247" s="84"/>
      <c r="AM247" s="66"/>
    </row>
    <row r="248" spans="3:39" ht="15.6" x14ac:dyDescent="0.3">
      <c r="C248" s="41" t="s">
        <v>608</v>
      </c>
      <c r="D248" s="41" t="s">
        <v>124</v>
      </c>
      <c r="E248" s="42" t="s">
        <v>88</v>
      </c>
      <c r="G248" s="66"/>
      <c r="H248" s="74">
        <v>2444</v>
      </c>
      <c r="I248" s="74">
        <v>2425</v>
      </c>
      <c r="J248" s="74">
        <v>2442</v>
      </c>
      <c r="K248" s="74">
        <v>2427</v>
      </c>
      <c r="L248" s="74">
        <v>2521</v>
      </c>
      <c r="M248" s="74">
        <v>1031</v>
      </c>
      <c r="N248" s="76" cm="1">
        <f t="array" ref="N248">SUM((H248:L248)/5)</f>
        <v>2451.7999999999997</v>
      </c>
      <c r="O248" s="74">
        <v>2350</v>
      </c>
      <c r="P248" s="66"/>
      <c r="Q248" s="77">
        <v>49.308</v>
      </c>
      <c r="R248" s="77">
        <v>72.016000000000005</v>
      </c>
      <c r="S248" s="77">
        <v>0.441</v>
      </c>
      <c r="T248" s="77">
        <v>0.441</v>
      </c>
      <c r="U248" s="77">
        <f t="shared" si="32"/>
        <v>940</v>
      </c>
      <c r="V248" s="77">
        <f t="shared" si="33"/>
        <v>1410</v>
      </c>
      <c r="W248" s="66"/>
      <c r="X248" s="77">
        <v>15.868</v>
      </c>
      <c r="Y248" s="77">
        <v>27.0822</v>
      </c>
      <c r="Z248" s="79">
        <v>27.0822</v>
      </c>
      <c r="AA248" s="80">
        <f t="shared" si="31"/>
        <v>44.685630000000003</v>
      </c>
      <c r="AB248" s="66"/>
      <c r="AC248" s="81">
        <v>365</v>
      </c>
      <c r="AD248" s="82">
        <f t="shared" si="34"/>
        <v>131.7893</v>
      </c>
      <c r="AE248" s="82">
        <f t="shared" si="35"/>
        <v>144.17600000000002</v>
      </c>
      <c r="AF248" s="82">
        <f t="shared" si="36"/>
        <v>254.57</v>
      </c>
      <c r="AG248" s="82">
        <f t="shared" si="36"/>
        <v>630.07000000000005</v>
      </c>
      <c r="AH248" s="114"/>
      <c r="AI248" s="114"/>
      <c r="AJ248" s="83">
        <f t="shared" si="37"/>
        <v>1160.6053000000002</v>
      </c>
      <c r="AK248" s="82"/>
      <c r="AL248" s="84"/>
      <c r="AM248" s="66"/>
    </row>
    <row r="249" spans="3:39" ht="15.6" x14ac:dyDescent="0.3">
      <c r="C249" s="41" t="s">
        <v>609</v>
      </c>
      <c r="D249" s="41" t="s">
        <v>124</v>
      </c>
      <c r="E249" s="42" t="s">
        <v>88</v>
      </c>
      <c r="G249" s="66"/>
      <c r="H249" s="74">
        <v>772</v>
      </c>
      <c r="I249" s="74">
        <v>1015</v>
      </c>
      <c r="J249" s="74">
        <v>911</v>
      </c>
      <c r="K249" s="74">
        <v>707</v>
      </c>
      <c r="L249" s="74">
        <v>506</v>
      </c>
      <c r="M249" s="74">
        <v>313</v>
      </c>
      <c r="N249" s="76" cm="1">
        <f t="array" ref="N249">SUM((H249:L249)/5)</f>
        <v>782.19999999999993</v>
      </c>
      <c r="O249" s="74">
        <v>770</v>
      </c>
      <c r="P249" s="66"/>
      <c r="Q249" s="77">
        <v>49.308</v>
      </c>
      <c r="R249" s="77">
        <v>72.016000000000005</v>
      </c>
      <c r="S249" s="77">
        <v>0.441</v>
      </c>
      <c r="T249" s="77">
        <v>0.441</v>
      </c>
      <c r="U249" s="77">
        <f t="shared" si="32"/>
        <v>308</v>
      </c>
      <c r="V249" s="77">
        <f t="shared" si="33"/>
        <v>462</v>
      </c>
      <c r="W249" s="66"/>
      <c r="X249" s="77">
        <v>15.868</v>
      </c>
      <c r="Y249" s="77">
        <v>27.083020000000001</v>
      </c>
      <c r="Z249" s="79">
        <v>27.083020000000001</v>
      </c>
      <c r="AA249" s="80">
        <f t="shared" si="31"/>
        <v>44.686982999999998</v>
      </c>
      <c r="AB249" s="66"/>
      <c r="AC249" s="81">
        <v>365</v>
      </c>
      <c r="AD249" s="82">
        <f t="shared" si="34"/>
        <v>131.7893</v>
      </c>
      <c r="AE249" s="82">
        <f t="shared" si="35"/>
        <v>144.17600000000002</v>
      </c>
      <c r="AF249" s="82">
        <f t="shared" si="36"/>
        <v>83.42</v>
      </c>
      <c r="AG249" s="82">
        <f t="shared" si="36"/>
        <v>206.45</v>
      </c>
      <c r="AH249" s="114"/>
      <c r="AI249" s="114"/>
      <c r="AJ249" s="83">
        <f t="shared" si="37"/>
        <v>565.83529999999996</v>
      </c>
      <c r="AK249" s="82"/>
      <c r="AL249" s="84"/>
      <c r="AM249" s="66"/>
    </row>
    <row r="250" spans="3:39" ht="15.6" x14ac:dyDescent="0.3">
      <c r="C250" s="41" t="s">
        <v>608</v>
      </c>
      <c r="D250" s="41" t="s">
        <v>124</v>
      </c>
      <c r="E250" s="42" t="s">
        <v>88</v>
      </c>
      <c r="G250" s="66"/>
      <c r="H250" s="74">
        <v>971</v>
      </c>
      <c r="I250" s="74">
        <v>1065</v>
      </c>
      <c r="J250" s="74">
        <v>1194</v>
      </c>
      <c r="K250" s="74">
        <v>1054</v>
      </c>
      <c r="L250" s="74">
        <v>704</v>
      </c>
      <c r="M250" s="74">
        <v>55</v>
      </c>
      <c r="N250" s="76" cm="1">
        <f t="array" ref="N250">SUM((H250:L250)/5)</f>
        <v>997.59999999999991</v>
      </c>
      <c r="O250" s="74">
        <v>950</v>
      </c>
      <c r="P250" s="66"/>
      <c r="Q250" s="77">
        <v>49.308</v>
      </c>
      <c r="R250" s="77">
        <v>72.016000000000005</v>
      </c>
      <c r="S250" s="77">
        <v>0.441</v>
      </c>
      <c r="T250" s="77">
        <v>0.441</v>
      </c>
      <c r="U250" s="77">
        <f t="shared" si="32"/>
        <v>380</v>
      </c>
      <c r="V250" s="77">
        <f t="shared" si="33"/>
        <v>570</v>
      </c>
      <c r="W250" s="66"/>
      <c r="X250" s="77">
        <v>15.868</v>
      </c>
      <c r="Y250" s="77">
        <v>27.083020000000001</v>
      </c>
      <c r="Z250" s="79">
        <v>27.083020000000001</v>
      </c>
      <c r="AA250" s="80">
        <f t="shared" si="31"/>
        <v>44.686982999999998</v>
      </c>
      <c r="AB250" s="66"/>
      <c r="AC250" s="81">
        <v>365</v>
      </c>
      <c r="AD250" s="82">
        <f t="shared" si="34"/>
        <v>131.7893</v>
      </c>
      <c r="AE250" s="82">
        <f t="shared" si="35"/>
        <v>144.17600000000002</v>
      </c>
      <c r="AF250" s="82">
        <f t="shared" si="36"/>
        <v>102.92</v>
      </c>
      <c r="AG250" s="82">
        <f t="shared" si="36"/>
        <v>254.72</v>
      </c>
      <c r="AH250" s="114"/>
      <c r="AI250" s="114"/>
      <c r="AJ250" s="83">
        <f t="shared" si="37"/>
        <v>633.60530000000006</v>
      </c>
      <c r="AK250" s="82"/>
      <c r="AL250" s="84"/>
      <c r="AM250" s="66"/>
    </row>
    <row r="251" spans="3:39" ht="15.6" x14ac:dyDescent="0.3">
      <c r="C251" s="41" t="s">
        <v>610</v>
      </c>
      <c r="D251" s="41" t="s">
        <v>124</v>
      </c>
      <c r="E251" s="42" t="s">
        <v>88</v>
      </c>
      <c r="G251" s="66"/>
      <c r="H251" s="74">
        <v>2407</v>
      </c>
      <c r="I251" s="74">
        <v>2095</v>
      </c>
      <c r="J251" s="74">
        <v>2049</v>
      </c>
      <c r="K251" s="74">
        <v>2072</v>
      </c>
      <c r="L251" s="74">
        <v>1489</v>
      </c>
      <c r="M251" s="74">
        <v>89</v>
      </c>
      <c r="N251" s="76" cm="1">
        <f t="array" ref="N251">SUM((H251:L251)/5)</f>
        <v>2022.3999999999999</v>
      </c>
      <c r="O251" s="74">
        <v>2050</v>
      </c>
      <c r="P251" s="66"/>
      <c r="Q251" s="77">
        <v>49.308</v>
      </c>
      <c r="R251" s="77">
        <v>72.016000000000005</v>
      </c>
      <c r="S251" s="77">
        <v>0.441</v>
      </c>
      <c r="T251" s="77">
        <v>0.441</v>
      </c>
      <c r="U251" s="77">
        <f t="shared" si="32"/>
        <v>820</v>
      </c>
      <c r="V251" s="77">
        <f t="shared" si="33"/>
        <v>1230</v>
      </c>
      <c r="W251" s="66"/>
      <c r="X251" s="77">
        <v>15.868</v>
      </c>
      <c r="Y251" s="77">
        <v>27.082850000000001</v>
      </c>
      <c r="Z251" s="79">
        <v>27.082850000000001</v>
      </c>
      <c r="AA251" s="80">
        <f t="shared" si="31"/>
        <v>44.686702500000003</v>
      </c>
      <c r="AB251" s="66"/>
      <c r="AC251" s="81">
        <v>365</v>
      </c>
      <c r="AD251" s="82">
        <f t="shared" si="34"/>
        <v>131.7893</v>
      </c>
      <c r="AE251" s="82">
        <f t="shared" si="35"/>
        <v>144.17600000000002</v>
      </c>
      <c r="AF251" s="82">
        <f t="shared" si="36"/>
        <v>222.08</v>
      </c>
      <c r="AG251" s="82">
        <f t="shared" si="36"/>
        <v>549.65</v>
      </c>
      <c r="AH251" s="114"/>
      <c r="AI251" s="114"/>
      <c r="AJ251" s="83">
        <f t="shared" si="37"/>
        <v>1047.6952999999999</v>
      </c>
      <c r="AK251" s="82"/>
      <c r="AL251" s="84"/>
      <c r="AM251" s="66"/>
    </row>
    <row r="252" spans="3:39" ht="15.6" x14ac:dyDescent="0.3">
      <c r="C252" s="41" t="s">
        <v>611</v>
      </c>
      <c r="D252" s="41" t="s">
        <v>124</v>
      </c>
      <c r="E252" s="42" t="s">
        <v>88</v>
      </c>
      <c r="G252" s="66"/>
      <c r="H252" s="74">
        <v>1051</v>
      </c>
      <c r="I252" s="74">
        <v>1335</v>
      </c>
      <c r="J252" s="74">
        <v>595</v>
      </c>
      <c r="K252" s="74">
        <v>1108</v>
      </c>
      <c r="L252" s="74">
        <v>940</v>
      </c>
      <c r="M252" s="74">
        <v>617</v>
      </c>
      <c r="N252" s="76" cm="1">
        <f t="array" ref="N252">SUM((H252:L252)/5)</f>
        <v>1005.8000000000001</v>
      </c>
      <c r="O252" s="74">
        <v>1100</v>
      </c>
      <c r="P252" s="66"/>
      <c r="Q252" s="77">
        <v>49.308</v>
      </c>
      <c r="R252" s="77">
        <v>72.016000000000005</v>
      </c>
      <c r="S252" s="77">
        <v>0.441</v>
      </c>
      <c r="T252" s="77">
        <v>0.441</v>
      </c>
      <c r="U252" s="77">
        <f t="shared" si="32"/>
        <v>440</v>
      </c>
      <c r="V252" s="77">
        <f t="shared" si="33"/>
        <v>660</v>
      </c>
      <c r="W252" s="66"/>
      <c r="X252" s="77">
        <v>15.868</v>
      </c>
      <c r="Y252" s="77">
        <v>27.082519999999999</v>
      </c>
      <c r="Z252" s="79">
        <v>27.082519999999999</v>
      </c>
      <c r="AA252" s="80">
        <f t="shared" si="31"/>
        <v>44.686157999999999</v>
      </c>
      <c r="AB252" s="66"/>
      <c r="AC252" s="81">
        <v>365</v>
      </c>
      <c r="AD252" s="82">
        <f t="shared" si="34"/>
        <v>131.7893</v>
      </c>
      <c r="AE252" s="82">
        <f t="shared" si="35"/>
        <v>144.17600000000002</v>
      </c>
      <c r="AF252" s="82">
        <f t="shared" si="36"/>
        <v>119.16</v>
      </c>
      <c r="AG252" s="82">
        <f t="shared" si="36"/>
        <v>294.93</v>
      </c>
      <c r="AH252" s="114"/>
      <c r="AI252" s="114"/>
      <c r="AJ252" s="83">
        <f t="shared" si="37"/>
        <v>690.05529999999999</v>
      </c>
      <c r="AK252" s="82"/>
      <c r="AL252" s="84"/>
      <c r="AM252" s="66"/>
    </row>
    <row r="253" spans="3:39" ht="15.6" x14ac:dyDescent="0.3">
      <c r="C253" s="41" t="s">
        <v>612</v>
      </c>
      <c r="D253" s="41" t="s">
        <v>124</v>
      </c>
      <c r="E253" s="42" t="s">
        <v>88</v>
      </c>
      <c r="G253" s="66"/>
      <c r="H253" s="74">
        <v>1178</v>
      </c>
      <c r="I253" s="74">
        <v>1157</v>
      </c>
      <c r="J253" s="74">
        <v>1170</v>
      </c>
      <c r="K253" s="74">
        <v>1098</v>
      </c>
      <c r="L253" s="74">
        <v>1186</v>
      </c>
      <c r="M253" s="74">
        <v>479</v>
      </c>
      <c r="N253" s="76" cm="1">
        <f t="array" ref="N253">SUM((H253:L253)/5)</f>
        <v>1157.8</v>
      </c>
      <c r="O253" s="74">
        <v>1150</v>
      </c>
      <c r="P253" s="66"/>
      <c r="Q253" s="77">
        <v>49.308</v>
      </c>
      <c r="R253" s="77">
        <v>72.016000000000005</v>
      </c>
      <c r="S253" s="77">
        <v>0.441</v>
      </c>
      <c r="T253" s="77">
        <v>0.441</v>
      </c>
      <c r="U253" s="77">
        <f t="shared" si="32"/>
        <v>460</v>
      </c>
      <c r="V253" s="77">
        <f t="shared" si="33"/>
        <v>690</v>
      </c>
      <c r="W253" s="66"/>
      <c r="X253" s="77">
        <v>15.868</v>
      </c>
      <c r="Y253" s="77">
        <v>27.082840000000001</v>
      </c>
      <c r="Z253" s="79">
        <v>27.082840000000001</v>
      </c>
      <c r="AA253" s="80">
        <f t="shared" si="31"/>
        <v>44.686686000000002</v>
      </c>
      <c r="AB253" s="66"/>
      <c r="AC253" s="81">
        <v>365</v>
      </c>
      <c r="AD253" s="82">
        <f t="shared" si="34"/>
        <v>131.7893</v>
      </c>
      <c r="AE253" s="82">
        <f t="shared" si="35"/>
        <v>144.17600000000002</v>
      </c>
      <c r="AF253" s="82">
        <f t="shared" si="36"/>
        <v>124.58</v>
      </c>
      <c r="AG253" s="82">
        <f t="shared" si="36"/>
        <v>308.33999999999997</v>
      </c>
      <c r="AH253" s="114"/>
      <c r="AI253" s="114"/>
      <c r="AJ253" s="83">
        <f t="shared" si="37"/>
        <v>708.88529999999992</v>
      </c>
      <c r="AK253" s="82"/>
      <c r="AL253" s="84"/>
      <c r="AM253" s="66"/>
    </row>
    <row r="254" spans="3:39" ht="15.6" x14ac:dyDescent="0.3">
      <c r="C254" s="41" t="s">
        <v>613</v>
      </c>
      <c r="D254" s="41" t="s">
        <v>124</v>
      </c>
      <c r="E254" s="42" t="s">
        <v>88</v>
      </c>
      <c r="G254" s="66"/>
      <c r="H254" s="74">
        <v>1121</v>
      </c>
      <c r="I254" s="74">
        <v>740</v>
      </c>
      <c r="J254" s="74">
        <v>1152</v>
      </c>
      <c r="K254" s="74">
        <v>1018</v>
      </c>
      <c r="L254" s="74">
        <v>703</v>
      </c>
      <c r="M254" s="74">
        <v>39</v>
      </c>
      <c r="N254" s="76" cm="1">
        <f t="array" ref="N254">SUM((H254:L254)/5)</f>
        <v>946.80000000000007</v>
      </c>
      <c r="O254" s="74">
        <v>950</v>
      </c>
      <c r="P254" s="66"/>
      <c r="Q254" s="77">
        <v>49.308</v>
      </c>
      <c r="R254" s="77">
        <v>72.016000000000005</v>
      </c>
      <c r="S254" s="77">
        <v>0.441</v>
      </c>
      <c r="T254" s="77">
        <v>0.441</v>
      </c>
      <c r="U254" s="77">
        <f t="shared" si="32"/>
        <v>380</v>
      </c>
      <c r="V254" s="77">
        <f t="shared" si="33"/>
        <v>570</v>
      </c>
      <c r="W254" s="66"/>
      <c r="X254" s="77">
        <v>15.868</v>
      </c>
      <c r="Y254" s="77">
        <v>27.08231</v>
      </c>
      <c r="Z254" s="79">
        <v>27.08231</v>
      </c>
      <c r="AA254" s="80">
        <f t="shared" si="31"/>
        <v>44.6858115</v>
      </c>
      <c r="AB254" s="66"/>
      <c r="AC254" s="81">
        <v>365</v>
      </c>
      <c r="AD254" s="82">
        <f t="shared" si="34"/>
        <v>131.7893</v>
      </c>
      <c r="AE254" s="82">
        <f t="shared" si="35"/>
        <v>144.17600000000002</v>
      </c>
      <c r="AF254" s="82">
        <f t="shared" si="36"/>
        <v>102.91</v>
      </c>
      <c r="AG254" s="82">
        <f t="shared" si="36"/>
        <v>254.71</v>
      </c>
      <c r="AH254" s="114"/>
      <c r="AI254" s="114"/>
      <c r="AJ254" s="83">
        <f t="shared" si="37"/>
        <v>633.58530000000007</v>
      </c>
      <c r="AK254" s="82"/>
      <c r="AL254" s="84"/>
      <c r="AM254" s="66"/>
    </row>
    <row r="255" spans="3:39" ht="15.6" x14ac:dyDescent="0.3">
      <c r="C255" s="41" t="s">
        <v>275</v>
      </c>
      <c r="D255" s="41" t="s">
        <v>124</v>
      </c>
      <c r="E255" s="42" t="s">
        <v>88</v>
      </c>
      <c r="G255" s="66"/>
      <c r="H255" s="74">
        <v>2156</v>
      </c>
      <c r="I255" s="74">
        <v>3353</v>
      </c>
      <c r="J255" s="74">
        <v>2960</v>
      </c>
      <c r="K255" s="74">
        <v>3106</v>
      </c>
      <c r="L255" s="74">
        <v>3228</v>
      </c>
      <c r="M255" s="74">
        <v>71</v>
      </c>
      <c r="N255" s="76" cm="1">
        <f t="array" ref="N255">SUM((H255:L255)/5)</f>
        <v>2960.6</v>
      </c>
      <c r="O255" s="74">
        <v>3150</v>
      </c>
      <c r="P255" s="66"/>
      <c r="Q255" s="77">
        <v>49.828000000000003</v>
      </c>
      <c r="R255" s="77">
        <v>63.256999999999998</v>
      </c>
      <c r="S255" s="77">
        <v>0.441</v>
      </c>
      <c r="T255" s="77">
        <v>0.441</v>
      </c>
      <c r="U255" s="77">
        <f t="shared" si="32"/>
        <v>1260</v>
      </c>
      <c r="V255" s="77">
        <f t="shared" si="33"/>
        <v>1890</v>
      </c>
      <c r="W255" s="66"/>
      <c r="X255" s="77">
        <v>15.061999999999999</v>
      </c>
      <c r="Y255" s="77">
        <v>26.50609</v>
      </c>
      <c r="Z255" s="79">
        <v>26.50609</v>
      </c>
      <c r="AA255" s="80">
        <f t="shared" si="31"/>
        <v>43.735048500000005</v>
      </c>
      <c r="AB255" s="66"/>
      <c r="AC255" s="81">
        <v>365</v>
      </c>
      <c r="AD255" s="82">
        <f t="shared" si="34"/>
        <v>115.7603</v>
      </c>
      <c r="AE255" s="82">
        <f t="shared" si="35"/>
        <v>126.64049999999999</v>
      </c>
      <c r="AF255" s="82">
        <f t="shared" si="36"/>
        <v>333.98</v>
      </c>
      <c r="AG255" s="82">
        <f t="shared" si="36"/>
        <v>826.59</v>
      </c>
      <c r="AH255" s="114"/>
      <c r="AI255" s="114"/>
      <c r="AJ255" s="83">
        <f t="shared" si="37"/>
        <v>1402.9708000000001</v>
      </c>
      <c r="AK255" s="82"/>
      <c r="AL255" s="84"/>
      <c r="AM255" s="66"/>
    </row>
    <row r="256" spans="3:39" ht="45" x14ac:dyDescent="0.3">
      <c r="C256" s="41" t="s">
        <v>614</v>
      </c>
      <c r="D256" s="41" t="s">
        <v>124</v>
      </c>
      <c r="E256" s="42" t="s">
        <v>88</v>
      </c>
      <c r="G256" s="66"/>
      <c r="H256" s="74">
        <v>2944</v>
      </c>
      <c r="I256" s="74">
        <v>3058</v>
      </c>
      <c r="J256" s="74">
        <v>2724</v>
      </c>
      <c r="K256" s="74">
        <v>3064</v>
      </c>
      <c r="L256" s="74">
        <v>2032</v>
      </c>
      <c r="M256" s="74">
        <v>1058</v>
      </c>
      <c r="N256" s="76" cm="1">
        <f t="array" ref="N256">SUM((H256:L256)/5)</f>
        <v>2764.4</v>
      </c>
      <c r="O256" s="74">
        <v>2760</v>
      </c>
      <c r="P256" s="66"/>
      <c r="Q256" s="77">
        <v>50.334000000000003</v>
      </c>
      <c r="R256" s="77">
        <v>63.256999999999998</v>
      </c>
      <c r="S256" s="77">
        <v>0.441</v>
      </c>
      <c r="T256" s="77">
        <v>0.441</v>
      </c>
      <c r="U256" s="77">
        <f t="shared" si="32"/>
        <v>1104</v>
      </c>
      <c r="V256" s="77">
        <f t="shared" si="33"/>
        <v>1656</v>
      </c>
      <c r="W256" s="66"/>
      <c r="X256" s="77" t="s">
        <v>268</v>
      </c>
      <c r="Y256" s="77" t="s">
        <v>276</v>
      </c>
      <c r="Z256" s="79">
        <f>SUM(27.4097+24.97966+25.2988)/3</f>
        <v>25.896053333333331</v>
      </c>
      <c r="AA256" s="80">
        <f t="shared" si="31"/>
        <v>42.728487999999999</v>
      </c>
      <c r="AB256" s="66"/>
      <c r="AC256" s="81">
        <v>365</v>
      </c>
      <c r="AD256" s="82">
        <f t="shared" si="34"/>
        <v>115.7603</v>
      </c>
      <c r="AE256" s="82">
        <f t="shared" si="35"/>
        <v>126.64049999999999</v>
      </c>
      <c r="AF256" s="82">
        <f t="shared" si="36"/>
        <v>285.89</v>
      </c>
      <c r="AG256" s="82">
        <f t="shared" si="36"/>
        <v>707.58</v>
      </c>
      <c r="AH256" s="114"/>
      <c r="AI256" s="114"/>
      <c r="AJ256" s="83">
        <f t="shared" si="37"/>
        <v>1235.8708000000001</v>
      </c>
      <c r="AK256" s="82"/>
      <c r="AL256" s="84"/>
      <c r="AM256" s="66"/>
    </row>
    <row r="257" spans="3:39" ht="15.6" x14ac:dyDescent="0.3">
      <c r="C257" s="41" t="s">
        <v>615</v>
      </c>
      <c r="D257" s="41" t="s">
        <v>124</v>
      </c>
      <c r="E257" s="42" t="s">
        <v>88</v>
      </c>
      <c r="G257" s="66"/>
      <c r="H257" s="74">
        <v>130</v>
      </c>
      <c r="I257" s="74">
        <v>129</v>
      </c>
      <c r="J257" s="74">
        <v>128</v>
      </c>
      <c r="K257" s="74">
        <v>202</v>
      </c>
      <c r="L257" s="74">
        <v>299</v>
      </c>
      <c r="M257" s="74">
        <v>201</v>
      </c>
      <c r="N257" s="76" cm="1">
        <f t="array" ref="N257">SUM((H257:L257)/5)</f>
        <v>177.60000000000002</v>
      </c>
      <c r="O257" s="74">
        <v>250</v>
      </c>
      <c r="P257" s="66"/>
      <c r="Q257" s="77">
        <v>49.308</v>
      </c>
      <c r="R257" s="77">
        <v>72.016000000000005</v>
      </c>
      <c r="S257" s="77">
        <v>0.441</v>
      </c>
      <c r="T257" s="77">
        <v>0.441</v>
      </c>
      <c r="U257" s="77">
        <f t="shared" si="32"/>
        <v>100</v>
      </c>
      <c r="V257" s="77">
        <f t="shared" si="33"/>
        <v>150</v>
      </c>
      <c r="W257" s="66"/>
      <c r="X257" s="77">
        <v>15.868</v>
      </c>
      <c r="Y257" s="77">
        <v>27.0824</v>
      </c>
      <c r="Z257" s="79">
        <v>27.0824</v>
      </c>
      <c r="AA257" s="80">
        <f t="shared" si="31"/>
        <v>44.685960000000001</v>
      </c>
      <c r="AB257" s="66"/>
      <c r="AC257" s="81">
        <v>365</v>
      </c>
      <c r="AD257" s="82">
        <f t="shared" si="34"/>
        <v>131.7893</v>
      </c>
      <c r="AE257" s="82">
        <f t="shared" si="35"/>
        <v>144.17600000000002</v>
      </c>
      <c r="AF257" s="82">
        <f t="shared" si="36"/>
        <v>27.08</v>
      </c>
      <c r="AG257" s="82">
        <f t="shared" si="36"/>
        <v>67.03</v>
      </c>
      <c r="AH257" s="114"/>
      <c r="AI257" s="114"/>
      <c r="AJ257" s="83">
        <f t="shared" si="37"/>
        <v>370.07529999999997</v>
      </c>
      <c r="AK257" s="82"/>
      <c r="AL257" s="84"/>
      <c r="AM257" s="66"/>
    </row>
    <row r="258" spans="3:39" ht="15.6" x14ac:dyDescent="0.3">
      <c r="C258" s="41" t="s">
        <v>616</v>
      </c>
      <c r="D258" s="41" t="s">
        <v>124</v>
      </c>
      <c r="E258" s="42" t="s">
        <v>88</v>
      </c>
      <c r="G258" s="66"/>
      <c r="H258" s="74">
        <v>584</v>
      </c>
      <c r="I258" s="74">
        <v>584</v>
      </c>
      <c r="J258" s="74">
        <v>596</v>
      </c>
      <c r="K258" s="74">
        <v>577</v>
      </c>
      <c r="L258" s="74">
        <v>439</v>
      </c>
      <c r="M258" s="74">
        <v>265</v>
      </c>
      <c r="N258" s="76" cm="1">
        <f t="array" ref="N258">SUM((H258:L258)/5)</f>
        <v>556</v>
      </c>
      <c r="O258" s="74">
        <v>550</v>
      </c>
      <c r="P258" s="66"/>
      <c r="Q258" s="77">
        <v>49.308</v>
      </c>
      <c r="R258" s="77">
        <v>72.016000000000005</v>
      </c>
      <c r="S258" s="77">
        <v>0.441</v>
      </c>
      <c r="T258" s="77">
        <v>0.441</v>
      </c>
      <c r="U258" s="77">
        <f t="shared" si="32"/>
        <v>220</v>
      </c>
      <c r="V258" s="77">
        <f t="shared" si="33"/>
        <v>330</v>
      </c>
      <c r="W258" s="66"/>
      <c r="X258" s="77">
        <v>15.868</v>
      </c>
      <c r="Y258" s="77">
        <v>27.083179999999999</v>
      </c>
      <c r="Z258" s="79">
        <v>27.083179999999999</v>
      </c>
      <c r="AA258" s="80">
        <f t="shared" si="31"/>
        <v>44.687246999999999</v>
      </c>
      <c r="AB258" s="66"/>
      <c r="AC258" s="81">
        <v>365</v>
      </c>
      <c r="AD258" s="82">
        <f t="shared" si="34"/>
        <v>131.7893</v>
      </c>
      <c r="AE258" s="82">
        <f t="shared" si="35"/>
        <v>144.17600000000002</v>
      </c>
      <c r="AF258" s="82">
        <f t="shared" si="36"/>
        <v>59.58</v>
      </c>
      <c r="AG258" s="82">
        <f t="shared" si="36"/>
        <v>147.47</v>
      </c>
      <c r="AH258" s="114"/>
      <c r="AI258" s="114"/>
      <c r="AJ258" s="83">
        <f t="shared" si="37"/>
        <v>483.01530000000002</v>
      </c>
      <c r="AK258" s="82"/>
      <c r="AL258" s="84"/>
      <c r="AM258" s="66"/>
    </row>
    <row r="259" spans="3:39" ht="45" x14ac:dyDescent="0.3">
      <c r="C259" s="41" t="s">
        <v>277</v>
      </c>
      <c r="D259" s="41" t="s">
        <v>124</v>
      </c>
      <c r="E259" s="42" t="s">
        <v>88</v>
      </c>
      <c r="G259" s="66"/>
      <c r="H259" s="74">
        <v>429</v>
      </c>
      <c r="I259" s="74">
        <v>624</v>
      </c>
      <c r="J259" s="74">
        <v>770</v>
      </c>
      <c r="K259" s="74">
        <v>981</v>
      </c>
      <c r="L259" s="74">
        <v>916</v>
      </c>
      <c r="M259" s="74">
        <v>546</v>
      </c>
      <c r="N259" s="76" cm="1">
        <f t="array" ref="N259">SUM((H259:L259)/5)</f>
        <v>744</v>
      </c>
      <c r="O259" s="74">
        <v>940</v>
      </c>
      <c r="P259" s="66"/>
      <c r="Q259" s="77">
        <v>50.334000000000003</v>
      </c>
      <c r="R259" s="77">
        <v>63.256999999999998</v>
      </c>
      <c r="S259" s="77">
        <v>0.441</v>
      </c>
      <c r="T259" s="77">
        <v>0.441</v>
      </c>
      <c r="U259" s="77">
        <f t="shared" si="32"/>
        <v>376</v>
      </c>
      <c r="V259" s="77">
        <f t="shared" si="33"/>
        <v>564</v>
      </c>
      <c r="W259" s="66"/>
      <c r="X259" s="77" t="s">
        <v>257</v>
      </c>
      <c r="Y259" s="77" t="s">
        <v>278</v>
      </c>
      <c r="Z259" s="79">
        <f>SUM(26.7312+25.10013)/2</f>
        <v>25.915665000000001</v>
      </c>
      <c r="AA259" s="80">
        <f t="shared" si="31"/>
        <v>42.760847249999998</v>
      </c>
      <c r="AB259" s="66"/>
      <c r="AC259" s="81">
        <v>365</v>
      </c>
      <c r="AD259" s="82">
        <f t="shared" si="34"/>
        <v>115.7603</v>
      </c>
      <c r="AE259" s="82">
        <f t="shared" si="35"/>
        <v>126.64049999999999</v>
      </c>
      <c r="AF259" s="82">
        <f t="shared" si="36"/>
        <v>97.44</v>
      </c>
      <c r="AG259" s="82">
        <f t="shared" si="36"/>
        <v>241.17</v>
      </c>
      <c r="AH259" s="114"/>
      <c r="AI259" s="114"/>
      <c r="AJ259" s="83">
        <f t="shared" si="37"/>
        <v>581.01080000000002</v>
      </c>
      <c r="AK259" s="82"/>
      <c r="AL259" s="84"/>
      <c r="AM259" s="66"/>
    </row>
    <row r="260" spans="3:39" ht="60" x14ac:dyDescent="0.3">
      <c r="C260" s="41" t="s">
        <v>277</v>
      </c>
      <c r="D260" s="41" t="s">
        <v>124</v>
      </c>
      <c r="E260" s="42" t="s">
        <v>88</v>
      </c>
      <c r="G260" s="66"/>
      <c r="H260" s="74">
        <v>229</v>
      </c>
      <c r="I260" s="74">
        <v>782</v>
      </c>
      <c r="J260" s="74">
        <v>835</v>
      </c>
      <c r="K260" s="74">
        <v>966</v>
      </c>
      <c r="L260" s="74">
        <v>872</v>
      </c>
      <c r="M260" s="74">
        <v>421</v>
      </c>
      <c r="N260" s="76" cm="1">
        <f t="array" ref="N260">SUM((H260:L260)/5)</f>
        <v>736.8</v>
      </c>
      <c r="O260" s="74">
        <v>900</v>
      </c>
      <c r="P260" s="66"/>
      <c r="Q260" s="77">
        <v>50.334000000000003</v>
      </c>
      <c r="R260" s="77">
        <v>63.256999999999998</v>
      </c>
      <c r="S260" s="77">
        <v>0.441</v>
      </c>
      <c r="T260" s="77">
        <v>0.441</v>
      </c>
      <c r="U260" s="77">
        <f t="shared" si="32"/>
        <v>360</v>
      </c>
      <c r="V260" s="77">
        <f t="shared" si="33"/>
        <v>540</v>
      </c>
      <c r="W260" s="66"/>
      <c r="X260" s="77" t="s">
        <v>279</v>
      </c>
      <c r="Y260" s="77" t="s">
        <v>280</v>
      </c>
      <c r="Z260" s="79">
        <f>SUM(26.70178+25.22061)/2</f>
        <v>25.961195</v>
      </c>
      <c r="AA260" s="80">
        <f t="shared" ref="AA260:AA323" si="38">SUM(Z260+Z260*$AA$4)</f>
        <v>42.835971749999999</v>
      </c>
      <c r="AB260" s="66"/>
      <c r="AC260" s="81">
        <v>365</v>
      </c>
      <c r="AD260" s="82">
        <f t="shared" si="34"/>
        <v>115.7603</v>
      </c>
      <c r="AE260" s="82">
        <f t="shared" si="35"/>
        <v>126.64049999999999</v>
      </c>
      <c r="AF260" s="82">
        <f t="shared" si="36"/>
        <v>93.46</v>
      </c>
      <c r="AG260" s="82">
        <f t="shared" si="36"/>
        <v>231.31</v>
      </c>
      <c r="AH260" s="114"/>
      <c r="AI260" s="114"/>
      <c r="AJ260" s="83">
        <f t="shared" si="37"/>
        <v>567.17079999999999</v>
      </c>
      <c r="AK260" s="82"/>
      <c r="AL260" s="84"/>
      <c r="AM260" s="66"/>
    </row>
    <row r="261" spans="3:39" ht="15.6" x14ac:dyDescent="0.3">
      <c r="C261" s="41" t="s">
        <v>617</v>
      </c>
      <c r="D261" s="41" t="s">
        <v>124</v>
      </c>
      <c r="E261" s="42" t="s">
        <v>88</v>
      </c>
      <c r="G261" s="66"/>
      <c r="H261" s="74">
        <v>11</v>
      </c>
      <c r="I261" s="74">
        <v>10</v>
      </c>
      <c r="J261" s="74">
        <v>8</v>
      </c>
      <c r="K261" s="74">
        <v>12</v>
      </c>
      <c r="L261" s="74">
        <v>8</v>
      </c>
      <c r="M261" s="74">
        <v>5</v>
      </c>
      <c r="N261" s="76" cm="1">
        <f t="array" ref="N261">SUM((H261:L261)/5)</f>
        <v>9.8000000000000007</v>
      </c>
      <c r="O261" s="74">
        <v>10</v>
      </c>
      <c r="P261" s="66"/>
      <c r="Q261" s="77">
        <v>49.308</v>
      </c>
      <c r="R261" s="77">
        <v>72.016000000000005</v>
      </c>
      <c r="S261" s="77">
        <v>0.441</v>
      </c>
      <c r="T261" s="77">
        <v>0.441</v>
      </c>
      <c r="U261" s="77">
        <f t="shared" si="32"/>
        <v>4</v>
      </c>
      <c r="V261" s="77">
        <f t="shared" si="33"/>
        <v>6</v>
      </c>
      <c r="W261" s="66"/>
      <c r="X261" s="77">
        <v>15.868</v>
      </c>
      <c r="Y261" s="77">
        <v>27.110099999999999</v>
      </c>
      <c r="Z261" s="79">
        <v>27.110099999999999</v>
      </c>
      <c r="AA261" s="80">
        <f t="shared" si="38"/>
        <v>44.731665</v>
      </c>
      <c r="AB261" s="66"/>
      <c r="AC261" s="81">
        <v>365</v>
      </c>
      <c r="AD261" s="82">
        <f t="shared" si="34"/>
        <v>131.7893</v>
      </c>
      <c r="AE261" s="82">
        <f t="shared" si="35"/>
        <v>144.17600000000002</v>
      </c>
      <c r="AF261" s="82">
        <f t="shared" si="36"/>
        <v>1.08</v>
      </c>
      <c r="AG261" s="82">
        <f t="shared" si="36"/>
        <v>2.68</v>
      </c>
      <c r="AH261" s="114"/>
      <c r="AI261" s="114"/>
      <c r="AJ261" s="83">
        <f t="shared" si="37"/>
        <v>279.7253</v>
      </c>
      <c r="AK261" s="82"/>
      <c r="AL261" s="84"/>
      <c r="AM261" s="66"/>
    </row>
    <row r="262" spans="3:39" ht="75" x14ac:dyDescent="0.3">
      <c r="C262" s="41" t="s">
        <v>617</v>
      </c>
      <c r="D262" s="41" t="s">
        <v>124</v>
      </c>
      <c r="E262" s="42" t="s">
        <v>88</v>
      </c>
      <c r="G262" s="66"/>
      <c r="H262" s="74">
        <v>2570</v>
      </c>
      <c r="I262" s="74">
        <v>2808</v>
      </c>
      <c r="J262" s="74">
        <v>2292</v>
      </c>
      <c r="K262" s="74">
        <v>1777</v>
      </c>
      <c r="L262" s="74">
        <v>1628</v>
      </c>
      <c r="M262" s="74">
        <v>726</v>
      </c>
      <c r="N262" s="76" cm="1">
        <f t="array" ref="N262">SUM((H262:L262)/5)</f>
        <v>2215</v>
      </c>
      <c r="O262" s="74">
        <v>2200</v>
      </c>
      <c r="P262" s="66"/>
      <c r="Q262" s="77">
        <v>50.334000000000003</v>
      </c>
      <c r="R262" s="77">
        <v>63.256999999999998</v>
      </c>
      <c r="S262" s="77">
        <v>0.441</v>
      </c>
      <c r="T262" s="77">
        <v>0.441</v>
      </c>
      <c r="U262" s="77">
        <f t="shared" si="32"/>
        <v>880</v>
      </c>
      <c r="V262" s="77">
        <f t="shared" si="33"/>
        <v>1320</v>
      </c>
      <c r="W262" s="66"/>
      <c r="X262" s="77" t="s">
        <v>268</v>
      </c>
      <c r="Y262" s="77" t="s">
        <v>281</v>
      </c>
      <c r="Z262" s="79">
        <f>SUM(27.3119+24.88113+25.20063)/3</f>
        <v>25.797886666666667</v>
      </c>
      <c r="AA262" s="80">
        <f t="shared" si="38"/>
        <v>42.566513</v>
      </c>
      <c r="AB262" s="66"/>
      <c r="AC262" s="81">
        <v>365</v>
      </c>
      <c r="AD262" s="82">
        <f t="shared" si="34"/>
        <v>115.7603</v>
      </c>
      <c r="AE262" s="82">
        <f t="shared" si="35"/>
        <v>126.64049999999999</v>
      </c>
      <c r="AF262" s="82">
        <f t="shared" si="36"/>
        <v>227.02</v>
      </c>
      <c r="AG262" s="82">
        <f t="shared" si="36"/>
        <v>561.88</v>
      </c>
      <c r="AH262" s="114"/>
      <c r="AI262" s="114"/>
      <c r="AJ262" s="83">
        <f t="shared" si="37"/>
        <v>1031.3008</v>
      </c>
      <c r="AK262" s="82"/>
      <c r="AL262" s="84"/>
      <c r="AM262" s="66"/>
    </row>
    <row r="263" spans="3:39" ht="15.6" x14ac:dyDescent="0.3">
      <c r="C263" s="41" t="s">
        <v>618</v>
      </c>
      <c r="D263" s="41" t="s">
        <v>124</v>
      </c>
      <c r="E263" s="42" t="s">
        <v>88</v>
      </c>
      <c r="G263" s="66"/>
      <c r="H263" s="74">
        <v>36</v>
      </c>
      <c r="I263" s="74">
        <v>38</v>
      </c>
      <c r="J263" s="74">
        <v>39</v>
      </c>
      <c r="K263" s="74">
        <v>37</v>
      </c>
      <c r="L263" s="74">
        <v>91</v>
      </c>
      <c r="M263" s="74">
        <v>57</v>
      </c>
      <c r="N263" s="76" cm="1">
        <f t="array" ref="N263">SUM((H263:L263)/5)</f>
        <v>48.2</v>
      </c>
      <c r="O263" s="74">
        <v>65</v>
      </c>
      <c r="P263" s="66"/>
      <c r="Q263" s="77">
        <v>49.828000000000003</v>
      </c>
      <c r="R263" s="77">
        <v>63.256999999999998</v>
      </c>
      <c r="S263" s="77">
        <v>0.441</v>
      </c>
      <c r="T263" s="77">
        <v>0.441</v>
      </c>
      <c r="U263" s="77">
        <f t="shared" si="32"/>
        <v>26</v>
      </c>
      <c r="V263" s="77">
        <f t="shared" si="33"/>
        <v>39</v>
      </c>
      <c r="W263" s="66"/>
      <c r="X263" s="77">
        <v>15.061999999999999</v>
      </c>
      <c r="Y263" s="77">
        <v>26.504490000000001</v>
      </c>
      <c r="Z263" s="79">
        <v>26.504490000000001</v>
      </c>
      <c r="AA263" s="80">
        <f t="shared" si="38"/>
        <v>43.732408500000005</v>
      </c>
      <c r="AB263" s="66"/>
      <c r="AC263" s="81">
        <v>365</v>
      </c>
      <c r="AD263" s="82">
        <f t="shared" si="34"/>
        <v>115.7603</v>
      </c>
      <c r="AE263" s="82">
        <f t="shared" si="35"/>
        <v>126.64049999999999</v>
      </c>
      <c r="AF263" s="82">
        <f t="shared" si="36"/>
        <v>6.89</v>
      </c>
      <c r="AG263" s="82">
        <f t="shared" si="36"/>
        <v>17.059999999999999</v>
      </c>
      <c r="AH263" s="114"/>
      <c r="AI263" s="114"/>
      <c r="AJ263" s="83">
        <f t="shared" si="37"/>
        <v>266.35079999999999</v>
      </c>
      <c r="AK263" s="82"/>
      <c r="AL263" s="84"/>
      <c r="AM263" s="66"/>
    </row>
    <row r="264" spans="3:39" ht="45" x14ac:dyDescent="0.3">
      <c r="C264" s="41" t="s">
        <v>619</v>
      </c>
      <c r="D264" s="41" t="s">
        <v>124</v>
      </c>
      <c r="E264" s="42" t="s">
        <v>88</v>
      </c>
      <c r="G264" s="66"/>
      <c r="H264" s="74">
        <v>1883</v>
      </c>
      <c r="I264" s="74">
        <v>1435</v>
      </c>
      <c r="J264" s="74">
        <v>1743</v>
      </c>
      <c r="K264" s="74">
        <v>2963</v>
      </c>
      <c r="L264" s="74">
        <v>2493</v>
      </c>
      <c r="M264" s="74">
        <v>174</v>
      </c>
      <c r="N264" s="76" cm="1">
        <f t="array" ref="N264">SUM((H264:L264)/5)</f>
        <v>2103.4</v>
      </c>
      <c r="O264" s="74">
        <v>2600</v>
      </c>
      <c r="P264" s="66"/>
      <c r="Q264" s="77">
        <v>49.325000000000003</v>
      </c>
      <c r="R264" s="77">
        <v>72.016000000000005</v>
      </c>
      <c r="S264" s="77">
        <v>0.441</v>
      </c>
      <c r="T264" s="77">
        <v>0.441</v>
      </c>
      <c r="U264" s="77">
        <f t="shared" si="32"/>
        <v>1040</v>
      </c>
      <c r="V264" s="77">
        <f t="shared" si="33"/>
        <v>1560</v>
      </c>
      <c r="W264" s="66"/>
      <c r="X264" s="77" t="s">
        <v>259</v>
      </c>
      <c r="Y264" s="77" t="s">
        <v>282</v>
      </c>
      <c r="Z264" s="79">
        <f>SUM(27.2142+25.09082)/2</f>
        <v>26.152509999999999</v>
      </c>
      <c r="AA264" s="80">
        <f t="shared" si="38"/>
        <v>43.151641499999997</v>
      </c>
      <c r="AB264" s="66"/>
      <c r="AC264" s="81">
        <v>365</v>
      </c>
      <c r="AD264" s="82">
        <f t="shared" si="34"/>
        <v>131.7893</v>
      </c>
      <c r="AE264" s="82">
        <f t="shared" si="35"/>
        <v>144.17600000000002</v>
      </c>
      <c r="AF264" s="82">
        <f t="shared" si="36"/>
        <v>271.99</v>
      </c>
      <c r="AG264" s="82">
        <f t="shared" si="36"/>
        <v>673.17</v>
      </c>
      <c r="AH264" s="114"/>
      <c r="AI264" s="114"/>
      <c r="AJ264" s="83">
        <f t="shared" si="37"/>
        <v>1221.1253000000002</v>
      </c>
      <c r="AK264" s="82"/>
      <c r="AL264" s="84"/>
      <c r="AM264" s="66"/>
    </row>
    <row r="265" spans="3:39" ht="60" x14ac:dyDescent="0.3">
      <c r="C265" s="41" t="s">
        <v>619</v>
      </c>
      <c r="D265" s="41" t="s">
        <v>124</v>
      </c>
      <c r="E265" s="42" t="s">
        <v>88</v>
      </c>
      <c r="G265" s="66"/>
      <c r="H265" s="74">
        <v>3349</v>
      </c>
      <c r="I265" s="74">
        <v>2701</v>
      </c>
      <c r="J265" s="74">
        <v>2641</v>
      </c>
      <c r="K265" s="74">
        <v>1668</v>
      </c>
      <c r="L265" s="74">
        <v>1434</v>
      </c>
      <c r="M265" s="74">
        <v>874</v>
      </c>
      <c r="N265" s="76" cm="1">
        <f t="array" ref="N265">SUM((H265:L265)/5)</f>
        <v>2358.6000000000004</v>
      </c>
      <c r="O265" s="74">
        <v>2000</v>
      </c>
      <c r="P265" s="66"/>
      <c r="Q265" s="77">
        <v>49.325000000000003</v>
      </c>
      <c r="R265" s="77">
        <v>72.016000000000005</v>
      </c>
      <c r="S265" s="77">
        <v>0.441</v>
      </c>
      <c r="T265" s="77">
        <v>0.441</v>
      </c>
      <c r="U265" s="77">
        <f t="shared" si="32"/>
        <v>800</v>
      </c>
      <c r="V265" s="77">
        <f t="shared" si="33"/>
        <v>1200</v>
      </c>
      <c r="W265" s="66"/>
      <c r="X265" s="77" t="s">
        <v>259</v>
      </c>
      <c r="Y265" s="77" t="s">
        <v>283</v>
      </c>
      <c r="Z265" s="79">
        <f>SUM(27.16685+25.04324)/2</f>
        <v>26.105045</v>
      </c>
      <c r="AA265" s="80">
        <f t="shared" si="38"/>
        <v>43.073324249999999</v>
      </c>
      <c r="AB265" s="66"/>
      <c r="AC265" s="81">
        <v>365</v>
      </c>
      <c r="AD265" s="82">
        <f t="shared" si="34"/>
        <v>131.7893</v>
      </c>
      <c r="AE265" s="82">
        <f t="shared" si="35"/>
        <v>144.17600000000002</v>
      </c>
      <c r="AF265" s="82">
        <f t="shared" si="36"/>
        <v>208.84</v>
      </c>
      <c r="AG265" s="82">
        <f t="shared" si="36"/>
        <v>516.88</v>
      </c>
      <c r="AH265" s="114"/>
      <c r="AI265" s="114"/>
      <c r="AJ265" s="83">
        <f t="shared" si="37"/>
        <v>1001.6853</v>
      </c>
      <c r="AK265" s="82"/>
      <c r="AL265" s="84"/>
      <c r="AM265" s="66"/>
    </row>
    <row r="266" spans="3:39" ht="60" x14ac:dyDescent="0.3">
      <c r="C266" s="41" t="s">
        <v>619</v>
      </c>
      <c r="D266" s="41" t="s">
        <v>124</v>
      </c>
      <c r="E266" s="42" t="s">
        <v>88</v>
      </c>
      <c r="G266" s="66"/>
      <c r="H266" s="74">
        <v>1856</v>
      </c>
      <c r="I266" s="74">
        <v>1397</v>
      </c>
      <c r="J266" s="74">
        <v>1558</v>
      </c>
      <c r="K266" s="74">
        <v>1485</v>
      </c>
      <c r="L266" s="74">
        <v>1234</v>
      </c>
      <c r="M266" s="74">
        <v>51</v>
      </c>
      <c r="N266" s="76" cm="1">
        <f t="array" ref="N266">SUM((H266:L266)/5)</f>
        <v>1505.9999999999998</v>
      </c>
      <c r="O266" s="74">
        <v>1500</v>
      </c>
      <c r="P266" s="66"/>
      <c r="Q266" s="77">
        <v>49.325000000000003</v>
      </c>
      <c r="R266" s="77">
        <v>72.016000000000005</v>
      </c>
      <c r="S266" s="77">
        <v>0.441</v>
      </c>
      <c r="T266" s="77">
        <v>0.441</v>
      </c>
      <c r="U266" s="77">
        <f t="shared" si="32"/>
        <v>600</v>
      </c>
      <c r="V266" s="77">
        <f t="shared" si="33"/>
        <v>900</v>
      </c>
      <c r="W266" s="66"/>
      <c r="X266" s="77" t="s">
        <v>259</v>
      </c>
      <c r="Y266" s="77" t="s">
        <v>284</v>
      </c>
      <c r="Z266" s="79">
        <f>SUM(27.18615+25.06233)/2</f>
        <v>26.12424</v>
      </c>
      <c r="AA266" s="80">
        <f t="shared" si="38"/>
        <v>43.104996</v>
      </c>
      <c r="AB266" s="66"/>
      <c r="AC266" s="81">
        <v>365</v>
      </c>
      <c r="AD266" s="82">
        <f t="shared" si="34"/>
        <v>131.7893</v>
      </c>
      <c r="AE266" s="82">
        <f t="shared" si="35"/>
        <v>144.17600000000002</v>
      </c>
      <c r="AF266" s="82">
        <f t="shared" si="36"/>
        <v>156.75</v>
      </c>
      <c r="AG266" s="82">
        <f t="shared" si="36"/>
        <v>387.94</v>
      </c>
      <c r="AH266" s="114"/>
      <c r="AI266" s="114"/>
      <c r="AJ266" s="83">
        <f t="shared" si="37"/>
        <v>820.65530000000001</v>
      </c>
      <c r="AK266" s="82"/>
      <c r="AL266" s="84"/>
      <c r="AM266" s="66"/>
    </row>
    <row r="267" spans="3:39" ht="60" x14ac:dyDescent="0.3">
      <c r="C267" s="41" t="s">
        <v>619</v>
      </c>
      <c r="D267" s="41" t="s">
        <v>124</v>
      </c>
      <c r="E267" s="42" t="s">
        <v>88</v>
      </c>
      <c r="G267" s="66"/>
      <c r="H267" s="74">
        <v>1332</v>
      </c>
      <c r="I267" s="74">
        <v>1200</v>
      </c>
      <c r="J267" s="74">
        <v>1139</v>
      </c>
      <c r="K267" s="74">
        <v>1174</v>
      </c>
      <c r="L267" s="74">
        <v>1189</v>
      </c>
      <c r="M267" s="74">
        <v>428</v>
      </c>
      <c r="N267" s="76" cm="1">
        <f t="array" ref="N267">SUM((H267:L267)/5)</f>
        <v>1206.8</v>
      </c>
      <c r="O267" s="74">
        <v>1200</v>
      </c>
      <c r="P267" s="66"/>
      <c r="Q267" s="77">
        <v>49.325000000000003</v>
      </c>
      <c r="R267" s="77">
        <v>72.016000000000005</v>
      </c>
      <c r="S267" s="77">
        <v>0.441</v>
      </c>
      <c r="T267" s="77">
        <v>0.441</v>
      </c>
      <c r="U267" s="77">
        <f t="shared" si="32"/>
        <v>480</v>
      </c>
      <c r="V267" s="77">
        <f t="shared" si="33"/>
        <v>720</v>
      </c>
      <c r="W267" s="66"/>
      <c r="X267" s="77" t="s">
        <v>259</v>
      </c>
      <c r="Y267" s="77" t="s">
        <v>285</v>
      </c>
      <c r="Z267" s="79">
        <f>SUM(27.19732+24.0737)/2</f>
        <v>25.63551</v>
      </c>
      <c r="AA267" s="80">
        <f t="shared" si="38"/>
        <v>42.298591500000001</v>
      </c>
      <c r="AB267" s="66"/>
      <c r="AC267" s="81">
        <v>365</v>
      </c>
      <c r="AD267" s="82">
        <f t="shared" si="34"/>
        <v>131.7893</v>
      </c>
      <c r="AE267" s="82">
        <f t="shared" si="35"/>
        <v>144.17600000000002</v>
      </c>
      <c r="AF267" s="82">
        <f t="shared" si="36"/>
        <v>123.05</v>
      </c>
      <c r="AG267" s="82">
        <f t="shared" si="36"/>
        <v>304.55</v>
      </c>
      <c r="AH267" s="114"/>
      <c r="AI267" s="114"/>
      <c r="AJ267" s="83">
        <f t="shared" si="37"/>
        <v>703.56529999999998</v>
      </c>
      <c r="AK267" s="82"/>
      <c r="AL267" s="84"/>
      <c r="AM267" s="66"/>
    </row>
    <row r="268" spans="3:39" ht="15.6" x14ac:dyDescent="0.3">
      <c r="C268" s="41" t="s">
        <v>620</v>
      </c>
      <c r="D268" s="41" t="s">
        <v>124</v>
      </c>
      <c r="E268" s="42" t="s">
        <v>88</v>
      </c>
      <c r="G268" s="66"/>
      <c r="H268" s="74">
        <v>1081</v>
      </c>
      <c r="I268" s="74">
        <v>898</v>
      </c>
      <c r="J268" s="74">
        <v>863</v>
      </c>
      <c r="K268" s="74">
        <v>964</v>
      </c>
      <c r="L268" s="74">
        <v>607</v>
      </c>
      <c r="M268" s="74">
        <v>478</v>
      </c>
      <c r="N268" s="76" cm="1">
        <f t="array" ref="N268">SUM((H268:L268)/5)</f>
        <v>882.6</v>
      </c>
      <c r="O268" s="74">
        <v>880</v>
      </c>
      <c r="P268" s="66"/>
      <c r="Q268" s="77">
        <v>49.828000000000003</v>
      </c>
      <c r="R268" s="77">
        <v>63.256999999999998</v>
      </c>
      <c r="S268" s="77">
        <v>0.441</v>
      </c>
      <c r="T268" s="77">
        <v>0.441</v>
      </c>
      <c r="U268" s="77">
        <f t="shared" si="32"/>
        <v>352</v>
      </c>
      <c r="V268" s="77">
        <f t="shared" si="33"/>
        <v>528</v>
      </c>
      <c r="W268" s="66"/>
      <c r="X268" s="77">
        <v>15.061999999999999</v>
      </c>
      <c r="Y268" s="77">
        <v>26.506530000000001</v>
      </c>
      <c r="Z268" s="79">
        <v>26.506530000000001</v>
      </c>
      <c r="AA268" s="80">
        <f t="shared" si="38"/>
        <v>43.735774500000005</v>
      </c>
      <c r="AB268" s="66"/>
      <c r="AC268" s="81">
        <v>365</v>
      </c>
      <c r="AD268" s="82">
        <f t="shared" si="34"/>
        <v>115.7603</v>
      </c>
      <c r="AE268" s="82">
        <f t="shared" si="35"/>
        <v>126.64049999999999</v>
      </c>
      <c r="AF268" s="82">
        <f t="shared" si="36"/>
        <v>93.3</v>
      </c>
      <c r="AG268" s="82">
        <f t="shared" si="36"/>
        <v>230.92</v>
      </c>
      <c r="AH268" s="114"/>
      <c r="AI268" s="114"/>
      <c r="AJ268" s="83">
        <f t="shared" si="37"/>
        <v>566.62080000000003</v>
      </c>
      <c r="AK268" s="82"/>
      <c r="AL268" s="84"/>
      <c r="AM268" s="66"/>
    </row>
    <row r="269" spans="3:39" ht="15.6" x14ac:dyDescent="0.3">
      <c r="C269" s="41" t="s">
        <v>620</v>
      </c>
      <c r="D269" s="41" t="s">
        <v>124</v>
      </c>
      <c r="E269" s="42" t="s">
        <v>88</v>
      </c>
      <c r="G269" s="66"/>
      <c r="H269" s="74">
        <v>913</v>
      </c>
      <c r="I269" s="74">
        <v>972</v>
      </c>
      <c r="J269" s="74">
        <v>885</v>
      </c>
      <c r="K269" s="74">
        <v>953</v>
      </c>
      <c r="L269" s="74">
        <v>756</v>
      </c>
      <c r="M269" s="74">
        <v>373</v>
      </c>
      <c r="N269" s="76" cm="1">
        <f t="array" ref="N269">SUM((H269:L269)/5)</f>
        <v>895.8</v>
      </c>
      <c r="O269" s="74">
        <v>880</v>
      </c>
      <c r="P269" s="66"/>
      <c r="Q269" s="77">
        <v>49.828000000000003</v>
      </c>
      <c r="R269" s="77">
        <v>63.256999999999998</v>
      </c>
      <c r="S269" s="77">
        <v>0.441</v>
      </c>
      <c r="T269" s="77">
        <v>0.441</v>
      </c>
      <c r="U269" s="77">
        <f t="shared" si="32"/>
        <v>352</v>
      </c>
      <c r="V269" s="77">
        <f t="shared" si="33"/>
        <v>528</v>
      </c>
      <c r="W269" s="66"/>
      <c r="X269" s="77">
        <v>15.061999999999999</v>
      </c>
      <c r="Y269" s="77">
        <v>26.50637</v>
      </c>
      <c r="Z269" s="79">
        <v>26.50637</v>
      </c>
      <c r="AA269" s="80">
        <f t="shared" si="38"/>
        <v>43.735510500000004</v>
      </c>
      <c r="AB269" s="66"/>
      <c r="AC269" s="81">
        <v>365</v>
      </c>
      <c r="AD269" s="82">
        <f t="shared" si="34"/>
        <v>115.7603</v>
      </c>
      <c r="AE269" s="82">
        <f t="shared" si="35"/>
        <v>126.64049999999999</v>
      </c>
      <c r="AF269" s="82">
        <f t="shared" si="36"/>
        <v>93.3</v>
      </c>
      <c r="AG269" s="82">
        <f t="shared" si="36"/>
        <v>230.92</v>
      </c>
      <c r="AH269" s="114"/>
      <c r="AI269" s="114"/>
      <c r="AJ269" s="83">
        <f t="shared" si="37"/>
        <v>566.62080000000003</v>
      </c>
      <c r="AK269" s="82"/>
      <c r="AL269" s="84"/>
      <c r="AM269" s="66"/>
    </row>
    <row r="270" spans="3:39" ht="15.6" x14ac:dyDescent="0.3">
      <c r="C270" s="41" t="s">
        <v>621</v>
      </c>
      <c r="D270" s="41" t="s">
        <v>124</v>
      </c>
      <c r="E270" s="42" t="s">
        <v>88</v>
      </c>
      <c r="G270" s="66"/>
      <c r="H270" s="74">
        <v>1057</v>
      </c>
      <c r="I270" s="74">
        <v>2162</v>
      </c>
      <c r="J270" s="74">
        <v>2274</v>
      </c>
      <c r="K270" s="74">
        <v>1936</v>
      </c>
      <c r="L270" s="74">
        <v>1640</v>
      </c>
      <c r="M270" s="74">
        <v>1004</v>
      </c>
      <c r="N270" s="76" cm="1">
        <f t="array" ref="N270">SUM((H270:L270)/5)</f>
        <v>1813.8</v>
      </c>
      <c r="O270" s="74">
        <v>1820</v>
      </c>
      <c r="P270" s="66"/>
      <c r="Q270" s="77">
        <v>49.308</v>
      </c>
      <c r="R270" s="77">
        <v>72.016000000000005</v>
      </c>
      <c r="S270" s="77">
        <v>0.441</v>
      </c>
      <c r="T270" s="77">
        <v>0.441</v>
      </c>
      <c r="U270" s="77">
        <f t="shared" si="32"/>
        <v>728</v>
      </c>
      <c r="V270" s="77">
        <f t="shared" si="33"/>
        <v>1092</v>
      </c>
      <c r="W270" s="66"/>
      <c r="X270" s="77">
        <v>15.868</v>
      </c>
      <c r="Y270" s="77">
        <v>27.082630000000002</v>
      </c>
      <c r="Z270" s="79">
        <v>27.082630000000002</v>
      </c>
      <c r="AA270" s="80">
        <f t="shared" si="38"/>
        <v>44.686339500000003</v>
      </c>
      <c r="AB270" s="66"/>
      <c r="AC270" s="81">
        <v>365</v>
      </c>
      <c r="AD270" s="82">
        <f t="shared" si="34"/>
        <v>131.7893</v>
      </c>
      <c r="AE270" s="82">
        <f t="shared" si="35"/>
        <v>144.17600000000002</v>
      </c>
      <c r="AF270" s="82">
        <f t="shared" si="36"/>
        <v>197.16</v>
      </c>
      <c r="AG270" s="82">
        <f t="shared" si="36"/>
        <v>487.97</v>
      </c>
      <c r="AH270" s="114"/>
      <c r="AI270" s="114"/>
      <c r="AJ270" s="83">
        <f t="shared" si="37"/>
        <v>961.09530000000007</v>
      </c>
      <c r="AK270" s="82"/>
      <c r="AL270" s="84"/>
      <c r="AM270" s="66"/>
    </row>
    <row r="271" spans="3:39" ht="15.6" x14ac:dyDescent="0.3">
      <c r="C271" s="41" t="s">
        <v>286</v>
      </c>
      <c r="D271" s="41" t="s">
        <v>124</v>
      </c>
      <c r="E271" s="42" t="s">
        <v>88</v>
      </c>
      <c r="G271" s="66"/>
      <c r="H271" s="74">
        <v>3164</v>
      </c>
      <c r="I271" s="74">
        <v>2808</v>
      </c>
      <c r="J271" s="74">
        <v>2074</v>
      </c>
      <c r="K271" s="74">
        <v>1627</v>
      </c>
      <c r="L271" s="74">
        <v>2545</v>
      </c>
      <c r="M271" s="74">
        <v>784</v>
      </c>
      <c r="N271" s="76" cm="1">
        <f t="array" ref="N271">SUM((H271:L271)/5)</f>
        <v>2443.6</v>
      </c>
      <c r="O271" s="74">
        <v>2450</v>
      </c>
      <c r="P271" s="66"/>
      <c r="Q271" s="77">
        <v>49.828000000000003</v>
      </c>
      <c r="R271" s="77">
        <v>63.256999999999998</v>
      </c>
      <c r="S271" s="77">
        <v>0.441</v>
      </c>
      <c r="T271" s="77">
        <v>0.441</v>
      </c>
      <c r="U271" s="77">
        <f t="shared" si="32"/>
        <v>980</v>
      </c>
      <c r="V271" s="77">
        <f t="shared" si="33"/>
        <v>1470</v>
      </c>
      <c r="W271" s="66"/>
      <c r="X271" s="77">
        <v>15.061999999999999</v>
      </c>
      <c r="Y271" s="77">
        <v>26.50639</v>
      </c>
      <c r="Z271" s="79">
        <v>26.50639</v>
      </c>
      <c r="AA271" s="80">
        <f t="shared" si="38"/>
        <v>43.735543499999999</v>
      </c>
      <c r="AB271" s="66"/>
      <c r="AC271" s="81">
        <v>365</v>
      </c>
      <c r="AD271" s="82">
        <f t="shared" si="34"/>
        <v>115.7603</v>
      </c>
      <c r="AE271" s="82">
        <f t="shared" si="35"/>
        <v>126.64049999999999</v>
      </c>
      <c r="AF271" s="82">
        <f t="shared" si="36"/>
        <v>259.76</v>
      </c>
      <c r="AG271" s="82">
        <f t="shared" si="36"/>
        <v>642.91</v>
      </c>
      <c r="AH271" s="114"/>
      <c r="AI271" s="114"/>
      <c r="AJ271" s="83">
        <f t="shared" si="37"/>
        <v>1145.0708</v>
      </c>
      <c r="AK271" s="82"/>
      <c r="AL271" s="84"/>
      <c r="AM271" s="66"/>
    </row>
    <row r="272" spans="3:39" ht="15.6" x14ac:dyDescent="0.3">
      <c r="C272" s="41" t="s">
        <v>622</v>
      </c>
      <c r="D272" s="41" t="s">
        <v>124</v>
      </c>
      <c r="E272" s="42" t="s">
        <v>88</v>
      </c>
      <c r="G272" s="66"/>
      <c r="H272" s="74">
        <v>1644</v>
      </c>
      <c r="I272" s="74">
        <v>1626</v>
      </c>
      <c r="J272" s="74">
        <v>1531</v>
      </c>
      <c r="K272" s="74">
        <v>3287</v>
      </c>
      <c r="L272" s="74">
        <v>1808</v>
      </c>
      <c r="M272" s="74">
        <v>796</v>
      </c>
      <c r="N272" s="76" cm="1">
        <f t="array" ref="N272">SUM((H272:L272)/5)</f>
        <v>1979.1999999999998</v>
      </c>
      <c r="O272" s="74">
        <v>2250</v>
      </c>
      <c r="P272" s="66"/>
      <c r="Q272" s="77">
        <v>49.308</v>
      </c>
      <c r="R272" s="77">
        <v>72.016000000000005</v>
      </c>
      <c r="S272" s="77">
        <v>0.441</v>
      </c>
      <c r="T272" s="77">
        <v>0.441</v>
      </c>
      <c r="U272" s="77">
        <f t="shared" si="32"/>
        <v>900</v>
      </c>
      <c r="V272" s="77">
        <f t="shared" si="33"/>
        <v>1350</v>
      </c>
      <c r="W272" s="66"/>
      <c r="X272" s="77">
        <v>15.868</v>
      </c>
      <c r="Y272" s="77">
        <v>27.082599999999999</v>
      </c>
      <c r="Z272" s="79">
        <v>27.082599999999999</v>
      </c>
      <c r="AA272" s="80">
        <f t="shared" si="38"/>
        <v>44.68629</v>
      </c>
      <c r="AB272" s="66"/>
      <c r="AC272" s="81">
        <v>365</v>
      </c>
      <c r="AD272" s="82">
        <f t="shared" si="34"/>
        <v>131.7893</v>
      </c>
      <c r="AE272" s="82">
        <f t="shared" si="35"/>
        <v>144.17600000000002</v>
      </c>
      <c r="AF272" s="82">
        <f t="shared" si="36"/>
        <v>243.74</v>
      </c>
      <c r="AG272" s="82">
        <f t="shared" si="36"/>
        <v>603.26</v>
      </c>
      <c r="AH272" s="114"/>
      <c r="AI272" s="114"/>
      <c r="AJ272" s="83">
        <f t="shared" si="37"/>
        <v>1122.9653000000001</v>
      </c>
      <c r="AK272" s="82"/>
      <c r="AL272" s="84"/>
      <c r="AM272" s="66"/>
    </row>
    <row r="273" spans="3:39" ht="15.6" x14ac:dyDescent="0.3">
      <c r="C273" s="41" t="s">
        <v>623</v>
      </c>
      <c r="D273" s="41" t="s">
        <v>124</v>
      </c>
      <c r="E273" s="42" t="s">
        <v>88</v>
      </c>
      <c r="G273" s="66"/>
      <c r="H273" s="74">
        <v>2224</v>
      </c>
      <c r="I273" s="74">
        <v>2575</v>
      </c>
      <c r="J273" s="74">
        <v>2790</v>
      </c>
      <c r="K273" s="74">
        <v>2835</v>
      </c>
      <c r="L273" s="74">
        <v>2656</v>
      </c>
      <c r="M273" s="74">
        <v>142</v>
      </c>
      <c r="N273" s="76" cm="1">
        <f t="array" ref="N273">SUM((H273:L273)/5)</f>
        <v>2616</v>
      </c>
      <c r="O273" s="74">
        <v>2700</v>
      </c>
      <c r="P273" s="66"/>
      <c r="Q273" s="77">
        <v>49.308</v>
      </c>
      <c r="R273" s="77">
        <v>72.016000000000005</v>
      </c>
      <c r="S273" s="77">
        <v>0.441</v>
      </c>
      <c r="T273" s="77">
        <v>0.441</v>
      </c>
      <c r="U273" s="77">
        <f t="shared" si="32"/>
        <v>1080</v>
      </c>
      <c r="V273" s="77">
        <f t="shared" si="33"/>
        <v>1620</v>
      </c>
      <c r="W273" s="66"/>
      <c r="X273" s="77">
        <v>15.868</v>
      </c>
      <c r="Y273" s="77">
        <v>27.082719999999998</v>
      </c>
      <c r="Z273" s="79">
        <v>27.082719999999998</v>
      </c>
      <c r="AA273" s="80">
        <f t="shared" si="38"/>
        <v>44.686487999999997</v>
      </c>
      <c r="AB273" s="66"/>
      <c r="AC273" s="81">
        <v>365</v>
      </c>
      <c r="AD273" s="82">
        <f t="shared" si="34"/>
        <v>131.7893</v>
      </c>
      <c r="AE273" s="82">
        <f t="shared" si="35"/>
        <v>144.17600000000002</v>
      </c>
      <c r="AF273" s="82">
        <f t="shared" si="36"/>
        <v>292.49</v>
      </c>
      <c r="AG273" s="82">
        <f t="shared" si="36"/>
        <v>723.92</v>
      </c>
      <c r="AH273" s="114"/>
      <c r="AI273" s="114"/>
      <c r="AJ273" s="83">
        <f t="shared" si="37"/>
        <v>1292.3753000000002</v>
      </c>
      <c r="AK273" s="82"/>
      <c r="AL273" s="84"/>
      <c r="AM273" s="66"/>
    </row>
    <row r="274" spans="3:39" ht="15.6" x14ac:dyDescent="0.3">
      <c r="C274" s="41" t="s">
        <v>624</v>
      </c>
      <c r="D274" s="41" t="s">
        <v>124</v>
      </c>
      <c r="E274" s="42" t="s">
        <v>88</v>
      </c>
      <c r="G274" s="66"/>
      <c r="H274" s="74">
        <v>2330</v>
      </c>
      <c r="I274" s="74">
        <v>2154</v>
      </c>
      <c r="J274" s="74">
        <v>2263</v>
      </c>
      <c r="K274" s="74">
        <v>2375</v>
      </c>
      <c r="L274" s="74">
        <v>2299</v>
      </c>
      <c r="M274" s="74">
        <v>98</v>
      </c>
      <c r="N274" s="76" cm="1">
        <f t="array" ref="N274">SUM((H274:L274)/5)</f>
        <v>2284.2000000000003</v>
      </c>
      <c r="O274" s="74">
        <v>2300</v>
      </c>
      <c r="P274" s="66"/>
      <c r="Q274" s="77">
        <v>49.308</v>
      </c>
      <c r="R274" s="77">
        <v>72.016000000000005</v>
      </c>
      <c r="S274" s="77">
        <v>0.441</v>
      </c>
      <c r="T274" s="77">
        <v>0.441</v>
      </c>
      <c r="U274" s="77">
        <f t="shared" si="32"/>
        <v>920</v>
      </c>
      <c r="V274" s="77">
        <f t="shared" si="33"/>
        <v>1380</v>
      </c>
      <c r="W274" s="66"/>
      <c r="X274" s="77">
        <v>15.868</v>
      </c>
      <c r="Y274" s="77">
        <v>27.08259</v>
      </c>
      <c r="Z274" s="79">
        <v>27.08259</v>
      </c>
      <c r="AA274" s="80">
        <f t="shared" si="38"/>
        <v>44.686273499999999</v>
      </c>
      <c r="AB274" s="66"/>
      <c r="AC274" s="81">
        <v>365</v>
      </c>
      <c r="AD274" s="82">
        <f t="shared" si="34"/>
        <v>131.7893</v>
      </c>
      <c r="AE274" s="82">
        <f t="shared" si="35"/>
        <v>144.17600000000002</v>
      </c>
      <c r="AF274" s="82">
        <f t="shared" si="36"/>
        <v>249.16</v>
      </c>
      <c r="AG274" s="82">
        <f t="shared" si="36"/>
        <v>616.66999999999996</v>
      </c>
      <c r="AH274" s="114"/>
      <c r="AI274" s="114"/>
      <c r="AJ274" s="83">
        <f t="shared" si="37"/>
        <v>1141.7953</v>
      </c>
      <c r="AK274" s="82"/>
      <c r="AL274" s="84"/>
      <c r="AM274" s="66"/>
    </row>
    <row r="275" spans="3:39" ht="15.6" x14ac:dyDescent="0.3">
      <c r="C275" s="41" t="s">
        <v>624</v>
      </c>
      <c r="D275" s="41" t="s">
        <v>124</v>
      </c>
      <c r="E275" s="42" t="s">
        <v>88</v>
      </c>
      <c r="G275" s="66"/>
      <c r="H275" s="74">
        <v>3792</v>
      </c>
      <c r="I275" s="74">
        <v>3661</v>
      </c>
      <c r="J275" s="74">
        <v>3059</v>
      </c>
      <c r="K275" s="74">
        <v>2530</v>
      </c>
      <c r="L275" s="74">
        <v>2771</v>
      </c>
      <c r="M275" s="74">
        <v>1212</v>
      </c>
      <c r="N275" s="76" cm="1">
        <f t="array" ref="N275">SUM((H275:L275)/5)</f>
        <v>3162.5999999999995</v>
      </c>
      <c r="O275" s="74">
        <v>2800</v>
      </c>
      <c r="P275" s="66"/>
      <c r="Q275" s="77">
        <v>49.308</v>
      </c>
      <c r="R275" s="77">
        <v>72.016000000000005</v>
      </c>
      <c r="S275" s="77">
        <v>0.441</v>
      </c>
      <c r="T275" s="77">
        <v>0.441</v>
      </c>
      <c r="U275" s="77">
        <f t="shared" si="32"/>
        <v>1120</v>
      </c>
      <c r="V275" s="77">
        <f t="shared" si="33"/>
        <v>1680</v>
      </c>
      <c r="W275" s="66"/>
      <c r="X275" s="77">
        <v>15.868</v>
      </c>
      <c r="Y275" s="77">
        <v>27.082820000000002</v>
      </c>
      <c r="Z275" s="79">
        <v>27.082820000000002</v>
      </c>
      <c r="AA275" s="80">
        <f t="shared" si="38"/>
        <v>44.686653000000007</v>
      </c>
      <c r="AB275" s="66"/>
      <c r="AC275" s="81">
        <v>365</v>
      </c>
      <c r="AD275" s="82">
        <f t="shared" si="34"/>
        <v>131.7893</v>
      </c>
      <c r="AE275" s="82">
        <f t="shared" si="35"/>
        <v>144.17600000000002</v>
      </c>
      <c r="AF275" s="82">
        <f t="shared" si="36"/>
        <v>303.33</v>
      </c>
      <c r="AG275" s="82">
        <f t="shared" si="36"/>
        <v>750.74</v>
      </c>
      <c r="AH275" s="114"/>
      <c r="AI275" s="114"/>
      <c r="AJ275" s="83">
        <f t="shared" si="37"/>
        <v>1330.0353</v>
      </c>
      <c r="AK275" s="82"/>
      <c r="AL275" s="84"/>
      <c r="AM275" s="66"/>
    </row>
    <row r="276" spans="3:39" ht="15.6" x14ac:dyDescent="0.3">
      <c r="C276" s="41" t="s">
        <v>624</v>
      </c>
      <c r="D276" s="41" t="s">
        <v>124</v>
      </c>
      <c r="E276" s="42" t="s">
        <v>88</v>
      </c>
      <c r="G276" s="66"/>
      <c r="H276" s="74">
        <v>2502</v>
      </c>
      <c r="I276" s="74">
        <v>2678</v>
      </c>
      <c r="J276" s="74">
        <v>2679</v>
      </c>
      <c r="K276" s="74">
        <v>2748</v>
      </c>
      <c r="L276" s="74">
        <v>3276</v>
      </c>
      <c r="M276" s="74">
        <v>135</v>
      </c>
      <c r="N276" s="76" cm="1">
        <f t="array" ref="N276">SUM((H276:L276)/5)</f>
        <v>2776.6000000000004</v>
      </c>
      <c r="O276" s="74">
        <v>2800</v>
      </c>
      <c r="P276" s="66"/>
      <c r="Q276" s="77">
        <v>49.308</v>
      </c>
      <c r="R276" s="77">
        <v>72.016000000000005</v>
      </c>
      <c r="S276" s="77">
        <v>0.441</v>
      </c>
      <c r="T276" s="77">
        <v>0.441</v>
      </c>
      <c r="U276" s="77">
        <f t="shared" si="32"/>
        <v>1120</v>
      </c>
      <c r="V276" s="77">
        <f t="shared" si="33"/>
        <v>1680</v>
      </c>
      <c r="W276" s="66"/>
      <c r="X276" s="77">
        <v>15.868</v>
      </c>
      <c r="Y276" s="77">
        <v>27.082909999999998</v>
      </c>
      <c r="Z276" s="79">
        <v>27.082909999999998</v>
      </c>
      <c r="AA276" s="80">
        <f t="shared" si="38"/>
        <v>44.686801500000001</v>
      </c>
      <c r="AB276" s="66"/>
      <c r="AC276" s="81">
        <v>365</v>
      </c>
      <c r="AD276" s="82">
        <f t="shared" si="34"/>
        <v>131.7893</v>
      </c>
      <c r="AE276" s="82">
        <f t="shared" si="35"/>
        <v>144.17600000000002</v>
      </c>
      <c r="AF276" s="82">
        <f t="shared" si="36"/>
        <v>303.33</v>
      </c>
      <c r="AG276" s="82">
        <f t="shared" si="36"/>
        <v>750.74</v>
      </c>
      <c r="AH276" s="114"/>
      <c r="AI276" s="114"/>
      <c r="AJ276" s="83">
        <f t="shared" si="37"/>
        <v>1330.0353</v>
      </c>
      <c r="AK276" s="82"/>
      <c r="AL276" s="84"/>
      <c r="AM276" s="66"/>
    </row>
    <row r="277" spans="3:39" ht="15.6" x14ac:dyDescent="0.3">
      <c r="C277" s="41" t="s">
        <v>624</v>
      </c>
      <c r="D277" s="41" t="s">
        <v>124</v>
      </c>
      <c r="E277" s="42" t="s">
        <v>88</v>
      </c>
      <c r="G277" s="66"/>
      <c r="H277" s="74">
        <v>2784</v>
      </c>
      <c r="I277" s="74">
        <v>2936</v>
      </c>
      <c r="J277" s="74">
        <v>3097</v>
      </c>
      <c r="K277" s="74">
        <v>4180</v>
      </c>
      <c r="L277" s="74">
        <v>2768</v>
      </c>
      <c r="M277" s="74">
        <v>1079</v>
      </c>
      <c r="N277" s="76" cm="1">
        <f t="array" ref="N277">SUM((H277:L277)/5)</f>
        <v>3153</v>
      </c>
      <c r="O277" s="74">
        <v>3300</v>
      </c>
      <c r="P277" s="66"/>
      <c r="Q277" s="77">
        <v>49.308</v>
      </c>
      <c r="R277" s="77">
        <v>72.016000000000005</v>
      </c>
      <c r="S277" s="77">
        <v>0.441</v>
      </c>
      <c r="T277" s="77">
        <v>0.441</v>
      </c>
      <c r="U277" s="77">
        <f t="shared" si="32"/>
        <v>1320</v>
      </c>
      <c r="V277" s="77">
        <f t="shared" si="33"/>
        <v>1980</v>
      </c>
      <c r="W277" s="66"/>
      <c r="X277" s="77">
        <v>15.868</v>
      </c>
      <c r="Y277" s="77">
        <v>27.082879999999999</v>
      </c>
      <c r="Z277" s="79">
        <v>27.082879999999999</v>
      </c>
      <c r="AA277" s="80">
        <f t="shared" si="38"/>
        <v>44.686751999999998</v>
      </c>
      <c r="AB277" s="66"/>
      <c r="AC277" s="81">
        <v>365</v>
      </c>
      <c r="AD277" s="82">
        <f t="shared" si="34"/>
        <v>131.7893</v>
      </c>
      <c r="AE277" s="82">
        <f t="shared" si="35"/>
        <v>144.17600000000002</v>
      </c>
      <c r="AF277" s="82">
        <f t="shared" si="36"/>
        <v>357.49</v>
      </c>
      <c r="AG277" s="82">
        <f t="shared" si="36"/>
        <v>884.8</v>
      </c>
      <c r="AH277" s="114"/>
      <c r="AI277" s="114"/>
      <c r="AJ277" s="83">
        <f t="shared" si="37"/>
        <v>1518.2553</v>
      </c>
      <c r="AK277" s="82"/>
      <c r="AL277" s="84"/>
      <c r="AM277" s="66"/>
    </row>
    <row r="278" spans="3:39" ht="15.6" x14ac:dyDescent="0.3">
      <c r="C278" s="41" t="s">
        <v>624</v>
      </c>
      <c r="D278" s="41" t="s">
        <v>124</v>
      </c>
      <c r="E278" s="42" t="s">
        <v>88</v>
      </c>
      <c r="G278" s="66"/>
      <c r="H278" s="74">
        <v>2514</v>
      </c>
      <c r="I278" s="74">
        <v>3583</v>
      </c>
      <c r="J278" s="74">
        <v>3939</v>
      </c>
      <c r="K278" s="74">
        <v>3498</v>
      </c>
      <c r="L278" s="74">
        <v>3408</v>
      </c>
      <c r="M278" s="74">
        <v>161</v>
      </c>
      <c r="N278" s="76" cm="1">
        <f t="array" ref="N278">SUM((H278:L278)/5)</f>
        <v>3388.4</v>
      </c>
      <c r="O278" s="74">
        <v>3400</v>
      </c>
      <c r="P278" s="66"/>
      <c r="Q278" s="77">
        <v>49.308</v>
      </c>
      <c r="R278" s="77">
        <v>72.016000000000005</v>
      </c>
      <c r="S278" s="77">
        <v>0.441</v>
      </c>
      <c r="T278" s="77">
        <v>0.441</v>
      </c>
      <c r="U278" s="77">
        <f t="shared" si="32"/>
        <v>1360</v>
      </c>
      <c r="V278" s="77">
        <f t="shared" si="33"/>
        <v>2040</v>
      </c>
      <c r="W278" s="66"/>
      <c r="X278" s="77">
        <v>15.868</v>
      </c>
      <c r="Y278" s="77">
        <v>27.082709999999999</v>
      </c>
      <c r="Z278" s="79">
        <v>27.082709999999999</v>
      </c>
      <c r="AA278" s="80">
        <f t="shared" si="38"/>
        <v>44.686471499999996</v>
      </c>
      <c r="AB278" s="66"/>
      <c r="AC278" s="81">
        <v>365</v>
      </c>
      <c r="AD278" s="82">
        <f t="shared" si="34"/>
        <v>131.7893</v>
      </c>
      <c r="AE278" s="82">
        <f t="shared" si="35"/>
        <v>144.17600000000002</v>
      </c>
      <c r="AF278" s="82">
        <f t="shared" si="36"/>
        <v>368.32</v>
      </c>
      <c r="AG278" s="82">
        <f t="shared" si="36"/>
        <v>911.6</v>
      </c>
      <c r="AH278" s="114"/>
      <c r="AI278" s="114"/>
      <c r="AJ278" s="83">
        <f t="shared" si="37"/>
        <v>1555.8852999999999</v>
      </c>
      <c r="AK278" s="82"/>
      <c r="AL278" s="84"/>
      <c r="AM278" s="66"/>
    </row>
    <row r="279" spans="3:39" ht="15.6" x14ac:dyDescent="0.3">
      <c r="C279" s="41" t="s">
        <v>625</v>
      </c>
      <c r="D279" s="41" t="s">
        <v>124</v>
      </c>
      <c r="E279" s="42" t="s">
        <v>88</v>
      </c>
      <c r="G279" s="66"/>
      <c r="H279" s="74">
        <v>1542</v>
      </c>
      <c r="I279" s="74">
        <v>1260</v>
      </c>
      <c r="J279" s="74">
        <v>1246</v>
      </c>
      <c r="K279" s="74">
        <v>1119</v>
      </c>
      <c r="L279" s="74">
        <v>1346</v>
      </c>
      <c r="M279" s="74">
        <v>624</v>
      </c>
      <c r="N279" s="76" cm="1">
        <f t="array" ref="N279">SUM((H279:L279)/5)</f>
        <v>1302.5999999999999</v>
      </c>
      <c r="O279" s="74">
        <v>1300</v>
      </c>
      <c r="P279" s="66"/>
      <c r="Q279" s="77">
        <v>49.308</v>
      </c>
      <c r="R279" s="77">
        <v>72.016000000000005</v>
      </c>
      <c r="S279" s="77">
        <v>0.441</v>
      </c>
      <c r="T279" s="77">
        <v>0.441</v>
      </c>
      <c r="U279" s="77">
        <f t="shared" si="32"/>
        <v>520</v>
      </c>
      <c r="V279" s="77">
        <f t="shared" si="33"/>
        <v>780</v>
      </c>
      <c r="W279" s="66"/>
      <c r="X279" s="77">
        <v>15.868</v>
      </c>
      <c r="Y279" s="77">
        <v>27.08314</v>
      </c>
      <c r="Z279" s="79">
        <v>27.08314</v>
      </c>
      <c r="AA279" s="80">
        <f t="shared" si="38"/>
        <v>44.687181000000002</v>
      </c>
      <c r="AB279" s="66"/>
      <c r="AC279" s="81">
        <v>365</v>
      </c>
      <c r="AD279" s="82">
        <f t="shared" si="34"/>
        <v>131.7893</v>
      </c>
      <c r="AE279" s="82">
        <f t="shared" si="35"/>
        <v>144.17600000000002</v>
      </c>
      <c r="AF279" s="82">
        <f t="shared" si="36"/>
        <v>140.83000000000001</v>
      </c>
      <c r="AG279" s="82">
        <f t="shared" si="36"/>
        <v>348.56</v>
      </c>
      <c r="AH279" s="114"/>
      <c r="AI279" s="114"/>
      <c r="AJ279" s="83">
        <f t="shared" si="37"/>
        <v>765.35529999999994</v>
      </c>
      <c r="AK279" s="82"/>
      <c r="AL279" s="84"/>
      <c r="AM279" s="66"/>
    </row>
    <row r="280" spans="3:39" ht="15.6" x14ac:dyDescent="0.3">
      <c r="C280" s="41" t="s">
        <v>626</v>
      </c>
      <c r="D280" s="41" t="s">
        <v>124</v>
      </c>
      <c r="E280" s="42" t="s">
        <v>88</v>
      </c>
      <c r="G280" s="66"/>
      <c r="H280" s="74">
        <v>1085</v>
      </c>
      <c r="I280" s="74">
        <v>923</v>
      </c>
      <c r="J280" s="74">
        <v>930</v>
      </c>
      <c r="K280" s="74">
        <v>822</v>
      </c>
      <c r="L280" s="74">
        <v>573</v>
      </c>
      <c r="M280" s="74">
        <v>356</v>
      </c>
      <c r="N280" s="76" cm="1">
        <f t="array" ref="N280">SUM((H280:L280)/5)</f>
        <v>866.6</v>
      </c>
      <c r="O280" s="74">
        <v>850</v>
      </c>
      <c r="P280" s="66"/>
      <c r="Q280" s="77">
        <v>49.308</v>
      </c>
      <c r="R280" s="77">
        <v>72.016000000000005</v>
      </c>
      <c r="S280" s="77">
        <v>0.441</v>
      </c>
      <c r="T280" s="77">
        <v>0.441</v>
      </c>
      <c r="U280" s="77">
        <f t="shared" si="32"/>
        <v>340</v>
      </c>
      <c r="V280" s="77">
        <f t="shared" si="33"/>
        <v>510</v>
      </c>
      <c r="W280" s="66"/>
      <c r="X280" s="77">
        <v>15.868</v>
      </c>
      <c r="Y280" s="77">
        <v>27.083369999999999</v>
      </c>
      <c r="Z280" s="79">
        <v>27.083369999999999</v>
      </c>
      <c r="AA280" s="80">
        <f t="shared" si="38"/>
        <v>44.687560500000004</v>
      </c>
      <c r="AB280" s="66"/>
      <c r="AC280" s="81">
        <v>365</v>
      </c>
      <c r="AD280" s="82">
        <f t="shared" si="34"/>
        <v>131.7893</v>
      </c>
      <c r="AE280" s="82">
        <f t="shared" si="35"/>
        <v>144.17600000000002</v>
      </c>
      <c r="AF280" s="82">
        <f t="shared" si="36"/>
        <v>92.08</v>
      </c>
      <c r="AG280" s="82">
        <f t="shared" si="36"/>
        <v>227.91</v>
      </c>
      <c r="AH280" s="114"/>
      <c r="AI280" s="114"/>
      <c r="AJ280" s="83">
        <f t="shared" si="37"/>
        <v>595.95529999999997</v>
      </c>
      <c r="AK280" s="82"/>
      <c r="AL280" s="84"/>
      <c r="AM280" s="66"/>
    </row>
    <row r="281" spans="3:39" ht="15.6" x14ac:dyDescent="0.3">
      <c r="C281" s="41" t="s">
        <v>626</v>
      </c>
      <c r="D281" s="41" t="s">
        <v>124</v>
      </c>
      <c r="E281" s="42" t="s">
        <v>88</v>
      </c>
      <c r="G281" s="66"/>
      <c r="H281" s="74">
        <v>1436</v>
      </c>
      <c r="I281" s="74">
        <v>1269</v>
      </c>
      <c r="J281" s="74">
        <v>1356</v>
      </c>
      <c r="K281" s="74">
        <v>1279</v>
      </c>
      <c r="L281" s="74">
        <v>1459</v>
      </c>
      <c r="M281" s="74">
        <v>606</v>
      </c>
      <c r="N281" s="76" cm="1">
        <f t="array" ref="N281">SUM((H281:L281)/5)</f>
        <v>1359.8</v>
      </c>
      <c r="O281" s="74">
        <v>1360</v>
      </c>
      <c r="P281" s="66"/>
      <c r="Q281" s="77">
        <v>49.308</v>
      </c>
      <c r="R281" s="77">
        <v>72.016000000000005</v>
      </c>
      <c r="S281" s="77">
        <v>0.441</v>
      </c>
      <c r="T281" s="77">
        <v>0.441</v>
      </c>
      <c r="U281" s="77">
        <f t="shared" si="32"/>
        <v>544</v>
      </c>
      <c r="V281" s="77">
        <f t="shared" si="33"/>
        <v>816</v>
      </c>
      <c r="W281" s="66"/>
      <c r="X281" s="77">
        <v>15.868</v>
      </c>
      <c r="Y281" s="77">
        <v>27.083130000000001</v>
      </c>
      <c r="Z281" s="79">
        <v>27.083130000000001</v>
      </c>
      <c r="AA281" s="80">
        <f t="shared" si="38"/>
        <v>44.687164500000002</v>
      </c>
      <c r="AB281" s="66"/>
      <c r="AC281" s="81">
        <v>365</v>
      </c>
      <c r="AD281" s="82">
        <f t="shared" si="34"/>
        <v>131.7893</v>
      </c>
      <c r="AE281" s="82">
        <f t="shared" si="35"/>
        <v>144.17600000000002</v>
      </c>
      <c r="AF281" s="82">
        <f t="shared" si="36"/>
        <v>147.33000000000001</v>
      </c>
      <c r="AG281" s="82">
        <f t="shared" si="36"/>
        <v>364.65</v>
      </c>
      <c r="AH281" s="114"/>
      <c r="AI281" s="114"/>
      <c r="AJ281" s="83">
        <f t="shared" si="37"/>
        <v>787.94529999999997</v>
      </c>
      <c r="AK281" s="82"/>
      <c r="AL281" s="84"/>
      <c r="AM281" s="66"/>
    </row>
    <row r="282" spans="3:39" ht="15.6" x14ac:dyDescent="0.3">
      <c r="C282" s="41" t="s">
        <v>627</v>
      </c>
      <c r="D282" s="41" t="s">
        <v>124</v>
      </c>
      <c r="E282" s="42" t="s">
        <v>88</v>
      </c>
      <c r="G282" s="66"/>
      <c r="H282" s="74">
        <v>1179</v>
      </c>
      <c r="I282" s="74">
        <v>1034</v>
      </c>
      <c r="J282" s="74">
        <v>812</v>
      </c>
      <c r="K282" s="74">
        <v>917</v>
      </c>
      <c r="L282" s="74">
        <v>1126</v>
      </c>
      <c r="M282" s="74">
        <v>738</v>
      </c>
      <c r="N282" s="76" cm="1">
        <f t="array" ref="N282">SUM((H282:L282)/5)</f>
        <v>1013.5999999999999</v>
      </c>
      <c r="O282" s="74">
        <v>1010</v>
      </c>
      <c r="P282" s="66"/>
      <c r="Q282" s="77">
        <v>49.308</v>
      </c>
      <c r="R282" s="77">
        <v>72.016000000000005</v>
      </c>
      <c r="S282" s="77">
        <v>0.441</v>
      </c>
      <c r="T282" s="77">
        <v>0.441</v>
      </c>
      <c r="U282" s="77">
        <f t="shared" si="32"/>
        <v>404</v>
      </c>
      <c r="V282" s="77">
        <f t="shared" si="33"/>
        <v>606</v>
      </c>
      <c r="W282" s="66"/>
      <c r="X282" s="77">
        <v>15.868</v>
      </c>
      <c r="Y282" s="77">
        <v>27.082740000000001</v>
      </c>
      <c r="Z282" s="79">
        <v>27.082740000000001</v>
      </c>
      <c r="AA282" s="80">
        <f t="shared" si="38"/>
        <v>44.686520999999999</v>
      </c>
      <c r="AB282" s="66"/>
      <c r="AC282" s="81">
        <v>365</v>
      </c>
      <c r="AD282" s="82">
        <f t="shared" si="34"/>
        <v>131.7893</v>
      </c>
      <c r="AE282" s="82">
        <f t="shared" si="35"/>
        <v>144.17600000000002</v>
      </c>
      <c r="AF282" s="82">
        <f t="shared" si="36"/>
        <v>109.41</v>
      </c>
      <c r="AG282" s="82">
        <f t="shared" si="36"/>
        <v>270.8</v>
      </c>
      <c r="AH282" s="114"/>
      <c r="AI282" s="114"/>
      <c r="AJ282" s="83">
        <f t="shared" si="37"/>
        <v>656.17530000000011</v>
      </c>
      <c r="AK282" s="82"/>
      <c r="AL282" s="84"/>
      <c r="AM282" s="66"/>
    </row>
    <row r="283" spans="3:39" ht="15.6" x14ac:dyDescent="0.3">
      <c r="C283" s="41" t="s">
        <v>628</v>
      </c>
      <c r="D283" s="41" t="s">
        <v>124</v>
      </c>
      <c r="E283" s="42" t="s">
        <v>88</v>
      </c>
      <c r="G283" s="66"/>
      <c r="H283" s="74">
        <v>0</v>
      </c>
      <c r="I283" s="74">
        <v>0</v>
      </c>
      <c r="J283" s="74">
        <v>0</v>
      </c>
      <c r="K283" s="74">
        <v>0</v>
      </c>
      <c r="L283" s="74">
        <v>0</v>
      </c>
      <c r="M283" s="74">
        <v>0</v>
      </c>
      <c r="N283" s="76" cm="1">
        <f t="array" ref="N283">SUM((H283:L283)/5)</f>
        <v>0</v>
      </c>
      <c r="O283" s="74">
        <v>0</v>
      </c>
      <c r="P283" s="66"/>
      <c r="Q283" s="77">
        <v>49.308</v>
      </c>
      <c r="R283" s="77">
        <v>63.256999999999998</v>
      </c>
      <c r="S283" s="77">
        <v>0.441</v>
      </c>
      <c r="T283" s="77">
        <v>0.441</v>
      </c>
      <c r="U283" s="77">
        <f t="shared" si="32"/>
        <v>0</v>
      </c>
      <c r="V283" s="77">
        <f t="shared" si="33"/>
        <v>0</v>
      </c>
      <c r="W283" s="66"/>
      <c r="X283" s="77">
        <v>15.868</v>
      </c>
      <c r="Y283" s="77">
        <v>27.870339999999999</v>
      </c>
      <c r="Z283" s="79">
        <v>27.870339999999999</v>
      </c>
      <c r="AA283" s="80">
        <f t="shared" si="38"/>
        <v>45.986060999999999</v>
      </c>
      <c r="AB283" s="66"/>
      <c r="AC283" s="81">
        <v>365</v>
      </c>
      <c r="AD283" s="82">
        <f t="shared" si="34"/>
        <v>115.7603</v>
      </c>
      <c r="AE283" s="82">
        <f t="shared" si="35"/>
        <v>126.64049999999999</v>
      </c>
      <c r="AF283" s="82">
        <f t="shared" si="36"/>
        <v>0</v>
      </c>
      <c r="AG283" s="82">
        <f t="shared" si="36"/>
        <v>0</v>
      </c>
      <c r="AH283" s="114"/>
      <c r="AI283" s="114"/>
      <c r="AJ283" s="83">
        <f t="shared" si="37"/>
        <v>242.4008</v>
      </c>
      <c r="AK283" s="82"/>
      <c r="AL283" s="84"/>
      <c r="AM283" s="66"/>
    </row>
    <row r="284" spans="3:39" ht="15.6" x14ac:dyDescent="0.3">
      <c r="C284" s="41" t="s">
        <v>629</v>
      </c>
      <c r="D284" s="41" t="s">
        <v>124</v>
      </c>
      <c r="E284" s="42" t="s">
        <v>88</v>
      </c>
      <c r="G284" s="66"/>
      <c r="H284" s="74">
        <v>579</v>
      </c>
      <c r="I284" s="74">
        <v>493</v>
      </c>
      <c r="J284" s="74">
        <v>538</v>
      </c>
      <c r="K284" s="74">
        <v>477</v>
      </c>
      <c r="L284" s="74">
        <v>552</v>
      </c>
      <c r="M284" s="74">
        <v>232</v>
      </c>
      <c r="N284" s="76" cm="1">
        <f t="array" ref="N284">SUM((H284:L284)/5)</f>
        <v>527.79999999999995</v>
      </c>
      <c r="O284" s="74">
        <v>500</v>
      </c>
      <c r="P284" s="66"/>
      <c r="Q284" s="77">
        <v>49.308</v>
      </c>
      <c r="R284" s="77">
        <v>72.016000000000005</v>
      </c>
      <c r="S284" s="77">
        <v>0.441</v>
      </c>
      <c r="T284" s="77">
        <v>0.441</v>
      </c>
      <c r="U284" s="77">
        <f t="shared" si="32"/>
        <v>200</v>
      </c>
      <c r="V284" s="77">
        <f t="shared" si="33"/>
        <v>300</v>
      </c>
      <c r="W284" s="66"/>
      <c r="X284" s="77">
        <v>15.868</v>
      </c>
      <c r="Y284" s="77">
        <v>27.082509999999999</v>
      </c>
      <c r="Z284" s="79">
        <v>27.082509999999999</v>
      </c>
      <c r="AA284" s="80">
        <f t="shared" si="38"/>
        <v>44.686141499999998</v>
      </c>
      <c r="AB284" s="66"/>
      <c r="AC284" s="81">
        <v>365</v>
      </c>
      <c r="AD284" s="82">
        <f t="shared" si="34"/>
        <v>131.7893</v>
      </c>
      <c r="AE284" s="82">
        <f t="shared" si="35"/>
        <v>144.17600000000002</v>
      </c>
      <c r="AF284" s="82">
        <f t="shared" si="36"/>
        <v>54.17</v>
      </c>
      <c r="AG284" s="82">
        <f t="shared" si="36"/>
        <v>134.06</v>
      </c>
      <c r="AH284" s="114"/>
      <c r="AI284" s="114"/>
      <c r="AJ284" s="83">
        <f t="shared" si="37"/>
        <v>464.19530000000003</v>
      </c>
      <c r="AK284" s="82"/>
      <c r="AL284" s="84"/>
      <c r="AM284" s="66"/>
    </row>
    <row r="285" spans="3:39" ht="15.6" x14ac:dyDescent="0.3">
      <c r="C285" s="41" t="s">
        <v>630</v>
      </c>
      <c r="D285" s="41" t="s">
        <v>124</v>
      </c>
      <c r="E285" s="42" t="s">
        <v>88</v>
      </c>
      <c r="G285" s="66"/>
      <c r="H285" s="74">
        <v>1016</v>
      </c>
      <c r="I285" s="74">
        <v>1124</v>
      </c>
      <c r="J285" s="74">
        <v>1285</v>
      </c>
      <c r="K285" s="74">
        <v>1168</v>
      </c>
      <c r="L285" s="74">
        <v>771</v>
      </c>
      <c r="M285" s="74">
        <v>507</v>
      </c>
      <c r="N285" s="76" cm="1">
        <f t="array" ref="N285">SUM((H285:L285)/5)</f>
        <v>1072.8</v>
      </c>
      <c r="O285" s="74">
        <v>1070</v>
      </c>
      <c r="P285" s="66"/>
      <c r="Q285" s="77">
        <v>49.308</v>
      </c>
      <c r="R285" s="77">
        <v>72.016000000000005</v>
      </c>
      <c r="S285" s="77">
        <v>0.441</v>
      </c>
      <c r="T285" s="77">
        <v>0.441</v>
      </c>
      <c r="U285" s="77">
        <f t="shared" si="32"/>
        <v>428</v>
      </c>
      <c r="V285" s="77">
        <f t="shared" si="33"/>
        <v>642</v>
      </c>
      <c r="W285" s="66"/>
      <c r="X285" s="77">
        <v>15.868</v>
      </c>
      <c r="Y285" s="77">
        <v>27.08239</v>
      </c>
      <c r="Z285" s="79">
        <v>27.08239</v>
      </c>
      <c r="AA285" s="80">
        <f t="shared" si="38"/>
        <v>44.6859435</v>
      </c>
      <c r="AB285" s="66"/>
      <c r="AC285" s="81">
        <v>365</v>
      </c>
      <c r="AD285" s="82">
        <f t="shared" si="34"/>
        <v>131.7893</v>
      </c>
      <c r="AE285" s="82">
        <f t="shared" si="35"/>
        <v>144.17600000000002</v>
      </c>
      <c r="AF285" s="82">
        <f t="shared" si="36"/>
        <v>115.91</v>
      </c>
      <c r="AG285" s="82">
        <f t="shared" si="36"/>
        <v>286.88</v>
      </c>
      <c r="AH285" s="114"/>
      <c r="AI285" s="114"/>
      <c r="AJ285" s="83">
        <f t="shared" si="37"/>
        <v>678.75530000000003</v>
      </c>
      <c r="AK285" s="82"/>
      <c r="AL285" s="84"/>
      <c r="AM285" s="66"/>
    </row>
    <row r="286" spans="3:39" ht="15.6" x14ac:dyDescent="0.3">
      <c r="C286" s="41" t="s">
        <v>630</v>
      </c>
      <c r="D286" s="41" t="s">
        <v>124</v>
      </c>
      <c r="E286" s="42" t="s">
        <v>88</v>
      </c>
      <c r="G286" s="66"/>
      <c r="H286" s="74">
        <v>1775</v>
      </c>
      <c r="I286" s="74">
        <v>1372</v>
      </c>
      <c r="J286" s="74">
        <v>1190</v>
      </c>
      <c r="K286" s="74">
        <v>1771</v>
      </c>
      <c r="L286" s="74">
        <v>1900</v>
      </c>
      <c r="M286" s="74">
        <v>1028</v>
      </c>
      <c r="N286" s="76" cm="1">
        <f t="array" ref="N286">SUM((H286:L286)/5)</f>
        <v>1601.6</v>
      </c>
      <c r="O286" s="74">
        <v>1800</v>
      </c>
      <c r="P286" s="66"/>
      <c r="Q286" s="77">
        <v>49.308</v>
      </c>
      <c r="R286" s="77">
        <v>72.016000000000005</v>
      </c>
      <c r="S286" s="77">
        <v>0.441</v>
      </c>
      <c r="T286" s="77">
        <v>0.441</v>
      </c>
      <c r="U286" s="77">
        <f t="shared" si="32"/>
        <v>720</v>
      </c>
      <c r="V286" s="77">
        <f t="shared" si="33"/>
        <v>1080</v>
      </c>
      <c r="W286" s="66"/>
      <c r="X286" s="77">
        <v>15.868</v>
      </c>
      <c r="Y286" s="77">
        <v>27.082920000000001</v>
      </c>
      <c r="Z286" s="79">
        <v>27.082920000000001</v>
      </c>
      <c r="AA286" s="80">
        <f t="shared" si="38"/>
        <v>44.686818000000002</v>
      </c>
      <c r="AB286" s="66"/>
      <c r="AC286" s="81">
        <v>365</v>
      </c>
      <c r="AD286" s="82">
        <f t="shared" si="34"/>
        <v>131.7893</v>
      </c>
      <c r="AE286" s="82">
        <f t="shared" si="35"/>
        <v>144.17600000000002</v>
      </c>
      <c r="AF286" s="82">
        <f t="shared" si="36"/>
        <v>195</v>
      </c>
      <c r="AG286" s="82">
        <f t="shared" si="36"/>
        <v>482.62</v>
      </c>
      <c r="AH286" s="114"/>
      <c r="AI286" s="114"/>
      <c r="AJ286" s="83">
        <f t="shared" si="37"/>
        <v>953.58529999999996</v>
      </c>
      <c r="AK286" s="82"/>
      <c r="AL286" s="84"/>
      <c r="AM286" s="66"/>
    </row>
    <row r="287" spans="3:39" ht="15.6" x14ac:dyDescent="0.3">
      <c r="C287" s="41" t="s">
        <v>631</v>
      </c>
      <c r="D287" s="41" t="s">
        <v>124</v>
      </c>
      <c r="E287" s="42" t="s">
        <v>88</v>
      </c>
      <c r="G287" s="66"/>
      <c r="H287" s="74">
        <v>237</v>
      </c>
      <c r="I287" s="74">
        <v>557</v>
      </c>
      <c r="J287" s="74">
        <v>810</v>
      </c>
      <c r="K287" s="74">
        <v>734</v>
      </c>
      <c r="L287" s="74">
        <v>856</v>
      </c>
      <c r="M287" s="74">
        <v>36</v>
      </c>
      <c r="N287" s="76" cm="1">
        <f t="array" ref="N287">SUM((H287:L287)/5)</f>
        <v>638.79999999999995</v>
      </c>
      <c r="O287" s="74">
        <v>800</v>
      </c>
      <c r="P287" s="66"/>
      <c r="Q287" s="77">
        <v>49.308</v>
      </c>
      <c r="R287" s="77">
        <v>72.016000000000005</v>
      </c>
      <c r="S287" s="77">
        <v>0.441</v>
      </c>
      <c r="T287" s="77">
        <v>0.441</v>
      </c>
      <c r="U287" s="77">
        <f t="shared" si="32"/>
        <v>320</v>
      </c>
      <c r="V287" s="77">
        <f t="shared" si="33"/>
        <v>480</v>
      </c>
      <c r="W287" s="66"/>
      <c r="X287" s="77">
        <v>15.868</v>
      </c>
      <c r="Y287" s="77">
        <v>27.082260000000002</v>
      </c>
      <c r="Z287" s="79">
        <v>27.082260000000002</v>
      </c>
      <c r="AA287" s="80">
        <f t="shared" si="38"/>
        <v>44.685729000000002</v>
      </c>
      <c r="AB287" s="66"/>
      <c r="AC287" s="81">
        <v>365</v>
      </c>
      <c r="AD287" s="82">
        <f t="shared" si="34"/>
        <v>131.7893</v>
      </c>
      <c r="AE287" s="82">
        <f t="shared" si="35"/>
        <v>144.17600000000002</v>
      </c>
      <c r="AF287" s="82">
        <f t="shared" si="36"/>
        <v>86.66</v>
      </c>
      <c r="AG287" s="82">
        <f t="shared" si="36"/>
        <v>214.49</v>
      </c>
      <c r="AH287" s="114"/>
      <c r="AI287" s="114"/>
      <c r="AJ287" s="83">
        <f t="shared" si="37"/>
        <v>577.11530000000005</v>
      </c>
      <c r="AK287" s="82"/>
      <c r="AL287" s="84"/>
      <c r="AM287" s="66"/>
    </row>
    <row r="288" spans="3:39" ht="15.6" x14ac:dyDescent="0.3">
      <c r="C288" s="41" t="s">
        <v>632</v>
      </c>
      <c r="D288" s="41" t="s">
        <v>124</v>
      </c>
      <c r="E288" s="42" t="s">
        <v>88</v>
      </c>
      <c r="G288" s="66"/>
      <c r="H288" s="74">
        <v>770</v>
      </c>
      <c r="I288" s="74">
        <v>804</v>
      </c>
      <c r="J288" s="74">
        <v>656</v>
      </c>
      <c r="K288" s="74">
        <v>544</v>
      </c>
      <c r="L288" s="74">
        <v>717</v>
      </c>
      <c r="M288" s="74">
        <v>355</v>
      </c>
      <c r="N288" s="76" cm="1">
        <f t="array" ref="N288">SUM((H288:L288)/5)</f>
        <v>698.19999999999993</v>
      </c>
      <c r="O288" s="74">
        <v>750</v>
      </c>
      <c r="P288" s="66"/>
      <c r="Q288" s="77">
        <v>49.308</v>
      </c>
      <c r="R288" s="77">
        <v>72.016000000000005</v>
      </c>
      <c r="S288" s="77">
        <v>0.441</v>
      </c>
      <c r="T288" s="77">
        <v>0.441</v>
      </c>
      <c r="U288" s="77">
        <f t="shared" si="32"/>
        <v>300</v>
      </c>
      <c r="V288" s="77">
        <f t="shared" si="33"/>
        <v>450</v>
      </c>
      <c r="W288" s="66"/>
      <c r="X288" s="77">
        <v>15.868</v>
      </c>
      <c r="Y288" s="77">
        <v>27.082519999999999</v>
      </c>
      <c r="Z288" s="79">
        <v>27.082519999999999</v>
      </c>
      <c r="AA288" s="80">
        <f t="shared" si="38"/>
        <v>44.686157999999999</v>
      </c>
      <c r="AB288" s="66"/>
      <c r="AC288" s="81">
        <v>365</v>
      </c>
      <c r="AD288" s="82">
        <f t="shared" si="34"/>
        <v>131.7893</v>
      </c>
      <c r="AE288" s="82">
        <f t="shared" si="35"/>
        <v>144.17600000000002</v>
      </c>
      <c r="AF288" s="82">
        <f t="shared" si="36"/>
        <v>81.25</v>
      </c>
      <c r="AG288" s="82">
        <f t="shared" si="36"/>
        <v>201.09</v>
      </c>
      <c r="AH288" s="114"/>
      <c r="AI288" s="114"/>
      <c r="AJ288" s="83">
        <f t="shared" si="37"/>
        <v>558.30529999999999</v>
      </c>
      <c r="AK288" s="82"/>
      <c r="AL288" s="84"/>
      <c r="AM288" s="66"/>
    </row>
    <row r="289" spans="3:39" ht="90" x14ac:dyDescent="0.3">
      <c r="C289" s="41" t="s">
        <v>633</v>
      </c>
      <c r="D289" s="41" t="s">
        <v>124</v>
      </c>
      <c r="E289" s="42" t="s">
        <v>88</v>
      </c>
      <c r="G289" s="66"/>
      <c r="H289" s="74">
        <v>1311</v>
      </c>
      <c r="I289" s="74">
        <v>1625</v>
      </c>
      <c r="J289" s="74">
        <v>1844</v>
      </c>
      <c r="K289" s="74">
        <v>1863</v>
      </c>
      <c r="L289" s="74">
        <v>1833</v>
      </c>
      <c r="M289" s="74">
        <v>114</v>
      </c>
      <c r="N289" s="76" cm="1">
        <f t="array" ref="N289">SUM((H289:L289)/5)</f>
        <v>1695.1999999999998</v>
      </c>
      <c r="O289" s="74">
        <v>1850</v>
      </c>
      <c r="P289" s="66"/>
      <c r="Q289" s="77">
        <v>50.334000000000003</v>
      </c>
      <c r="R289" s="77">
        <v>63.256999999999998</v>
      </c>
      <c r="S289" s="77">
        <v>0.441</v>
      </c>
      <c r="T289" s="77">
        <v>0.441</v>
      </c>
      <c r="U289" s="77">
        <f t="shared" si="32"/>
        <v>740</v>
      </c>
      <c r="V289" s="77">
        <f t="shared" si="33"/>
        <v>1110</v>
      </c>
      <c r="W289" s="66"/>
      <c r="X289" s="77" t="s">
        <v>287</v>
      </c>
      <c r="Y289" s="77" t="s">
        <v>288</v>
      </c>
      <c r="Z289" s="79">
        <f>SUM(27.46326+25.03337+25.35281)/3</f>
        <v>25.949813333333335</v>
      </c>
      <c r="AA289" s="80">
        <f t="shared" si="38"/>
        <v>42.817192000000006</v>
      </c>
      <c r="AB289" s="66"/>
      <c r="AC289" s="81">
        <v>365</v>
      </c>
      <c r="AD289" s="82">
        <f t="shared" si="34"/>
        <v>115.7603</v>
      </c>
      <c r="AE289" s="82">
        <f t="shared" si="35"/>
        <v>126.64049999999999</v>
      </c>
      <c r="AF289" s="82">
        <f t="shared" si="36"/>
        <v>192.03</v>
      </c>
      <c r="AG289" s="82">
        <f t="shared" si="36"/>
        <v>475.27</v>
      </c>
      <c r="AH289" s="114"/>
      <c r="AI289" s="114"/>
      <c r="AJ289" s="83">
        <f t="shared" si="37"/>
        <v>909.70079999999996</v>
      </c>
      <c r="AK289" s="82"/>
      <c r="AL289" s="84"/>
      <c r="AM289" s="66"/>
    </row>
    <row r="290" spans="3:39" ht="15.6" x14ac:dyDescent="0.3">
      <c r="C290" s="41" t="s">
        <v>633</v>
      </c>
      <c r="D290" s="41" t="s">
        <v>124</v>
      </c>
      <c r="E290" s="42" t="s">
        <v>88</v>
      </c>
      <c r="G290" s="66"/>
      <c r="H290" s="74">
        <v>691</v>
      </c>
      <c r="I290" s="74">
        <v>806</v>
      </c>
      <c r="J290" s="74">
        <v>541</v>
      </c>
      <c r="K290" s="74">
        <v>331</v>
      </c>
      <c r="L290" s="74">
        <v>526</v>
      </c>
      <c r="M290" s="74">
        <v>582</v>
      </c>
      <c r="N290" s="76" cm="1">
        <f t="array" ref="N290">SUM((H290:L290)/5)</f>
        <v>579</v>
      </c>
      <c r="O290" s="74">
        <v>580</v>
      </c>
      <c r="P290" s="66"/>
      <c r="Q290" s="77">
        <v>49.828000000000003</v>
      </c>
      <c r="R290" s="77">
        <v>63.256999999999998</v>
      </c>
      <c r="S290" s="77">
        <v>0.441</v>
      </c>
      <c r="T290" s="77">
        <v>0.441</v>
      </c>
      <c r="U290" s="77">
        <f t="shared" si="32"/>
        <v>232</v>
      </c>
      <c r="V290" s="77">
        <f t="shared" si="33"/>
        <v>348</v>
      </c>
      <c r="W290" s="66"/>
      <c r="X290" s="77">
        <v>15.061999999999999</v>
      </c>
      <c r="Y290" s="77">
        <v>26.5059</v>
      </c>
      <c r="Z290" s="79">
        <v>26.5059</v>
      </c>
      <c r="AA290" s="80">
        <f t="shared" si="38"/>
        <v>43.734735000000001</v>
      </c>
      <c r="AB290" s="66"/>
      <c r="AC290" s="81">
        <v>365</v>
      </c>
      <c r="AD290" s="82">
        <f t="shared" si="34"/>
        <v>115.7603</v>
      </c>
      <c r="AE290" s="82">
        <f t="shared" si="35"/>
        <v>126.64049999999999</v>
      </c>
      <c r="AF290" s="82">
        <f t="shared" si="36"/>
        <v>61.49</v>
      </c>
      <c r="AG290" s="82">
        <f t="shared" si="36"/>
        <v>152.19999999999999</v>
      </c>
      <c r="AH290" s="114"/>
      <c r="AI290" s="114"/>
      <c r="AJ290" s="83">
        <f t="shared" si="37"/>
        <v>456.0908</v>
      </c>
      <c r="AK290" s="82"/>
      <c r="AL290" s="84"/>
      <c r="AM290" s="66"/>
    </row>
    <row r="291" spans="3:39" ht="15.6" x14ac:dyDescent="0.3">
      <c r="C291" s="41" t="s">
        <v>633</v>
      </c>
      <c r="D291" s="41" t="s">
        <v>124</v>
      </c>
      <c r="E291" s="42" t="s">
        <v>88</v>
      </c>
      <c r="G291" s="66"/>
      <c r="H291" s="74">
        <v>1517</v>
      </c>
      <c r="I291" s="74">
        <v>1523</v>
      </c>
      <c r="J291" s="74">
        <v>1453</v>
      </c>
      <c r="K291" s="74">
        <v>1460</v>
      </c>
      <c r="L291" s="74">
        <v>1328</v>
      </c>
      <c r="M291" s="74">
        <v>818</v>
      </c>
      <c r="N291" s="76" cm="1">
        <f t="array" ref="N291">SUM((H291:L291)/5)</f>
        <v>1456.1999999999998</v>
      </c>
      <c r="O291" s="74">
        <v>1460</v>
      </c>
      <c r="P291" s="66"/>
      <c r="Q291" s="77">
        <v>49.828000000000003</v>
      </c>
      <c r="R291" s="77">
        <v>63.256999999999998</v>
      </c>
      <c r="S291" s="77">
        <v>0.441</v>
      </c>
      <c r="T291" s="77">
        <v>0.441</v>
      </c>
      <c r="U291" s="77">
        <f t="shared" si="32"/>
        <v>584</v>
      </c>
      <c r="V291" s="77">
        <f t="shared" si="33"/>
        <v>876</v>
      </c>
      <c r="W291" s="66"/>
      <c r="X291" s="77">
        <v>15.061999999999999</v>
      </c>
      <c r="Y291" s="77">
        <v>26.506340000000002</v>
      </c>
      <c r="Z291" s="79">
        <v>26.506340000000002</v>
      </c>
      <c r="AA291" s="80">
        <f t="shared" si="38"/>
        <v>43.735461000000001</v>
      </c>
      <c r="AB291" s="66"/>
      <c r="AC291" s="81">
        <v>365</v>
      </c>
      <c r="AD291" s="82">
        <f t="shared" si="34"/>
        <v>115.7603</v>
      </c>
      <c r="AE291" s="82">
        <f t="shared" si="35"/>
        <v>126.64049999999999</v>
      </c>
      <c r="AF291" s="82">
        <f t="shared" si="36"/>
        <v>154.80000000000001</v>
      </c>
      <c r="AG291" s="82">
        <f t="shared" si="36"/>
        <v>383.12</v>
      </c>
      <c r="AH291" s="114"/>
      <c r="AI291" s="114"/>
      <c r="AJ291" s="83">
        <f t="shared" si="37"/>
        <v>780.32079999999996</v>
      </c>
      <c r="AK291" s="82"/>
      <c r="AL291" s="84"/>
      <c r="AM291" s="66"/>
    </row>
    <row r="292" spans="3:39" ht="15.6" x14ac:dyDescent="0.3">
      <c r="C292" s="41" t="s">
        <v>633</v>
      </c>
      <c r="D292" s="41" t="s">
        <v>124</v>
      </c>
      <c r="E292" s="42" t="s">
        <v>88</v>
      </c>
      <c r="G292" s="66"/>
      <c r="H292" s="74">
        <v>594</v>
      </c>
      <c r="I292" s="74">
        <v>618</v>
      </c>
      <c r="J292" s="74">
        <v>600</v>
      </c>
      <c r="K292" s="74">
        <v>588</v>
      </c>
      <c r="L292" s="74">
        <v>655</v>
      </c>
      <c r="M292" s="74">
        <v>529</v>
      </c>
      <c r="N292" s="76" cm="1">
        <f t="array" ref="N292">SUM((H292:L292)/5)</f>
        <v>611</v>
      </c>
      <c r="O292" s="74">
        <v>620</v>
      </c>
      <c r="P292" s="66"/>
      <c r="Q292" s="77">
        <v>49.828000000000003</v>
      </c>
      <c r="R292" s="77">
        <v>63.256999999999998</v>
      </c>
      <c r="S292" s="77">
        <v>0.441</v>
      </c>
      <c r="T292" s="77">
        <v>0.441</v>
      </c>
      <c r="U292" s="77">
        <f t="shared" si="32"/>
        <v>248</v>
      </c>
      <c r="V292" s="77">
        <f t="shared" si="33"/>
        <v>372</v>
      </c>
      <c r="W292" s="66"/>
      <c r="X292" s="77">
        <v>15.061999999999999</v>
      </c>
      <c r="Y292" s="77">
        <v>26.506799999999998</v>
      </c>
      <c r="Z292" s="79">
        <v>26.506799999999998</v>
      </c>
      <c r="AA292" s="80">
        <f t="shared" si="38"/>
        <v>43.736220000000003</v>
      </c>
      <c r="AB292" s="66"/>
      <c r="AC292" s="81">
        <v>365</v>
      </c>
      <c r="AD292" s="82">
        <f t="shared" si="34"/>
        <v>115.7603</v>
      </c>
      <c r="AE292" s="82">
        <f t="shared" si="35"/>
        <v>126.64049999999999</v>
      </c>
      <c r="AF292" s="82">
        <f t="shared" si="36"/>
        <v>65.739999999999995</v>
      </c>
      <c r="AG292" s="82">
        <f t="shared" si="36"/>
        <v>162.69999999999999</v>
      </c>
      <c r="AH292" s="114"/>
      <c r="AI292" s="114"/>
      <c r="AJ292" s="83">
        <f t="shared" si="37"/>
        <v>470.8408</v>
      </c>
      <c r="AK292" s="82"/>
      <c r="AL292" s="84"/>
      <c r="AM292" s="66"/>
    </row>
    <row r="293" spans="3:39" ht="15.6" x14ac:dyDescent="0.3">
      <c r="C293" s="41" t="s">
        <v>289</v>
      </c>
      <c r="D293" s="41" t="s">
        <v>124</v>
      </c>
      <c r="E293" s="42" t="s">
        <v>88</v>
      </c>
      <c r="G293" s="66"/>
      <c r="H293" s="74">
        <v>246</v>
      </c>
      <c r="I293" s="74">
        <v>853</v>
      </c>
      <c r="J293" s="74">
        <v>405</v>
      </c>
      <c r="K293" s="74">
        <v>574</v>
      </c>
      <c r="L293" s="74">
        <v>1620</v>
      </c>
      <c r="M293" s="74">
        <v>404</v>
      </c>
      <c r="N293" s="76" cm="1">
        <f t="array" ref="N293">SUM((H293:L293)/5)</f>
        <v>739.6</v>
      </c>
      <c r="O293" s="74">
        <v>740</v>
      </c>
      <c r="P293" s="66"/>
      <c r="Q293" s="77">
        <v>49.828000000000003</v>
      </c>
      <c r="R293" s="77">
        <v>63.256999999999998</v>
      </c>
      <c r="S293" s="77">
        <v>0.441</v>
      </c>
      <c r="T293" s="77">
        <v>0.441</v>
      </c>
      <c r="U293" s="77">
        <f t="shared" si="32"/>
        <v>296</v>
      </c>
      <c r="V293" s="77">
        <f t="shared" si="33"/>
        <v>444</v>
      </c>
      <c r="W293" s="66"/>
      <c r="X293" s="77">
        <v>15.061999999999999</v>
      </c>
      <c r="Y293" s="77">
        <v>26.505890000000001</v>
      </c>
      <c r="Z293" s="79">
        <v>26.505890000000001</v>
      </c>
      <c r="AA293" s="80">
        <f t="shared" si="38"/>
        <v>43.7347185</v>
      </c>
      <c r="AB293" s="66"/>
      <c r="AC293" s="81">
        <v>365</v>
      </c>
      <c r="AD293" s="82">
        <f t="shared" si="34"/>
        <v>115.7603</v>
      </c>
      <c r="AE293" s="82">
        <f t="shared" si="35"/>
        <v>126.64049999999999</v>
      </c>
      <c r="AF293" s="82">
        <f t="shared" si="36"/>
        <v>78.459999999999994</v>
      </c>
      <c r="AG293" s="82">
        <f t="shared" si="36"/>
        <v>194.18</v>
      </c>
      <c r="AH293" s="114"/>
      <c r="AI293" s="114"/>
      <c r="AJ293" s="83">
        <f t="shared" si="37"/>
        <v>515.04079999999999</v>
      </c>
      <c r="AK293" s="82"/>
      <c r="AL293" s="84"/>
      <c r="AM293" s="66"/>
    </row>
    <row r="294" spans="3:39" ht="60" x14ac:dyDescent="0.3">
      <c r="C294" s="41" t="s">
        <v>290</v>
      </c>
      <c r="D294" s="41" t="s">
        <v>124</v>
      </c>
      <c r="E294" s="42" t="s">
        <v>88</v>
      </c>
      <c r="G294" s="66"/>
      <c r="H294" s="74">
        <v>639</v>
      </c>
      <c r="I294" s="74">
        <v>986</v>
      </c>
      <c r="J294" s="74">
        <v>1012</v>
      </c>
      <c r="K294" s="74">
        <v>1202</v>
      </c>
      <c r="L294" s="74">
        <v>1060</v>
      </c>
      <c r="M294" s="74">
        <v>533</v>
      </c>
      <c r="N294" s="76" cm="1">
        <f t="array" ref="N294">SUM((H294:L294)/5)</f>
        <v>979.8</v>
      </c>
      <c r="O294" s="74">
        <v>1100</v>
      </c>
      <c r="P294" s="66"/>
      <c r="Q294" s="77">
        <v>50.334000000000003</v>
      </c>
      <c r="R294" s="77">
        <v>63.256999999999998</v>
      </c>
      <c r="S294" s="77">
        <v>0.441</v>
      </c>
      <c r="T294" s="77">
        <v>0.441</v>
      </c>
      <c r="U294" s="77">
        <f t="shared" si="32"/>
        <v>440</v>
      </c>
      <c r="V294" s="77">
        <f t="shared" si="33"/>
        <v>660</v>
      </c>
      <c r="W294" s="66"/>
      <c r="X294" s="77" t="s">
        <v>257</v>
      </c>
      <c r="Y294" s="77" t="s">
        <v>291</v>
      </c>
      <c r="Z294" s="79">
        <f>SUM(26.71966+25.05524)/2</f>
        <v>25.887450000000001</v>
      </c>
      <c r="AA294" s="80">
        <f t="shared" si="38"/>
        <v>42.714292499999999</v>
      </c>
      <c r="AB294" s="66"/>
      <c r="AC294" s="81">
        <v>365</v>
      </c>
      <c r="AD294" s="82">
        <f t="shared" si="34"/>
        <v>115.7603</v>
      </c>
      <c r="AE294" s="82">
        <f t="shared" si="35"/>
        <v>126.64049999999999</v>
      </c>
      <c r="AF294" s="82">
        <f t="shared" si="36"/>
        <v>113.9</v>
      </c>
      <c r="AG294" s="82">
        <f t="shared" si="36"/>
        <v>281.91000000000003</v>
      </c>
      <c r="AH294" s="114"/>
      <c r="AI294" s="114"/>
      <c r="AJ294" s="83">
        <f t="shared" si="37"/>
        <v>638.21080000000006</v>
      </c>
      <c r="AK294" s="82"/>
      <c r="AL294" s="84"/>
      <c r="AM294" s="66"/>
    </row>
    <row r="295" spans="3:39" ht="60" x14ac:dyDescent="0.3">
      <c r="C295" s="41" t="s">
        <v>290</v>
      </c>
      <c r="D295" s="41" t="s">
        <v>124</v>
      </c>
      <c r="E295" s="42" t="s">
        <v>88</v>
      </c>
      <c r="G295" s="66"/>
      <c r="H295" s="74">
        <v>612</v>
      </c>
      <c r="I295" s="74">
        <v>682</v>
      </c>
      <c r="J295" s="74">
        <v>605</v>
      </c>
      <c r="K295" s="74">
        <v>1321</v>
      </c>
      <c r="L295" s="74">
        <v>960</v>
      </c>
      <c r="M295" s="74">
        <v>597</v>
      </c>
      <c r="N295" s="76" cm="1">
        <f t="array" ref="N295">SUM((H295:L295)/5)</f>
        <v>836</v>
      </c>
      <c r="O295" s="74">
        <v>900</v>
      </c>
      <c r="P295" s="66"/>
      <c r="Q295" s="77">
        <v>50.334000000000003</v>
      </c>
      <c r="R295" s="77">
        <v>63.256999999999998</v>
      </c>
      <c r="S295" s="77">
        <v>0.441</v>
      </c>
      <c r="T295" s="77">
        <v>0.441</v>
      </c>
      <c r="U295" s="77">
        <f t="shared" si="32"/>
        <v>360</v>
      </c>
      <c r="V295" s="77">
        <f t="shared" si="33"/>
        <v>540</v>
      </c>
      <c r="W295" s="66"/>
      <c r="X295" s="77" t="s">
        <v>292</v>
      </c>
      <c r="Y295" s="77" t="s">
        <v>293</v>
      </c>
      <c r="Z295" s="79">
        <f>SUM(26.74955+25.26816)/2</f>
        <v>26.008855000000001</v>
      </c>
      <c r="AA295" s="80">
        <f t="shared" si="38"/>
        <v>42.914610750000001</v>
      </c>
      <c r="AB295" s="66"/>
      <c r="AC295" s="81">
        <v>365</v>
      </c>
      <c r="AD295" s="82">
        <f t="shared" si="34"/>
        <v>115.7603</v>
      </c>
      <c r="AE295" s="82">
        <f t="shared" si="35"/>
        <v>126.64049999999999</v>
      </c>
      <c r="AF295" s="82">
        <f t="shared" si="36"/>
        <v>93.63</v>
      </c>
      <c r="AG295" s="82">
        <f t="shared" si="36"/>
        <v>231.74</v>
      </c>
      <c r="AH295" s="114"/>
      <c r="AI295" s="114"/>
      <c r="AJ295" s="83">
        <f t="shared" si="37"/>
        <v>567.77080000000001</v>
      </c>
      <c r="AK295" s="82"/>
      <c r="AL295" s="84"/>
      <c r="AM295" s="66"/>
    </row>
    <row r="296" spans="3:39" ht="90" x14ac:dyDescent="0.3">
      <c r="C296" s="41" t="s">
        <v>634</v>
      </c>
      <c r="D296" s="41" t="s">
        <v>124</v>
      </c>
      <c r="E296" s="42" t="s">
        <v>88</v>
      </c>
      <c r="G296" s="66"/>
      <c r="H296" s="74">
        <v>4259</v>
      </c>
      <c r="I296" s="74">
        <v>3035</v>
      </c>
      <c r="J296" s="74">
        <v>2699</v>
      </c>
      <c r="K296" s="74">
        <v>2596</v>
      </c>
      <c r="L296" s="74">
        <v>1468</v>
      </c>
      <c r="M296" s="74">
        <v>649</v>
      </c>
      <c r="N296" s="76" cm="1">
        <f t="array" ref="N296">SUM((H296:L296)/5)</f>
        <v>2811.4</v>
      </c>
      <c r="O296" s="74">
        <v>2300</v>
      </c>
      <c r="P296" s="66"/>
      <c r="Q296" s="77">
        <v>50.334000000000003</v>
      </c>
      <c r="R296" s="77">
        <v>63.256999999999998</v>
      </c>
      <c r="S296" s="77">
        <v>0.441</v>
      </c>
      <c r="T296" s="77">
        <v>0.441</v>
      </c>
      <c r="U296" s="77">
        <f t="shared" si="32"/>
        <v>920</v>
      </c>
      <c r="V296" s="77">
        <f t="shared" si="33"/>
        <v>1380</v>
      </c>
      <c r="W296" s="66"/>
      <c r="X296" s="77" t="s">
        <v>268</v>
      </c>
      <c r="Y296" s="77" t="s">
        <v>294</v>
      </c>
      <c r="Z296" s="79">
        <f>SUM(27.34186+24.91049+25.22969)/3</f>
        <v>25.827346666666667</v>
      </c>
      <c r="AA296" s="80">
        <f t="shared" si="38"/>
        <v>42.615122</v>
      </c>
      <c r="AB296" s="66"/>
      <c r="AC296" s="81">
        <v>365</v>
      </c>
      <c r="AD296" s="82">
        <f t="shared" si="34"/>
        <v>115.7603</v>
      </c>
      <c r="AE296" s="82">
        <f t="shared" si="35"/>
        <v>126.64049999999999</v>
      </c>
      <c r="AF296" s="82">
        <f t="shared" si="36"/>
        <v>237.61</v>
      </c>
      <c r="AG296" s="82">
        <f t="shared" si="36"/>
        <v>588.09</v>
      </c>
      <c r="AH296" s="114"/>
      <c r="AI296" s="114"/>
      <c r="AJ296" s="83">
        <f t="shared" si="37"/>
        <v>1068.1008000000002</v>
      </c>
      <c r="AK296" s="82"/>
      <c r="AL296" s="84"/>
      <c r="AM296" s="66"/>
    </row>
    <row r="297" spans="3:39" ht="75" x14ac:dyDescent="0.3">
      <c r="C297" s="41" t="s">
        <v>634</v>
      </c>
      <c r="D297" s="41" t="s">
        <v>124</v>
      </c>
      <c r="E297" s="42" t="s">
        <v>88</v>
      </c>
      <c r="G297" s="66"/>
      <c r="H297" s="74">
        <v>2857</v>
      </c>
      <c r="I297" s="74">
        <v>3765</v>
      </c>
      <c r="J297" s="74">
        <v>3983</v>
      </c>
      <c r="K297" s="74">
        <v>3803</v>
      </c>
      <c r="L297" s="74">
        <v>1612</v>
      </c>
      <c r="M297" s="74">
        <v>686</v>
      </c>
      <c r="N297" s="76" cm="1">
        <f t="array" ref="N297">SUM((H297:L297)/5)</f>
        <v>3204</v>
      </c>
      <c r="O297" s="74">
        <v>3200</v>
      </c>
      <c r="P297" s="66"/>
      <c r="Q297" s="77">
        <v>59.098999999999997</v>
      </c>
      <c r="R297" s="77">
        <v>88.853999999999999</v>
      </c>
      <c r="S297" s="77">
        <v>0.441</v>
      </c>
      <c r="T297" s="77">
        <v>0.441</v>
      </c>
      <c r="U297" s="77">
        <f t="shared" si="32"/>
        <v>1280</v>
      </c>
      <c r="V297" s="77">
        <f t="shared" si="33"/>
        <v>1920</v>
      </c>
      <c r="W297" s="66"/>
      <c r="X297" s="77" t="s">
        <v>295</v>
      </c>
      <c r="Y297" s="77" t="s">
        <v>296</v>
      </c>
      <c r="Z297" s="79">
        <f>SUM(27.34486+24.91463+25.2339)/3</f>
        <v>25.831130000000002</v>
      </c>
      <c r="AA297" s="80">
        <f t="shared" si="38"/>
        <v>42.621364499999999</v>
      </c>
      <c r="AB297" s="66"/>
      <c r="AC297" s="81">
        <v>365</v>
      </c>
      <c r="AD297" s="82">
        <f t="shared" si="34"/>
        <v>162.6028</v>
      </c>
      <c r="AE297" s="82">
        <f t="shared" si="35"/>
        <v>177.88569999999999</v>
      </c>
      <c r="AF297" s="82">
        <f t="shared" si="36"/>
        <v>330.64</v>
      </c>
      <c r="AG297" s="82">
        <f t="shared" si="36"/>
        <v>818.33</v>
      </c>
      <c r="AH297" s="114"/>
      <c r="AI297" s="114"/>
      <c r="AJ297" s="83">
        <f t="shared" si="37"/>
        <v>1489.4585000000002</v>
      </c>
      <c r="AK297" s="82"/>
      <c r="AL297" s="84"/>
      <c r="AM297" s="66"/>
    </row>
    <row r="298" spans="3:39" ht="90" x14ac:dyDescent="0.3">
      <c r="C298" s="41" t="s">
        <v>634</v>
      </c>
      <c r="D298" s="41" t="s">
        <v>124</v>
      </c>
      <c r="E298" s="42" t="s">
        <v>88</v>
      </c>
      <c r="G298" s="66"/>
      <c r="H298" s="74">
        <v>1686</v>
      </c>
      <c r="I298" s="74">
        <v>1677</v>
      </c>
      <c r="J298" s="74">
        <v>1714</v>
      </c>
      <c r="K298" s="74">
        <v>1718</v>
      </c>
      <c r="L298" s="74">
        <v>1359</v>
      </c>
      <c r="M298" s="74">
        <v>861</v>
      </c>
      <c r="N298" s="76" cm="1">
        <f t="array" ref="N298">SUM((H298:L298)/5)</f>
        <v>1630.8</v>
      </c>
      <c r="O298" s="74">
        <v>1630</v>
      </c>
      <c r="P298" s="66" t="s">
        <v>2</v>
      </c>
      <c r="Q298" s="77">
        <v>50.344000000000001</v>
      </c>
      <c r="R298" s="77">
        <v>63.256999999999998</v>
      </c>
      <c r="S298" s="77">
        <v>0.441</v>
      </c>
      <c r="T298" s="77">
        <v>0.441</v>
      </c>
      <c r="U298" s="77">
        <f t="shared" si="32"/>
        <v>652</v>
      </c>
      <c r="V298" s="77">
        <f t="shared" si="33"/>
        <v>978</v>
      </c>
      <c r="W298" s="66"/>
      <c r="X298" s="77" t="s">
        <v>268</v>
      </c>
      <c r="Y298" s="77" t="s">
        <v>297</v>
      </c>
      <c r="Z298" s="79">
        <f>SUM(27.46996+25.04039+25.36024)/3</f>
        <v>25.956863333333335</v>
      </c>
      <c r="AA298" s="80">
        <f t="shared" si="38"/>
        <v>42.828824500000003</v>
      </c>
      <c r="AB298" s="66"/>
      <c r="AC298" s="81">
        <v>365</v>
      </c>
      <c r="AD298" s="82">
        <f t="shared" si="34"/>
        <v>115.7603</v>
      </c>
      <c r="AE298" s="82">
        <f t="shared" si="35"/>
        <v>126.64049999999999</v>
      </c>
      <c r="AF298" s="82">
        <f t="shared" si="36"/>
        <v>169.24</v>
      </c>
      <c r="AG298" s="82">
        <f t="shared" si="36"/>
        <v>418.87</v>
      </c>
      <c r="AH298" s="114"/>
      <c r="AI298" s="114"/>
      <c r="AJ298" s="83">
        <f t="shared" si="37"/>
        <v>830.51080000000002</v>
      </c>
      <c r="AK298" s="82"/>
      <c r="AL298" s="84"/>
      <c r="AM298" s="66"/>
    </row>
    <row r="299" spans="3:39" ht="90" x14ac:dyDescent="0.3">
      <c r="C299" s="41" t="s">
        <v>634</v>
      </c>
      <c r="D299" s="41" t="s">
        <v>124</v>
      </c>
      <c r="E299" s="42" t="s">
        <v>88</v>
      </c>
      <c r="G299" s="66"/>
      <c r="H299" s="74">
        <v>1737</v>
      </c>
      <c r="I299" s="74">
        <v>1728</v>
      </c>
      <c r="J299" s="74">
        <v>1741</v>
      </c>
      <c r="K299" s="74">
        <v>1751</v>
      </c>
      <c r="L299" s="74">
        <v>1493</v>
      </c>
      <c r="M299" s="74">
        <v>684</v>
      </c>
      <c r="N299" s="76" cm="1">
        <f t="array" ref="N299">SUM((H299:L299)/5)</f>
        <v>1690</v>
      </c>
      <c r="O299" s="74">
        <v>1690</v>
      </c>
      <c r="P299" s="66"/>
      <c r="Q299" s="77">
        <v>50.344000000000001</v>
      </c>
      <c r="R299" s="77">
        <v>63.256999999999998</v>
      </c>
      <c r="S299" s="77">
        <v>0.441</v>
      </c>
      <c r="T299" s="77">
        <v>0.441</v>
      </c>
      <c r="U299" s="77">
        <f t="shared" si="32"/>
        <v>676</v>
      </c>
      <c r="V299" s="77">
        <f t="shared" si="33"/>
        <v>1014</v>
      </c>
      <c r="W299" s="66"/>
      <c r="X299" s="77" t="s">
        <v>268</v>
      </c>
      <c r="Y299" s="77" t="s">
        <v>298</v>
      </c>
      <c r="Z299" s="79">
        <f>SUM(27.46764+25.03845+25.35765)/3</f>
        <v>25.954580000000004</v>
      </c>
      <c r="AA299" s="80">
        <f t="shared" si="38"/>
        <v>42.825057000000008</v>
      </c>
      <c r="AB299" s="66"/>
      <c r="AC299" s="81">
        <v>365</v>
      </c>
      <c r="AD299" s="82">
        <f t="shared" si="34"/>
        <v>115.7603</v>
      </c>
      <c r="AE299" s="82">
        <f t="shared" si="35"/>
        <v>126.64049999999999</v>
      </c>
      <c r="AF299" s="82">
        <f t="shared" si="36"/>
        <v>175.45</v>
      </c>
      <c r="AG299" s="82">
        <f t="shared" si="36"/>
        <v>434.25</v>
      </c>
      <c r="AH299" s="114"/>
      <c r="AI299" s="114"/>
      <c r="AJ299" s="83">
        <f t="shared" si="37"/>
        <v>852.10079999999994</v>
      </c>
      <c r="AK299" s="82"/>
      <c r="AL299" s="84"/>
      <c r="AM299" s="66"/>
    </row>
    <row r="300" spans="3:39" ht="60" x14ac:dyDescent="0.3">
      <c r="C300" s="41" t="s">
        <v>635</v>
      </c>
      <c r="D300" s="41" t="s">
        <v>124</v>
      </c>
      <c r="E300" s="42" t="s">
        <v>88</v>
      </c>
      <c r="G300" s="66"/>
      <c r="H300" s="74">
        <v>3562</v>
      </c>
      <c r="I300" s="74">
        <v>4014</v>
      </c>
      <c r="J300" s="74">
        <v>3933</v>
      </c>
      <c r="K300" s="74">
        <v>2758</v>
      </c>
      <c r="L300" s="74">
        <v>1950</v>
      </c>
      <c r="M300" s="74">
        <v>889</v>
      </c>
      <c r="N300" s="76" cm="1">
        <f t="array" ref="N300">SUM((H300:L300)/5)</f>
        <v>3243.3999999999996</v>
      </c>
      <c r="O300" s="74">
        <v>3000</v>
      </c>
      <c r="P300" s="66"/>
      <c r="Q300" s="77">
        <v>59.098999999999997</v>
      </c>
      <c r="R300" s="77">
        <v>88.853999999999999</v>
      </c>
      <c r="S300" s="77">
        <v>0.441</v>
      </c>
      <c r="T300" s="77">
        <v>0.441</v>
      </c>
      <c r="U300" s="77">
        <f t="shared" si="32"/>
        <v>1200</v>
      </c>
      <c r="V300" s="77">
        <f t="shared" si="33"/>
        <v>1800</v>
      </c>
      <c r="W300" s="66"/>
      <c r="X300" s="77" t="s">
        <v>295</v>
      </c>
      <c r="Y300" s="77" t="s">
        <v>299</v>
      </c>
      <c r="Z300" s="79">
        <f>SUM(27.3968+24.96755+25.2864)/3</f>
        <v>25.883583333333334</v>
      </c>
      <c r="AA300" s="80">
        <f t="shared" si="38"/>
        <v>42.707912500000006</v>
      </c>
      <c r="AB300" s="66"/>
      <c r="AC300" s="81">
        <v>365</v>
      </c>
      <c r="AD300" s="82">
        <f t="shared" si="34"/>
        <v>162.6028</v>
      </c>
      <c r="AE300" s="82">
        <f t="shared" si="35"/>
        <v>177.88569999999999</v>
      </c>
      <c r="AF300" s="82">
        <f t="shared" si="36"/>
        <v>310.60000000000002</v>
      </c>
      <c r="AG300" s="82">
        <f t="shared" si="36"/>
        <v>768.74</v>
      </c>
      <c r="AH300" s="114"/>
      <c r="AI300" s="114"/>
      <c r="AJ300" s="83">
        <f t="shared" si="37"/>
        <v>1419.8285000000001</v>
      </c>
      <c r="AK300" s="82"/>
      <c r="AL300" s="84"/>
      <c r="AM300" s="66"/>
    </row>
    <row r="301" spans="3:39" ht="90" x14ac:dyDescent="0.3">
      <c r="C301" s="41" t="s">
        <v>635</v>
      </c>
      <c r="D301" s="41" t="s">
        <v>124</v>
      </c>
      <c r="E301" s="42" t="s">
        <v>88</v>
      </c>
      <c r="G301" s="66"/>
      <c r="H301" s="74">
        <v>3287</v>
      </c>
      <c r="I301" s="74">
        <v>2583</v>
      </c>
      <c r="J301" s="74">
        <v>2122</v>
      </c>
      <c r="K301" s="74">
        <v>1831</v>
      </c>
      <c r="L301" s="74">
        <v>1300</v>
      </c>
      <c r="M301" s="74">
        <v>62</v>
      </c>
      <c r="N301" s="76" cm="1">
        <f t="array" ref="N301">SUM((H301:L301)/5)</f>
        <v>2224.6000000000004</v>
      </c>
      <c r="O301" s="74">
        <v>1500</v>
      </c>
      <c r="P301" s="66"/>
      <c r="Q301" s="77">
        <v>50.334000000000003</v>
      </c>
      <c r="R301" s="77">
        <v>63.256999999999998</v>
      </c>
      <c r="S301" s="77">
        <v>0.441</v>
      </c>
      <c r="T301" s="77">
        <v>0.441</v>
      </c>
      <c r="U301" s="77">
        <f t="shared" si="32"/>
        <v>600</v>
      </c>
      <c r="V301" s="77">
        <f t="shared" si="33"/>
        <v>900</v>
      </c>
      <c r="W301" s="66"/>
      <c r="X301" s="77" t="s">
        <v>268</v>
      </c>
      <c r="Y301" s="77" t="s">
        <v>300</v>
      </c>
      <c r="Z301" s="79">
        <f>SUM(27.32044+24.89187+25.21162)/3</f>
        <v>25.807976666666665</v>
      </c>
      <c r="AA301" s="80">
        <f t="shared" si="38"/>
        <v>42.583161500000003</v>
      </c>
      <c r="AB301" s="66"/>
      <c r="AC301" s="81">
        <v>365</v>
      </c>
      <c r="AD301" s="82">
        <f t="shared" si="34"/>
        <v>115.7603</v>
      </c>
      <c r="AE301" s="82">
        <f t="shared" si="35"/>
        <v>126.64049999999999</v>
      </c>
      <c r="AF301" s="82">
        <f t="shared" si="36"/>
        <v>154.85</v>
      </c>
      <c r="AG301" s="82">
        <f t="shared" si="36"/>
        <v>383.25</v>
      </c>
      <c r="AH301" s="114"/>
      <c r="AI301" s="114"/>
      <c r="AJ301" s="83">
        <f t="shared" si="37"/>
        <v>780.50080000000003</v>
      </c>
      <c r="AK301" s="82"/>
      <c r="AL301" s="84"/>
      <c r="AM301" s="66"/>
    </row>
    <row r="302" spans="3:39" ht="15.6" x14ac:dyDescent="0.3">
      <c r="C302" s="41" t="s">
        <v>636</v>
      </c>
      <c r="D302" s="41" t="s">
        <v>124</v>
      </c>
      <c r="E302" s="42" t="s">
        <v>88</v>
      </c>
      <c r="G302" s="66"/>
      <c r="H302" s="74">
        <v>248</v>
      </c>
      <c r="I302" s="74">
        <v>236</v>
      </c>
      <c r="J302" s="74">
        <v>217</v>
      </c>
      <c r="K302" s="74">
        <v>240</v>
      </c>
      <c r="L302" s="74">
        <v>122</v>
      </c>
      <c r="M302" s="74">
        <v>73</v>
      </c>
      <c r="N302" s="76" cm="1">
        <f t="array" ref="N302">SUM((H302:L302)/5)</f>
        <v>212.60000000000002</v>
      </c>
      <c r="O302" s="74">
        <v>200</v>
      </c>
      <c r="P302" s="66"/>
      <c r="Q302" s="77">
        <v>49.308</v>
      </c>
      <c r="R302" s="77">
        <v>72.016000000000005</v>
      </c>
      <c r="S302" s="77">
        <v>0.441</v>
      </c>
      <c r="T302" s="77">
        <v>0.441</v>
      </c>
      <c r="U302" s="77">
        <f t="shared" si="32"/>
        <v>80</v>
      </c>
      <c r="V302" s="77">
        <f t="shared" si="33"/>
        <v>120</v>
      </c>
      <c r="W302" s="66"/>
      <c r="X302" s="77">
        <v>15.868</v>
      </c>
      <c r="Y302" s="77">
        <v>27.08182</v>
      </c>
      <c r="Z302" s="79">
        <v>27.08182</v>
      </c>
      <c r="AA302" s="80">
        <f t="shared" si="38"/>
        <v>44.685003000000002</v>
      </c>
      <c r="AB302" s="66"/>
      <c r="AC302" s="81">
        <v>365</v>
      </c>
      <c r="AD302" s="82">
        <f t="shared" si="34"/>
        <v>131.7893</v>
      </c>
      <c r="AE302" s="82">
        <f t="shared" si="35"/>
        <v>144.17600000000002</v>
      </c>
      <c r="AF302" s="82">
        <f t="shared" si="36"/>
        <v>21.67</v>
      </c>
      <c r="AG302" s="82">
        <f t="shared" si="36"/>
        <v>53.62</v>
      </c>
      <c r="AH302" s="114"/>
      <c r="AI302" s="114"/>
      <c r="AJ302" s="83">
        <f t="shared" si="37"/>
        <v>351.25530000000003</v>
      </c>
      <c r="AK302" s="82"/>
      <c r="AL302" s="84"/>
      <c r="AM302" s="66"/>
    </row>
    <row r="303" spans="3:39" ht="15.6" x14ac:dyDescent="0.3">
      <c r="C303" s="41" t="s">
        <v>636</v>
      </c>
      <c r="D303" s="41" t="s">
        <v>124</v>
      </c>
      <c r="E303" s="42" t="s">
        <v>88</v>
      </c>
      <c r="G303" s="66"/>
      <c r="H303" s="74">
        <v>166</v>
      </c>
      <c r="I303" s="74">
        <v>547</v>
      </c>
      <c r="J303" s="74">
        <v>175</v>
      </c>
      <c r="K303" s="74">
        <v>116</v>
      </c>
      <c r="L303" s="74">
        <v>117</v>
      </c>
      <c r="M303" s="74">
        <v>62</v>
      </c>
      <c r="N303" s="76" cm="1">
        <f t="array" ref="N303">SUM((H303:L303)/5)</f>
        <v>224.20000000000002</v>
      </c>
      <c r="O303" s="74">
        <v>200</v>
      </c>
      <c r="P303" s="66"/>
      <c r="Q303" s="77">
        <v>49.308</v>
      </c>
      <c r="R303" s="77">
        <v>72.016000000000005</v>
      </c>
      <c r="S303" s="77">
        <v>0.441</v>
      </c>
      <c r="T303" s="77">
        <v>0.441</v>
      </c>
      <c r="U303" s="77">
        <f t="shared" si="32"/>
        <v>80</v>
      </c>
      <c r="V303" s="77">
        <f t="shared" si="33"/>
        <v>120</v>
      </c>
      <c r="W303" s="66"/>
      <c r="X303" s="77">
        <v>15.868</v>
      </c>
      <c r="Y303" s="77">
        <v>27.079249999999998</v>
      </c>
      <c r="Z303" s="79">
        <v>27.079249999999998</v>
      </c>
      <c r="AA303" s="80">
        <f t="shared" si="38"/>
        <v>44.6807625</v>
      </c>
      <c r="AB303" s="66"/>
      <c r="AC303" s="81">
        <v>365</v>
      </c>
      <c r="AD303" s="82">
        <f t="shared" si="34"/>
        <v>131.7893</v>
      </c>
      <c r="AE303" s="82">
        <f t="shared" si="35"/>
        <v>144.17600000000002</v>
      </c>
      <c r="AF303" s="82">
        <f t="shared" si="36"/>
        <v>21.66</v>
      </c>
      <c r="AG303" s="82">
        <f t="shared" si="36"/>
        <v>53.62</v>
      </c>
      <c r="AH303" s="114"/>
      <c r="AI303" s="114"/>
      <c r="AJ303" s="83">
        <f t="shared" si="37"/>
        <v>351.24530000000004</v>
      </c>
      <c r="AK303" s="82"/>
      <c r="AL303" s="84"/>
      <c r="AM303" s="66"/>
    </row>
    <row r="304" spans="3:39" ht="15.6" x14ac:dyDescent="0.3">
      <c r="C304" s="41" t="s">
        <v>637</v>
      </c>
      <c r="D304" s="41" t="s">
        <v>124</v>
      </c>
      <c r="E304" s="42" t="s">
        <v>88</v>
      </c>
      <c r="G304" s="66"/>
      <c r="H304" s="74">
        <v>583</v>
      </c>
      <c r="I304" s="74">
        <v>601</v>
      </c>
      <c r="J304" s="74">
        <v>577</v>
      </c>
      <c r="K304" s="74">
        <v>643</v>
      </c>
      <c r="L304" s="74">
        <v>603</v>
      </c>
      <c r="M304" s="74">
        <v>29</v>
      </c>
      <c r="N304" s="76" cm="1">
        <f t="array" ref="N304">SUM((H304:L304)/5)</f>
        <v>601.40000000000009</v>
      </c>
      <c r="O304" s="74">
        <v>610</v>
      </c>
      <c r="P304" s="66"/>
      <c r="Q304" s="77">
        <v>49.308</v>
      </c>
      <c r="R304" s="77">
        <v>72.016000000000005</v>
      </c>
      <c r="S304" s="77">
        <v>0.441</v>
      </c>
      <c r="T304" s="77">
        <v>0.441</v>
      </c>
      <c r="U304" s="77">
        <f t="shared" si="32"/>
        <v>244</v>
      </c>
      <c r="V304" s="77">
        <f t="shared" si="33"/>
        <v>366</v>
      </c>
      <c r="W304" s="66"/>
      <c r="X304" s="77">
        <v>15.868</v>
      </c>
      <c r="Y304" s="77">
        <v>27.083320000000001</v>
      </c>
      <c r="Z304" s="79">
        <v>27.083320000000001</v>
      </c>
      <c r="AA304" s="80">
        <f t="shared" si="38"/>
        <v>44.687477999999999</v>
      </c>
      <c r="AB304" s="66"/>
      <c r="AC304" s="81">
        <v>365</v>
      </c>
      <c r="AD304" s="82">
        <f t="shared" si="34"/>
        <v>131.7893</v>
      </c>
      <c r="AE304" s="82">
        <f t="shared" si="35"/>
        <v>144.17600000000002</v>
      </c>
      <c r="AF304" s="82">
        <f t="shared" si="36"/>
        <v>66.08</v>
      </c>
      <c r="AG304" s="82">
        <f t="shared" si="36"/>
        <v>163.56</v>
      </c>
      <c r="AH304" s="114"/>
      <c r="AI304" s="114"/>
      <c r="AJ304" s="83">
        <f t="shared" si="37"/>
        <v>505.6053</v>
      </c>
      <c r="AK304" s="82"/>
      <c r="AL304" s="84"/>
      <c r="AM304" s="66"/>
    </row>
    <row r="305" spans="3:39" ht="75" x14ac:dyDescent="0.3">
      <c r="C305" s="41" t="s">
        <v>301</v>
      </c>
      <c r="D305" s="41" t="s">
        <v>124</v>
      </c>
      <c r="E305" s="42" t="s">
        <v>88</v>
      </c>
      <c r="G305" s="66"/>
      <c r="H305" s="74">
        <v>2798</v>
      </c>
      <c r="I305" s="74">
        <v>2912</v>
      </c>
      <c r="J305" s="74">
        <v>225</v>
      </c>
      <c r="K305" s="74">
        <v>798</v>
      </c>
      <c r="L305" s="74">
        <v>696</v>
      </c>
      <c r="M305" s="74">
        <v>32</v>
      </c>
      <c r="N305" s="76" cm="1">
        <f t="array" ref="N305">SUM((H305:L305)/5)</f>
        <v>1485.8</v>
      </c>
      <c r="O305" s="74">
        <v>1400</v>
      </c>
      <c r="P305" s="66"/>
      <c r="Q305" s="77">
        <v>50.334000000000003</v>
      </c>
      <c r="R305" s="77">
        <v>63.256999999999998</v>
      </c>
      <c r="S305" s="77">
        <v>0.441</v>
      </c>
      <c r="T305" s="77">
        <v>0.441</v>
      </c>
      <c r="U305" s="77">
        <f t="shared" si="32"/>
        <v>560</v>
      </c>
      <c r="V305" s="77">
        <f t="shared" si="33"/>
        <v>840</v>
      </c>
      <c r="W305" s="66"/>
      <c r="X305" s="77" t="s">
        <v>302</v>
      </c>
      <c r="Y305" s="77" t="s">
        <v>303</v>
      </c>
      <c r="Z305" s="79">
        <f>SUM(27.47578+25.0445+25.42125)</f>
        <v>77.94153</v>
      </c>
      <c r="AA305" s="80">
        <f t="shared" si="38"/>
        <v>128.60352449999999</v>
      </c>
      <c r="AB305" s="66"/>
      <c r="AC305" s="81">
        <v>365</v>
      </c>
      <c r="AD305" s="82">
        <f t="shared" si="34"/>
        <v>115.7603</v>
      </c>
      <c r="AE305" s="82">
        <f t="shared" si="35"/>
        <v>126.64049999999999</v>
      </c>
      <c r="AF305" s="82">
        <f t="shared" si="36"/>
        <v>436.47</v>
      </c>
      <c r="AG305" s="82">
        <f t="shared" si="36"/>
        <v>1080.27</v>
      </c>
      <c r="AH305" s="114"/>
      <c r="AI305" s="114"/>
      <c r="AJ305" s="83">
        <f t="shared" si="37"/>
        <v>1759.1408000000001</v>
      </c>
      <c r="AK305" s="82"/>
      <c r="AL305" s="84"/>
      <c r="AM305" s="66"/>
    </row>
    <row r="306" spans="3:39" ht="15.6" x14ac:dyDescent="0.3">
      <c r="C306" s="41" t="s">
        <v>304</v>
      </c>
      <c r="D306" s="41" t="s">
        <v>124</v>
      </c>
      <c r="E306" s="42" t="s">
        <v>88</v>
      </c>
      <c r="G306" s="66"/>
      <c r="H306" s="74">
        <v>149</v>
      </c>
      <c r="I306" s="74">
        <v>148</v>
      </c>
      <c r="J306" s="74">
        <v>149</v>
      </c>
      <c r="K306" s="74">
        <v>253</v>
      </c>
      <c r="L306" s="74">
        <v>935</v>
      </c>
      <c r="M306" s="74">
        <v>733</v>
      </c>
      <c r="N306" s="76" cm="1">
        <f t="array" ref="N306">SUM((H306:L306)/5)</f>
        <v>326.8</v>
      </c>
      <c r="O306" s="74">
        <v>800</v>
      </c>
      <c r="P306" s="66"/>
      <c r="Q306" s="77">
        <v>49.308</v>
      </c>
      <c r="R306" s="77">
        <v>72.016000000000005</v>
      </c>
      <c r="S306" s="77">
        <v>0.441</v>
      </c>
      <c r="T306" s="77">
        <v>0.441</v>
      </c>
      <c r="U306" s="77">
        <f t="shared" ref="U306:U369" si="39">IF(E306="Gas",O306*R301,O306*$R$4)</f>
        <v>320</v>
      </c>
      <c r="V306" s="77">
        <f t="shared" ref="V306:V369" si="40">IF(E306="Gas",O306*T301,O306*$T$4)</f>
        <v>480</v>
      </c>
      <c r="W306" s="66"/>
      <c r="X306" s="77">
        <v>15.868</v>
      </c>
      <c r="Y306" s="77">
        <v>27.082789999999999</v>
      </c>
      <c r="Z306" s="79">
        <v>27.082789999999999</v>
      </c>
      <c r="AA306" s="80">
        <f t="shared" si="38"/>
        <v>44.686603500000004</v>
      </c>
      <c r="AB306" s="66"/>
      <c r="AC306" s="81">
        <v>365</v>
      </c>
      <c r="AD306" s="82">
        <f t="shared" ref="AD306:AD369" si="41">ROUND(R306*183,2)/100</f>
        <v>131.7893</v>
      </c>
      <c r="AE306" s="82">
        <f t="shared" ref="AE306:AE369" si="42">ROUND((R306+R306*$AE$4)*(365-183),2)/100</f>
        <v>144.17600000000002</v>
      </c>
      <c r="AF306" s="82">
        <f t="shared" ref="AF306:AG369" si="43">ROUND((U306*Z306)/100,2)</f>
        <v>86.66</v>
      </c>
      <c r="AG306" s="82">
        <f t="shared" si="43"/>
        <v>214.5</v>
      </c>
      <c r="AH306" s="114"/>
      <c r="AI306" s="114"/>
      <c r="AJ306" s="83">
        <f t="shared" ref="AJ306:AJ369" si="44">SUM(AD306:AG306)</f>
        <v>577.12530000000004</v>
      </c>
      <c r="AK306" s="82"/>
      <c r="AL306" s="84"/>
      <c r="AM306" s="66"/>
    </row>
    <row r="307" spans="3:39" ht="90" x14ac:dyDescent="0.3">
      <c r="C307" s="41" t="s">
        <v>305</v>
      </c>
      <c r="D307" s="41" t="s">
        <v>124</v>
      </c>
      <c r="E307" s="42" t="s">
        <v>88</v>
      </c>
      <c r="G307" s="66"/>
      <c r="H307" s="74">
        <v>2124</v>
      </c>
      <c r="I307" s="74">
        <v>1686</v>
      </c>
      <c r="J307" s="74">
        <v>1327</v>
      </c>
      <c r="K307" s="74">
        <v>1442</v>
      </c>
      <c r="L307" s="74">
        <v>1426</v>
      </c>
      <c r="M307" s="74">
        <v>544</v>
      </c>
      <c r="N307" s="76" cm="1">
        <f t="array" ref="N307">SUM((H307:L307)/5)</f>
        <v>1601.0000000000002</v>
      </c>
      <c r="O307" s="74">
        <v>1550</v>
      </c>
      <c r="P307" s="66"/>
      <c r="Q307" s="77">
        <v>50.334000000000003</v>
      </c>
      <c r="R307" s="77">
        <v>63.256999999999998</v>
      </c>
      <c r="S307" s="77">
        <v>0.441</v>
      </c>
      <c r="T307" s="77">
        <v>0.441</v>
      </c>
      <c r="U307" s="77">
        <f t="shared" si="39"/>
        <v>620</v>
      </c>
      <c r="V307" s="77">
        <f t="shared" si="40"/>
        <v>930</v>
      </c>
      <c r="W307" s="66"/>
      <c r="X307" s="77" t="s">
        <v>302</v>
      </c>
      <c r="Y307" s="77" t="s">
        <v>306</v>
      </c>
      <c r="Z307" s="79">
        <f>SUM(27.46809+25.03613+24.41055)/3</f>
        <v>25.638256666666667</v>
      </c>
      <c r="AA307" s="80">
        <f t="shared" si="38"/>
        <v>42.303123499999998</v>
      </c>
      <c r="AB307" s="66"/>
      <c r="AC307" s="81">
        <v>365</v>
      </c>
      <c r="AD307" s="82">
        <f t="shared" si="41"/>
        <v>115.7603</v>
      </c>
      <c r="AE307" s="82">
        <f t="shared" si="42"/>
        <v>126.64049999999999</v>
      </c>
      <c r="AF307" s="82">
        <f t="shared" si="43"/>
        <v>158.96</v>
      </c>
      <c r="AG307" s="82">
        <f t="shared" si="43"/>
        <v>393.42</v>
      </c>
      <c r="AH307" s="114"/>
      <c r="AI307" s="114"/>
      <c r="AJ307" s="83">
        <f t="shared" si="44"/>
        <v>794.7808</v>
      </c>
      <c r="AK307" s="82"/>
      <c r="AL307" s="84"/>
      <c r="AM307" s="66"/>
    </row>
    <row r="308" spans="3:39" ht="15.6" x14ac:dyDescent="0.3">
      <c r="C308" s="41" t="s">
        <v>307</v>
      </c>
      <c r="D308" s="41" t="s">
        <v>124</v>
      </c>
      <c r="E308" s="42" t="s">
        <v>88</v>
      </c>
      <c r="G308" s="66"/>
      <c r="H308" s="74">
        <v>2240</v>
      </c>
      <c r="I308" s="74">
        <v>2239</v>
      </c>
      <c r="J308" s="74">
        <v>2298</v>
      </c>
      <c r="K308" s="74">
        <v>1862</v>
      </c>
      <c r="L308" s="74">
        <v>2688</v>
      </c>
      <c r="M308" s="74">
        <v>965</v>
      </c>
      <c r="N308" s="76" cm="1">
        <f t="array" ref="N308">SUM((H308:L308)/5)</f>
        <v>2265.4</v>
      </c>
      <c r="O308" s="74">
        <v>2300</v>
      </c>
      <c r="P308" s="66"/>
      <c r="Q308" s="77">
        <v>49.828000000000003</v>
      </c>
      <c r="R308" s="77">
        <v>63.256999999999998</v>
      </c>
      <c r="S308" s="77">
        <v>0.441</v>
      </c>
      <c r="T308" s="77">
        <v>0.441</v>
      </c>
      <c r="U308" s="77">
        <f t="shared" si="39"/>
        <v>920</v>
      </c>
      <c r="V308" s="77">
        <f t="shared" si="40"/>
        <v>1380</v>
      </c>
      <c r="W308" s="66"/>
      <c r="X308" s="77">
        <v>15.061999999999999</v>
      </c>
      <c r="Y308" s="77">
        <v>26.50638</v>
      </c>
      <c r="Z308" s="79">
        <v>26.50638</v>
      </c>
      <c r="AA308" s="80">
        <f t="shared" si="38"/>
        <v>43.735527000000005</v>
      </c>
      <c r="AB308" s="66"/>
      <c r="AC308" s="81">
        <v>365</v>
      </c>
      <c r="AD308" s="82">
        <f t="shared" si="41"/>
        <v>115.7603</v>
      </c>
      <c r="AE308" s="82">
        <f t="shared" si="42"/>
        <v>126.64049999999999</v>
      </c>
      <c r="AF308" s="82">
        <f t="shared" si="43"/>
        <v>243.86</v>
      </c>
      <c r="AG308" s="82">
        <f t="shared" si="43"/>
        <v>603.54999999999995</v>
      </c>
      <c r="AH308" s="114"/>
      <c r="AI308" s="114"/>
      <c r="AJ308" s="83">
        <f t="shared" si="44"/>
        <v>1089.8108</v>
      </c>
      <c r="AK308" s="82"/>
      <c r="AL308" s="84"/>
      <c r="AM308" s="66"/>
    </row>
    <row r="309" spans="3:39" ht="15.6" x14ac:dyDescent="0.3">
      <c r="C309" s="41" t="s">
        <v>308</v>
      </c>
      <c r="D309" s="41" t="s">
        <v>124</v>
      </c>
      <c r="E309" s="42" t="s">
        <v>88</v>
      </c>
      <c r="G309" s="66"/>
      <c r="H309" s="74">
        <v>906</v>
      </c>
      <c r="I309" s="74">
        <v>1989</v>
      </c>
      <c r="J309" s="74">
        <v>1917</v>
      </c>
      <c r="K309" s="74">
        <v>809</v>
      </c>
      <c r="L309" s="74">
        <v>382</v>
      </c>
      <c r="M309" s="74">
        <v>219</v>
      </c>
      <c r="N309" s="76" cm="1">
        <f t="array" ref="N309">SUM((H309:L309)/5)</f>
        <v>1200.6000000000001</v>
      </c>
      <c r="O309" s="74">
        <v>1200</v>
      </c>
      <c r="P309" s="66"/>
      <c r="Q309" s="77">
        <v>49.828000000000003</v>
      </c>
      <c r="R309" s="77">
        <v>63.256999999999998</v>
      </c>
      <c r="S309" s="77">
        <v>0.441</v>
      </c>
      <c r="T309" s="77">
        <v>0.441</v>
      </c>
      <c r="U309" s="77">
        <f t="shared" si="39"/>
        <v>480</v>
      </c>
      <c r="V309" s="77">
        <f t="shared" si="40"/>
        <v>720</v>
      </c>
      <c r="W309" s="66"/>
      <c r="X309" s="77">
        <v>49.828000000000003</v>
      </c>
      <c r="Y309" s="77">
        <v>26.50535</v>
      </c>
      <c r="Z309" s="79">
        <v>26.50535</v>
      </c>
      <c r="AA309" s="80">
        <f t="shared" si="38"/>
        <v>43.733827500000004</v>
      </c>
      <c r="AB309" s="66"/>
      <c r="AC309" s="81">
        <v>365</v>
      </c>
      <c r="AD309" s="82">
        <f t="shared" si="41"/>
        <v>115.7603</v>
      </c>
      <c r="AE309" s="82">
        <f t="shared" si="42"/>
        <v>126.64049999999999</v>
      </c>
      <c r="AF309" s="82">
        <f t="shared" si="43"/>
        <v>127.23</v>
      </c>
      <c r="AG309" s="82">
        <f t="shared" si="43"/>
        <v>314.88</v>
      </c>
      <c r="AH309" s="114"/>
      <c r="AI309" s="114"/>
      <c r="AJ309" s="83">
        <f t="shared" si="44"/>
        <v>684.51080000000002</v>
      </c>
      <c r="AK309" s="82"/>
      <c r="AL309" s="84"/>
      <c r="AM309" s="66"/>
    </row>
    <row r="310" spans="3:39" ht="45" x14ac:dyDescent="0.3">
      <c r="C310" s="41" t="s">
        <v>308</v>
      </c>
      <c r="D310" s="41" t="s">
        <v>124</v>
      </c>
      <c r="E310" s="42" t="s">
        <v>88</v>
      </c>
      <c r="G310" s="66"/>
      <c r="H310" s="74">
        <v>8285</v>
      </c>
      <c r="I310" s="74">
        <v>6950</v>
      </c>
      <c r="J310" s="74">
        <v>5418</v>
      </c>
      <c r="K310" s="74">
        <v>6349</v>
      </c>
      <c r="L310" s="74">
        <v>5170</v>
      </c>
      <c r="M310" s="74">
        <v>264</v>
      </c>
      <c r="N310" s="76" cm="1">
        <f t="array" ref="N310">SUM((H310:L310)/5)</f>
        <v>6434.4000000000005</v>
      </c>
      <c r="O310" s="74">
        <v>6450</v>
      </c>
      <c r="P310" s="66"/>
      <c r="Q310" s="77">
        <v>59.098999999999997</v>
      </c>
      <c r="R310" s="77">
        <v>88.853999999999999</v>
      </c>
      <c r="S310" s="77">
        <v>0.441</v>
      </c>
      <c r="T310" s="77">
        <v>0.441</v>
      </c>
      <c r="U310" s="77">
        <f t="shared" si="39"/>
        <v>2580</v>
      </c>
      <c r="V310" s="77">
        <f t="shared" si="40"/>
        <v>3870</v>
      </c>
      <c r="W310" s="66"/>
      <c r="X310" s="77" t="s">
        <v>309</v>
      </c>
      <c r="Y310" s="77" t="s">
        <v>310</v>
      </c>
      <c r="Z310" s="79">
        <f>SUM(26.6923+25.06111)/2</f>
        <v>25.876705000000001</v>
      </c>
      <c r="AA310" s="80">
        <f t="shared" si="38"/>
        <v>42.696563250000004</v>
      </c>
      <c r="AB310" s="66"/>
      <c r="AC310" s="81">
        <v>365</v>
      </c>
      <c r="AD310" s="82">
        <f t="shared" si="41"/>
        <v>162.6028</v>
      </c>
      <c r="AE310" s="82">
        <f t="shared" si="42"/>
        <v>177.88569999999999</v>
      </c>
      <c r="AF310" s="82">
        <f t="shared" si="43"/>
        <v>667.62</v>
      </c>
      <c r="AG310" s="82">
        <f t="shared" si="43"/>
        <v>1652.36</v>
      </c>
      <c r="AH310" s="114"/>
      <c r="AI310" s="114"/>
      <c r="AJ310" s="83">
        <f t="shared" si="44"/>
        <v>2660.4684999999999</v>
      </c>
      <c r="AK310" s="82"/>
      <c r="AL310" s="84"/>
      <c r="AM310" s="66"/>
    </row>
    <row r="311" spans="3:39" ht="60" x14ac:dyDescent="0.3">
      <c r="C311" s="41" t="s">
        <v>308</v>
      </c>
      <c r="D311" s="41" t="s">
        <v>124</v>
      </c>
      <c r="E311" s="42" t="s">
        <v>88</v>
      </c>
      <c r="G311" s="66"/>
      <c r="H311" s="74">
        <v>25998</v>
      </c>
      <c r="I311" s="74">
        <v>24901</v>
      </c>
      <c r="J311" s="74">
        <v>22487</v>
      </c>
      <c r="K311" s="74">
        <v>23697</v>
      </c>
      <c r="L311" s="74">
        <v>18989</v>
      </c>
      <c r="M311" s="74">
        <v>9778</v>
      </c>
      <c r="N311" s="76" cm="1">
        <f t="array" ref="N311">SUM((H311:L311)/5)</f>
        <v>23214.399999999998</v>
      </c>
      <c r="O311" s="74">
        <v>23200</v>
      </c>
      <c r="P311" s="66"/>
      <c r="Q311" s="77">
        <v>75.238</v>
      </c>
      <c r="R311" s="77">
        <v>135.40899999999999</v>
      </c>
      <c r="S311" s="77">
        <v>0.441</v>
      </c>
      <c r="T311" s="77">
        <v>0.441</v>
      </c>
      <c r="U311" s="77">
        <f t="shared" si="39"/>
        <v>9280</v>
      </c>
      <c r="V311" s="77">
        <f t="shared" si="40"/>
        <v>13920</v>
      </c>
      <c r="W311" s="66"/>
      <c r="X311" s="77" t="s">
        <v>309</v>
      </c>
      <c r="Y311" s="77" t="s">
        <v>311</v>
      </c>
      <c r="Z311" s="79">
        <f>SUM(26.73458+25.10349)/2</f>
        <v>25.919035000000001</v>
      </c>
      <c r="AA311" s="80">
        <f t="shared" si="38"/>
        <v>42.766407749999999</v>
      </c>
      <c r="AB311" s="66"/>
      <c r="AC311" s="81">
        <v>365</v>
      </c>
      <c r="AD311" s="82">
        <f t="shared" si="41"/>
        <v>247.79849999999999</v>
      </c>
      <c r="AE311" s="82">
        <f t="shared" si="42"/>
        <v>271.08879999999999</v>
      </c>
      <c r="AF311" s="82">
        <f t="shared" si="43"/>
        <v>2405.29</v>
      </c>
      <c r="AG311" s="82">
        <f t="shared" si="43"/>
        <v>5953.08</v>
      </c>
      <c r="AH311" s="114"/>
      <c r="AI311" s="114"/>
      <c r="AJ311" s="83">
        <f t="shared" si="44"/>
        <v>8877.2572999999993</v>
      </c>
      <c r="AK311" s="82"/>
      <c r="AL311" s="84"/>
      <c r="AM311" s="66"/>
    </row>
    <row r="312" spans="3:39" ht="15.6" x14ac:dyDescent="0.3">
      <c r="C312" s="41" t="s">
        <v>308</v>
      </c>
      <c r="D312" s="41" t="s">
        <v>124</v>
      </c>
      <c r="E312" s="42" t="s">
        <v>88</v>
      </c>
      <c r="G312" s="66"/>
      <c r="H312" s="74">
        <v>7544</v>
      </c>
      <c r="I312" s="74">
        <v>5884</v>
      </c>
      <c r="J312" s="74">
        <v>5904</v>
      </c>
      <c r="K312" s="74">
        <v>6245</v>
      </c>
      <c r="L312" s="74">
        <v>5103</v>
      </c>
      <c r="M312" s="74">
        <v>2995</v>
      </c>
      <c r="N312" s="76" cm="1">
        <f t="array" ref="N312">SUM((H312:L312)/5)</f>
        <v>6136</v>
      </c>
      <c r="O312" s="74">
        <v>6140</v>
      </c>
      <c r="P312" s="66"/>
      <c r="Q312" s="77">
        <v>58.593000000000004</v>
      </c>
      <c r="R312" s="77">
        <v>88.584000000000003</v>
      </c>
      <c r="S312" s="77">
        <v>0.441</v>
      </c>
      <c r="T312" s="77">
        <v>0.441</v>
      </c>
      <c r="U312" s="77">
        <f t="shared" si="39"/>
        <v>2456</v>
      </c>
      <c r="V312" s="77">
        <f t="shared" si="40"/>
        <v>3684</v>
      </c>
      <c r="W312" s="66"/>
      <c r="X312" s="77">
        <v>15.061999999999999</v>
      </c>
      <c r="Y312" s="77">
        <v>26.506219999999999</v>
      </c>
      <c r="Z312" s="79">
        <v>26.506219999999999</v>
      </c>
      <c r="AA312" s="80">
        <f t="shared" si="38"/>
        <v>43.735263000000003</v>
      </c>
      <c r="AB312" s="66"/>
      <c r="AC312" s="81">
        <v>365</v>
      </c>
      <c r="AD312" s="82">
        <f t="shared" si="41"/>
        <v>162.1087</v>
      </c>
      <c r="AE312" s="82">
        <f t="shared" si="42"/>
        <v>177.34520000000001</v>
      </c>
      <c r="AF312" s="82">
        <f t="shared" si="43"/>
        <v>650.99</v>
      </c>
      <c r="AG312" s="82">
        <f t="shared" si="43"/>
        <v>1611.21</v>
      </c>
      <c r="AH312" s="114"/>
      <c r="AI312" s="114"/>
      <c r="AJ312" s="83">
        <f t="shared" si="44"/>
        <v>2601.6539000000002</v>
      </c>
      <c r="AK312" s="82"/>
      <c r="AL312" s="84"/>
      <c r="AM312" s="66"/>
    </row>
    <row r="313" spans="3:39" ht="45" x14ac:dyDescent="0.3">
      <c r="C313" s="41" t="s">
        <v>308</v>
      </c>
      <c r="D313" s="41" t="s">
        <v>124</v>
      </c>
      <c r="E313" s="42" t="s">
        <v>88</v>
      </c>
      <c r="G313" s="66"/>
      <c r="H313" s="74">
        <v>1249</v>
      </c>
      <c r="I313" s="74">
        <v>1390</v>
      </c>
      <c r="J313" s="74">
        <v>1757</v>
      </c>
      <c r="K313" s="74">
        <v>1659</v>
      </c>
      <c r="L313" s="74">
        <v>924</v>
      </c>
      <c r="M313" s="74">
        <v>879</v>
      </c>
      <c r="N313" s="76" cm="1">
        <f t="array" ref="N313">SUM((H313:L313)/5)</f>
        <v>1395.8</v>
      </c>
      <c r="O313" s="74">
        <v>1400</v>
      </c>
      <c r="P313" s="66"/>
      <c r="Q313" s="77">
        <v>50.334000000000003</v>
      </c>
      <c r="R313" s="77">
        <v>63.256999999999998</v>
      </c>
      <c r="S313" s="77">
        <v>0.441</v>
      </c>
      <c r="T313" s="77">
        <v>0.441</v>
      </c>
      <c r="U313" s="77">
        <f t="shared" si="39"/>
        <v>560</v>
      </c>
      <c r="V313" s="77">
        <f t="shared" si="40"/>
        <v>840</v>
      </c>
      <c r="W313" s="66"/>
      <c r="X313" s="77" t="s">
        <v>257</v>
      </c>
      <c r="Y313" s="77" t="s">
        <v>312</v>
      </c>
      <c r="Z313" s="79">
        <f>SUM(26.6993+25.06881)/2</f>
        <v>25.884055</v>
      </c>
      <c r="AA313" s="80">
        <f t="shared" si="38"/>
        <v>42.708690750000002</v>
      </c>
      <c r="AB313" s="66"/>
      <c r="AC313" s="81">
        <v>365</v>
      </c>
      <c r="AD313" s="82">
        <f t="shared" si="41"/>
        <v>115.7603</v>
      </c>
      <c r="AE313" s="82">
        <f t="shared" si="42"/>
        <v>126.64049999999999</v>
      </c>
      <c r="AF313" s="82">
        <f t="shared" si="43"/>
        <v>144.94999999999999</v>
      </c>
      <c r="AG313" s="82">
        <f t="shared" si="43"/>
        <v>358.75</v>
      </c>
      <c r="AH313" s="114"/>
      <c r="AI313" s="114"/>
      <c r="AJ313" s="83">
        <f t="shared" si="44"/>
        <v>746.10079999999994</v>
      </c>
      <c r="AK313" s="82"/>
      <c r="AL313" s="84"/>
      <c r="AM313" s="66"/>
    </row>
    <row r="314" spans="3:39" ht="90" x14ac:dyDescent="0.3">
      <c r="C314" s="41" t="s">
        <v>308</v>
      </c>
      <c r="D314" s="41" t="s">
        <v>124</v>
      </c>
      <c r="E314" s="42" t="s">
        <v>88</v>
      </c>
      <c r="G314" s="66"/>
      <c r="H314" s="74">
        <v>10909</v>
      </c>
      <c r="I314" s="74">
        <v>9197</v>
      </c>
      <c r="J314" s="74">
        <v>9750</v>
      </c>
      <c r="K314" s="74">
        <v>9162</v>
      </c>
      <c r="L314" s="74">
        <v>6236</v>
      </c>
      <c r="M314" s="74">
        <v>538</v>
      </c>
      <c r="N314" s="76" cm="1">
        <f t="array" ref="N314">SUM((H314:L314)/5)</f>
        <v>9050.8000000000011</v>
      </c>
      <c r="O314" s="74">
        <v>9060</v>
      </c>
      <c r="P314" s="66"/>
      <c r="Q314" s="77">
        <v>59.098999999999997</v>
      </c>
      <c r="R314" s="77">
        <v>88.584000000000003</v>
      </c>
      <c r="S314" s="77">
        <v>0.441</v>
      </c>
      <c r="T314" s="77">
        <v>0.441</v>
      </c>
      <c r="U314" s="77">
        <f t="shared" si="39"/>
        <v>3624</v>
      </c>
      <c r="V314" s="77">
        <f t="shared" si="40"/>
        <v>5436</v>
      </c>
      <c r="W314" s="66"/>
      <c r="X314" s="77" t="s">
        <v>313</v>
      </c>
      <c r="Y314" s="77" t="s">
        <v>314</v>
      </c>
      <c r="Z314" s="79">
        <f>SUM(27.53023+25.09867+25.47335)/3</f>
        <v>26.034083333333331</v>
      </c>
      <c r="AA314" s="80">
        <f t="shared" si="38"/>
        <v>42.9562375</v>
      </c>
      <c r="AB314" s="66"/>
      <c r="AC314" s="81">
        <v>365</v>
      </c>
      <c r="AD314" s="82">
        <f t="shared" si="41"/>
        <v>162.1087</v>
      </c>
      <c r="AE314" s="82">
        <f t="shared" si="42"/>
        <v>177.34520000000001</v>
      </c>
      <c r="AF314" s="82">
        <f t="shared" si="43"/>
        <v>943.48</v>
      </c>
      <c r="AG314" s="82">
        <f t="shared" si="43"/>
        <v>2335.1</v>
      </c>
      <c r="AH314" s="114"/>
      <c r="AI314" s="114"/>
      <c r="AJ314" s="83">
        <f t="shared" si="44"/>
        <v>3618.0338999999999</v>
      </c>
      <c r="AK314" s="82"/>
      <c r="AL314" s="84"/>
      <c r="AM314" s="66"/>
    </row>
    <row r="315" spans="3:39" ht="90" x14ac:dyDescent="0.3">
      <c r="C315" s="41" t="s">
        <v>308</v>
      </c>
      <c r="D315" s="41" t="s">
        <v>124</v>
      </c>
      <c r="E315" s="42" t="s">
        <v>88</v>
      </c>
      <c r="G315" s="66"/>
      <c r="H315" s="74">
        <v>5882</v>
      </c>
      <c r="I315" s="74">
        <v>7723</v>
      </c>
      <c r="J315" s="74">
        <v>7330</v>
      </c>
      <c r="K315" s="74">
        <v>7301</v>
      </c>
      <c r="L315" s="74">
        <v>4967</v>
      </c>
      <c r="M315" s="74">
        <v>3153</v>
      </c>
      <c r="N315" s="76" cm="1">
        <f t="array" ref="N315">SUM((H315:L315)/5)</f>
        <v>6640.5999999999995</v>
      </c>
      <c r="O315" s="74">
        <v>6640</v>
      </c>
      <c r="P315" s="66"/>
      <c r="Q315" s="77">
        <v>59.098999999999997</v>
      </c>
      <c r="R315" s="77">
        <v>88.584000000000003</v>
      </c>
      <c r="S315" s="77">
        <v>0.441</v>
      </c>
      <c r="T315" s="77">
        <v>0.441</v>
      </c>
      <c r="U315" s="77">
        <f t="shared" si="39"/>
        <v>2656</v>
      </c>
      <c r="V315" s="77">
        <f t="shared" si="40"/>
        <v>3984</v>
      </c>
      <c r="W315" s="66"/>
      <c r="X315" s="77" t="s">
        <v>313</v>
      </c>
      <c r="Y315" s="77" t="s">
        <v>315</v>
      </c>
      <c r="Z315" s="79">
        <f>SUM(27.47583+25.04425+25.41879)/3</f>
        <v>25.979623333333336</v>
      </c>
      <c r="AA315" s="80">
        <f t="shared" si="38"/>
        <v>42.86637850000001</v>
      </c>
      <c r="AB315" s="66"/>
      <c r="AC315" s="81">
        <v>365</v>
      </c>
      <c r="AD315" s="82">
        <f t="shared" si="41"/>
        <v>162.1087</v>
      </c>
      <c r="AE315" s="82">
        <f t="shared" si="42"/>
        <v>177.34520000000001</v>
      </c>
      <c r="AF315" s="82">
        <f t="shared" si="43"/>
        <v>690.02</v>
      </c>
      <c r="AG315" s="82">
        <f t="shared" si="43"/>
        <v>1707.8</v>
      </c>
      <c r="AH315" s="114"/>
      <c r="AI315" s="114"/>
      <c r="AJ315" s="83">
        <f t="shared" si="44"/>
        <v>2737.2739000000001</v>
      </c>
      <c r="AK315" s="82"/>
      <c r="AL315" s="84"/>
      <c r="AM315" s="66"/>
    </row>
    <row r="316" spans="3:39" ht="90" x14ac:dyDescent="0.3">
      <c r="C316" s="41" t="s">
        <v>308</v>
      </c>
      <c r="D316" s="41" t="s">
        <v>124</v>
      </c>
      <c r="E316" s="42" t="s">
        <v>88</v>
      </c>
      <c r="G316" s="66"/>
      <c r="H316" s="74">
        <v>1924</v>
      </c>
      <c r="I316" s="74">
        <v>2081</v>
      </c>
      <c r="J316" s="74">
        <v>1913</v>
      </c>
      <c r="K316" s="74">
        <v>1931</v>
      </c>
      <c r="L316" s="74">
        <v>1453</v>
      </c>
      <c r="M316" s="74">
        <v>602</v>
      </c>
      <c r="N316" s="76" cm="1">
        <f t="array" ref="N316">SUM((H316:L316)/5)</f>
        <v>1860.4</v>
      </c>
      <c r="O316" s="74">
        <v>1860</v>
      </c>
      <c r="P316" s="66"/>
      <c r="Q316" s="77">
        <v>50.334000000000003</v>
      </c>
      <c r="R316" s="77">
        <v>63.256999999999998</v>
      </c>
      <c r="S316" s="77">
        <v>0.441</v>
      </c>
      <c r="T316" s="77">
        <v>0.441</v>
      </c>
      <c r="U316" s="77">
        <f t="shared" si="39"/>
        <v>744</v>
      </c>
      <c r="V316" s="77">
        <f t="shared" si="40"/>
        <v>1116</v>
      </c>
      <c r="W316" s="66"/>
      <c r="X316" s="77" t="s">
        <v>302</v>
      </c>
      <c r="Y316" s="77" t="s">
        <v>316</v>
      </c>
      <c r="Z316" s="79">
        <f>SUM(27.52584+25.09471+25.47005)/3</f>
        <v>26.030199999999997</v>
      </c>
      <c r="AA316" s="80">
        <f t="shared" si="38"/>
        <v>42.949829999999992</v>
      </c>
      <c r="AB316" s="66"/>
      <c r="AC316" s="81">
        <v>365</v>
      </c>
      <c r="AD316" s="82">
        <f t="shared" si="41"/>
        <v>115.7603</v>
      </c>
      <c r="AE316" s="82">
        <f t="shared" si="42"/>
        <v>126.64049999999999</v>
      </c>
      <c r="AF316" s="82">
        <f t="shared" si="43"/>
        <v>193.66</v>
      </c>
      <c r="AG316" s="82">
        <f t="shared" si="43"/>
        <v>479.32</v>
      </c>
      <c r="AH316" s="114"/>
      <c r="AI316" s="114"/>
      <c r="AJ316" s="83">
        <f t="shared" si="44"/>
        <v>915.38079999999991</v>
      </c>
      <c r="AK316" s="82"/>
      <c r="AL316" s="84"/>
      <c r="AM316" s="66"/>
    </row>
    <row r="317" spans="3:39" ht="90" x14ac:dyDescent="0.3">
      <c r="C317" s="41" t="s">
        <v>308</v>
      </c>
      <c r="D317" s="41" t="s">
        <v>124</v>
      </c>
      <c r="E317" s="42" t="s">
        <v>88</v>
      </c>
      <c r="G317" s="66"/>
      <c r="H317" s="74">
        <v>8570</v>
      </c>
      <c r="I317" s="74">
        <v>7794</v>
      </c>
      <c r="J317" s="74">
        <v>10011</v>
      </c>
      <c r="K317" s="74">
        <v>10517</v>
      </c>
      <c r="L317" s="74">
        <v>8666</v>
      </c>
      <c r="M317" s="74">
        <v>4468</v>
      </c>
      <c r="N317" s="76" cm="1">
        <f t="array" ref="N317">SUM((H317:L317)/5)</f>
        <v>9111.6</v>
      </c>
      <c r="O317" s="74">
        <v>9110</v>
      </c>
      <c r="P317" s="66"/>
      <c r="Q317" s="77">
        <v>59.098999999999997</v>
      </c>
      <c r="R317" s="77">
        <v>88.853999999999999</v>
      </c>
      <c r="S317" s="77">
        <v>0.441</v>
      </c>
      <c r="T317" s="77">
        <v>0.441</v>
      </c>
      <c r="U317" s="77">
        <f t="shared" si="39"/>
        <v>3644</v>
      </c>
      <c r="V317" s="77">
        <f t="shared" si="40"/>
        <v>5466</v>
      </c>
      <c r="W317" s="66"/>
      <c r="X317" s="77" t="s">
        <v>313</v>
      </c>
      <c r="Y317" s="77" t="s">
        <v>317</v>
      </c>
      <c r="Z317" s="79">
        <f>SUM(27.47728+25.04562+25.42018)/3</f>
        <v>25.981026666666665</v>
      </c>
      <c r="AA317" s="80">
        <f t="shared" si="38"/>
        <v>42.868693999999998</v>
      </c>
      <c r="AB317" s="66"/>
      <c r="AC317" s="81">
        <v>365</v>
      </c>
      <c r="AD317" s="82">
        <f t="shared" si="41"/>
        <v>162.6028</v>
      </c>
      <c r="AE317" s="82">
        <f t="shared" si="42"/>
        <v>177.88569999999999</v>
      </c>
      <c r="AF317" s="82">
        <f t="shared" si="43"/>
        <v>946.75</v>
      </c>
      <c r="AG317" s="82">
        <f t="shared" si="43"/>
        <v>2343.1999999999998</v>
      </c>
      <c r="AH317" s="114"/>
      <c r="AI317" s="114"/>
      <c r="AJ317" s="83">
        <f t="shared" si="44"/>
        <v>3630.4384999999997</v>
      </c>
      <c r="AK317" s="82"/>
      <c r="AL317" s="84"/>
      <c r="AM317" s="66"/>
    </row>
    <row r="318" spans="3:39" ht="90" x14ac:dyDescent="0.3">
      <c r="C318" s="41" t="s">
        <v>308</v>
      </c>
      <c r="D318" s="41" t="s">
        <v>124</v>
      </c>
      <c r="E318" s="42" t="s">
        <v>88</v>
      </c>
      <c r="G318" s="66"/>
      <c r="H318" s="74">
        <v>6179</v>
      </c>
      <c r="I318" s="74">
        <v>5850</v>
      </c>
      <c r="J318" s="74">
        <v>5839</v>
      </c>
      <c r="K318" s="74">
        <v>5681</v>
      </c>
      <c r="L318" s="74">
        <v>4697</v>
      </c>
      <c r="M318" s="74">
        <v>3865</v>
      </c>
      <c r="N318" s="76" cm="1">
        <f t="array" ref="N318">SUM((H318:L318)/5)</f>
        <v>5649.2</v>
      </c>
      <c r="O318" s="74">
        <v>5650</v>
      </c>
      <c r="P318" s="66"/>
      <c r="Q318" s="77">
        <v>59.098999999999997</v>
      </c>
      <c r="R318" s="77">
        <v>88.853999999999999</v>
      </c>
      <c r="S318" s="77">
        <v>0.441</v>
      </c>
      <c r="T318" s="77">
        <v>0.441</v>
      </c>
      <c r="U318" s="77">
        <f t="shared" si="39"/>
        <v>2260</v>
      </c>
      <c r="V318" s="77">
        <f t="shared" si="40"/>
        <v>3390</v>
      </c>
      <c r="W318" s="66"/>
      <c r="X318" s="77" t="s">
        <v>318</v>
      </c>
      <c r="Y318" s="77" t="s">
        <v>319</v>
      </c>
      <c r="Z318" s="79">
        <f>SUM(27.44941+25.01799+25.39252)/3</f>
        <v>25.953306666666666</v>
      </c>
      <c r="AA318" s="80">
        <f t="shared" si="38"/>
        <v>42.822956000000005</v>
      </c>
      <c r="AB318" s="66"/>
      <c r="AC318" s="81">
        <v>365</v>
      </c>
      <c r="AD318" s="82">
        <f t="shared" si="41"/>
        <v>162.6028</v>
      </c>
      <c r="AE318" s="82">
        <f t="shared" si="42"/>
        <v>177.88569999999999</v>
      </c>
      <c r="AF318" s="82">
        <f t="shared" si="43"/>
        <v>586.54</v>
      </c>
      <c r="AG318" s="82">
        <f t="shared" si="43"/>
        <v>1451.7</v>
      </c>
      <c r="AH318" s="114"/>
      <c r="AI318" s="114"/>
      <c r="AJ318" s="83">
        <f t="shared" si="44"/>
        <v>2378.7285000000002</v>
      </c>
      <c r="AK318" s="82"/>
      <c r="AL318" s="84"/>
      <c r="AM318" s="66"/>
    </row>
    <row r="319" spans="3:39" ht="15.6" x14ac:dyDescent="0.3">
      <c r="C319" s="41" t="s">
        <v>638</v>
      </c>
      <c r="D319" s="41" t="s">
        <v>124</v>
      </c>
      <c r="E319" s="42" t="s">
        <v>88</v>
      </c>
      <c r="G319" s="66"/>
      <c r="H319" s="74">
        <v>821</v>
      </c>
      <c r="I319" s="74">
        <v>808</v>
      </c>
      <c r="J319" s="74">
        <v>801</v>
      </c>
      <c r="K319" s="74">
        <v>818</v>
      </c>
      <c r="L319" s="74">
        <v>1032</v>
      </c>
      <c r="M319" s="74">
        <v>762</v>
      </c>
      <c r="N319" s="76" cm="1">
        <f t="array" ref="N319">SUM((H319:L319)/5)</f>
        <v>855.99999999999989</v>
      </c>
      <c r="O319" s="74">
        <v>860</v>
      </c>
      <c r="P319" s="66"/>
      <c r="Q319" s="77">
        <v>49.308</v>
      </c>
      <c r="R319" s="77">
        <v>72.016000000000005</v>
      </c>
      <c r="S319" s="77">
        <v>0.441</v>
      </c>
      <c r="T319" s="77">
        <v>0.441</v>
      </c>
      <c r="U319" s="77">
        <f t="shared" si="39"/>
        <v>344</v>
      </c>
      <c r="V319" s="77">
        <f t="shared" si="40"/>
        <v>516</v>
      </c>
      <c r="W319" s="66"/>
      <c r="X319" s="77">
        <v>15.386799999999999</v>
      </c>
      <c r="Y319" s="77">
        <v>27.083020000000001</v>
      </c>
      <c r="Z319" s="79">
        <v>27.083020000000001</v>
      </c>
      <c r="AA319" s="80">
        <f t="shared" si="38"/>
        <v>44.686982999999998</v>
      </c>
      <c r="AB319" s="66"/>
      <c r="AC319" s="81">
        <v>365</v>
      </c>
      <c r="AD319" s="82">
        <f t="shared" si="41"/>
        <v>131.7893</v>
      </c>
      <c r="AE319" s="82">
        <f t="shared" si="42"/>
        <v>144.17600000000002</v>
      </c>
      <c r="AF319" s="82">
        <f t="shared" si="43"/>
        <v>93.17</v>
      </c>
      <c r="AG319" s="82">
        <f t="shared" si="43"/>
        <v>230.58</v>
      </c>
      <c r="AH319" s="114"/>
      <c r="AI319" s="114"/>
      <c r="AJ319" s="83">
        <f t="shared" si="44"/>
        <v>599.71530000000007</v>
      </c>
      <c r="AK319" s="82"/>
      <c r="AL319" s="84"/>
      <c r="AM319" s="66"/>
    </row>
    <row r="320" spans="3:39" ht="60" x14ac:dyDescent="0.3">
      <c r="C320" s="41" t="s">
        <v>639</v>
      </c>
      <c r="D320" s="41" t="s">
        <v>124</v>
      </c>
      <c r="E320" s="42" t="s">
        <v>88</v>
      </c>
      <c r="G320" s="66"/>
      <c r="H320" s="74">
        <v>1726</v>
      </c>
      <c r="I320" s="74">
        <v>1729</v>
      </c>
      <c r="J320" s="74">
        <v>1871</v>
      </c>
      <c r="K320" s="74">
        <v>1918</v>
      </c>
      <c r="L320" s="74">
        <v>1234</v>
      </c>
      <c r="M320" s="74">
        <v>771</v>
      </c>
      <c r="N320" s="76" cm="1">
        <f t="array" ref="N320">SUM((H320:L320)/5)</f>
        <v>1695.6000000000001</v>
      </c>
      <c r="O320" s="74">
        <v>1690</v>
      </c>
      <c r="P320" s="66"/>
      <c r="Q320" s="77">
        <v>49.325000000000003</v>
      </c>
      <c r="R320" s="77">
        <v>72.016000000000005</v>
      </c>
      <c r="S320" s="77">
        <v>0.441</v>
      </c>
      <c r="T320" s="77">
        <v>0.441</v>
      </c>
      <c r="U320" s="77">
        <f t="shared" si="39"/>
        <v>676</v>
      </c>
      <c r="V320" s="77">
        <f t="shared" si="40"/>
        <v>1014</v>
      </c>
      <c r="W320" s="66"/>
      <c r="X320" s="77" t="s">
        <v>320</v>
      </c>
      <c r="Y320" s="77" t="s">
        <v>321</v>
      </c>
      <c r="Z320" s="79">
        <f>SUM(27.21446+25.09079)/2</f>
        <v>26.152625</v>
      </c>
      <c r="AA320" s="80">
        <f t="shared" si="38"/>
        <v>43.151831250000001</v>
      </c>
      <c r="AB320" s="66"/>
      <c r="AC320" s="81">
        <v>365</v>
      </c>
      <c r="AD320" s="82">
        <f t="shared" si="41"/>
        <v>131.7893</v>
      </c>
      <c r="AE320" s="82">
        <f t="shared" si="42"/>
        <v>144.17600000000002</v>
      </c>
      <c r="AF320" s="82">
        <f t="shared" si="43"/>
        <v>176.79</v>
      </c>
      <c r="AG320" s="82">
        <f t="shared" si="43"/>
        <v>437.56</v>
      </c>
      <c r="AH320" s="114"/>
      <c r="AI320" s="114"/>
      <c r="AJ320" s="83">
        <f t="shared" si="44"/>
        <v>890.31529999999998</v>
      </c>
      <c r="AK320" s="82"/>
      <c r="AL320" s="84"/>
      <c r="AM320" s="66"/>
    </row>
    <row r="321" spans="3:39" ht="15.6" x14ac:dyDescent="0.3">
      <c r="C321" s="41" t="s">
        <v>639</v>
      </c>
      <c r="D321" s="41" t="s">
        <v>124</v>
      </c>
      <c r="E321" s="42" t="s">
        <v>88</v>
      </c>
      <c r="G321" s="66"/>
      <c r="H321" s="74">
        <v>1633</v>
      </c>
      <c r="I321" s="74">
        <v>1780</v>
      </c>
      <c r="J321" s="74">
        <v>2063</v>
      </c>
      <c r="K321" s="74">
        <v>2063</v>
      </c>
      <c r="L321" s="74">
        <v>2226</v>
      </c>
      <c r="M321" s="74">
        <v>539</v>
      </c>
      <c r="N321" s="76" cm="1">
        <f t="array" ref="N321">SUM((H321:L321)/5)</f>
        <v>1953.0000000000002</v>
      </c>
      <c r="O321" s="74">
        <v>2100</v>
      </c>
      <c r="P321" s="66"/>
      <c r="Q321" s="77">
        <v>49.308</v>
      </c>
      <c r="R321" s="77">
        <v>72.016000000000005</v>
      </c>
      <c r="S321" s="77">
        <v>0.441</v>
      </c>
      <c r="T321" s="77">
        <v>0.441</v>
      </c>
      <c r="U321" s="77">
        <f t="shared" si="39"/>
        <v>840</v>
      </c>
      <c r="V321" s="77">
        <f t="shared" si="40"/>
        <v>1260</v>
      </c>
      <c r="W321" s="66"/>
      <c r="X321" s="77">
        <v>15.868</v>
      </c>
      <c r="Y321" s="77">
        <v>27.082899999999999</v>
      </c>
      <c r="Z321" s="79">
        <v>27.082899999999999</v>
      </c>
      <c r="AA321" s="80">
        <f t="shared" si="38"/>
        <v>44.686785</v>
      </c>
      <c r="AB321" s="66"/>
      <c r="AC321" s="81">
        <v>365</v>
      </c>
      <c r="AD321" s="82">
        <f t="shared" si="41"/>
        <v>131.7893</v>
      </c>
      <c r="AE321" s="82">
        <f t="shared" si="42"/>
        <v>144.17600000000002</v>
      </c>
      <c r="AF321" s="82">
        <f t="shared" si="43"/>
        <v>227.5</v>
      </c>
      <c r="AG321" s="82">
        <f t="shared" si="43"/>
        <v>563.04999999999995</v>
      </c>
      <c r="AH321" s="114"/>
      <c r="AI321" s="114"/>
      <c r="AJ321" s="83">
        <f t="shared" si="44"/>
        <v>1066.5153</v>
      </c>
      <c r="AK321" s="82"/>
      <c r="AL321" s="84"/>
      <c r="AM321" s="66"/>
    </row>
    <row r="322" spans="3:39" ht="15.6" x14ac:dyDescent="0.3">
      <c r="C322" s="41" t="s">
        <v>639</v>
      </c>
      <c r="D322" s="41" t="s">
        <v>124</v>
      </c>
      <c r="E322" s="42" t="s">
        <v>88</v>
      </c>
      <c r="G322" s="66"/>
      <c r="H322" s="74">
        <v>1788</v>
      </c>
      <c r="I322" s="74">
        <v>1929</v>
      </c>
      <c r="J322" s="74">
        <v>1976</v>
      </c>
      <c r="K322" s="74">
        <v>1977</v>
      </c>
      <c r="L322" s="74">
        <v>1214</v>
      </c>
      <c r="M322" s="74">
        <v>634</v>
      </c>
      <c r="N322" s="76" cm="1">
        <f t="array" ref="N322">SUM((H322:L322)/5)</f>
        <v>1776.8</v>
      </c>
      <c r="O322" s="74">
        <v>1850</v>
      </c>
      <c r="P322" s="66"/>
      <c r="Q322" s="77">
        <v>49.308</v>
      </c>
      <c r="R322" s="77">
        <v>72.016000000000005</v>
      </c>
      <c r="S322" s="77">
        <v>0.441</v>
      </c>
      <c r="T322" s="77">
        <v>0.441</v>
      </c>
      <c r="U322" s="77">
        <f t="shared" si="39"/>
        <v>740</v>
      </c>
      <c r="V322" s="77">
        <f t="shared" si="40"/>
        <v>1110</v>
      </c>
      <c r="W322" s="66"/>
      <c r="X322" s="77">
        <v>15.868</v>
      </c>
      <c r="Y322" s="77">
        <v>27.082840000000001</v>
      </c>
      <c r="Z322" s="79">
        <v>27.082840000000001</v>
      </c>
      <c r="AA322" s="80">
        <f t="shared" si="38"/>
        <v>44.686686000000002</v>
      </c>
      <c r="AB322" s="66"/>
      <c r="AC322" s="81">
        <v>365</v>
      </c>
      <c r="AD322" s="82">
        <f t="shared" si="41"/>
        <v>131.7893</v>
      </c>
      <c r="AE322" s="82">
        <f t="shared" si="42"/>
        <v>144.17600000000002</v>
      </c>
      <c r="AF322" s="82">
        <f t="shared" si="43"/>
        <v>200.41</v>
      </c>
      <c r="AG322" s="82">
        <f t="shared" si="43"/>
        <v>496.02</v>
      </c>
      <c r="AH322" s="114"/>
      <c r="AI322" s="114"/>
      <c r="AJ322" s="83">
        <f t="shared" si="44"/>
        <v>972.39530000000002</v>
      </c>
      <c r="AK322" s="82"/>
      <c r="AL322" s="84"/>
      <c r="AM322" s="66"/>
    </row>
    <row r="323" spans="3:39" ht="15.6" x14ac:dyDescent="0.3">
      <c r="C323" s="41" t="s">
        <v>640</v>
      </c>
      <c r="D323" s="41" t="s">
        <v>124</v>
      </c>
      <c r="E323" s="42" t="s">
        <v>88</v>
      </c>
      <c r="G323" s="66"/>
      <c r="H323" s="74">
        <v>271</v>
      </c>
      <c r="I323" s="74">
        <v>472</v>
      </c>
      <c r="J323" s="74">
        <v>567</v>
      </c>
      <c r="K323" s="74">
        <v>968</v>
      </c>
      <c r="L323" s="74">
        <v>721</v>
      </c>
      <c r="M323" s="74">
        <v>313</v>
      </c>
      <c r="N323" s="76" cm="1">
        <f t="array" ref="N323">SUM((H323:L323)/5)</f>
        <v>599.79999999999995</v>
      </c>
      <c r="O323" s="74">
        <v>800</v>
      </c>
      <c r="P323" s="66"/>
      <c r="Q323" s="77">
        <v>49.308</v>
      </c>
      <c r="R323" s="77">
        <v>72.016000000000005</v>
      </c>
      <c r="S323" s="77">
        <v>0.441</v>
      </c>
      <c r="T323" s="77">
        <v>0.441</v>
      </c>
      <c r="U323" s="77">
        <f t="shared" si="39"/>
        <v>320</v>
      </c>
      <c r="V323" s="77">
        <f t="shared" si="40"/>
        <v>480</v>
      </c>
      <c r="W323" s="66"/>
      <c r="X323" s="77">
        <v>15.868</v>
      </c>
      <c r="Y323" s="77">
        <v>27.08259</v>
      </c>
      <c r="Z323" s="79">
        <v>27.08259</v>
      </c>
      <c r="AA323" s="80">
        <f t="shared" si="38"/>
        <v>44.686273499999999</v>
      </c>
      <c r="AB323" s="66"/>
      <c r="AC323" s="81">
        <v>365</v>
      </c>
      <c r="AD323" s="82">
        <f t="shared" si="41"/>
        <v>131.7893</v>
      </c>
      <c r="AE323" s="82">
        <f t="shared" si="42"/>
        <v>144.17600000000002</v>
      </c>
      <c r="AF323" s="82">
        <f t="shared" si="43"/>
        <v>86.66</v>
      </c>
      <c r="AG323" s="82">
        <f t="shared" si="43"/>
        <v>214.49</v>
      </c>
      <c r="AH323" s="114"/>
      <c r="AI323" s="114"/>
      <c r="AJ323" s="83">
        <f t="shared" si="44"/>
        <v>577.11530000000005</v>
      </c>
      <c r="AK323" s="82"/>
      <c r="AL323" s="84"/>
      <c r="AM323" s="66"/>
    </row>
    <row r="324" spans="3:39" ht="15.6" x14ac:dyDescent="0.3">
      <c r="C324" s="41" t="s">
        <v>640</v>
      </c>
      <c r="D324" s="41" t="s">
        <v>124</v>
      </c>
      <c r="E324" s="42" t="s">
        <v>88</v>
      </c>
      <c r="G324" s="66"/>
      <c r="H324" s="74">
        <v>499</v>
      </c>
      <c r="I324" s="74">
        <v>501</v>
      </c>
      <c r="J324" s="74">
        <v>712</v>
      </c>
      <c r="K324" s="74">
        <v>651</v>
      </c>
      <c r="L324" s="74">
        <v>702</v>
      </c>
      <c r="M324" s="74">
        <v>392</v>
      </c>
      <c r="N324" s="76" cm="1">
        <f t="array" ref="N324">SUM((H324:L324)/5)</f>
        <v>613</v>
      </c>
      <c r="O324" s="74">
        <v>655</v>
      </c>
      <c r="P324" s="66"/>
      <c r="Q324" s="77">
        <v>49.308</v>
      </c>
      <c r="R324" s="77">
        <v>72.016000000000005</v>
      </c>
      <c r="S324" s="77">
        <v>0.441</v>
      </c>
      <c r="T324" s="77">
        <v>0.441</v>
      </c>
      <c r="U324" s="77">
        <f t="shared" si="39"/>
        <v>262</v>
      </c>
      <c r="V324" s="77">
        <f t="shared" si="40"/>
        <v>393</v>
      </c>
      <c r="W324" s="66"/>
      <c r="X324" s="77">
        <v>15.868</v>
      </c>
      <c r="Y324" s="77">
        <v>27.083159999999999</v>
      </c>
      <c r="Z324" s="79">
        <v>27.083159999999999</v>
      </c>
      <c r="AA324" s="80">
        <f t="shared" ref="AA324:AA387" si="45">SUM(Z324+Z324*$AA$4)</f>
        <v>44.687213999999997</v>
      </c>
      <c r="AB324" s="66"/>
      <c r="AC324" s="81">
        <v>365</v>
      </c>
      <c r="AD324" s="82">
        <f t="shared" si="41"/>
        <v>131.7893</v>
      </c>
      <c r="AE324" s="82">
        <f t="shared" si="42"/>
        <v>144.17600000000002</v>
      </c>
      <c r="AF324" s="82">
        <f t="shared" si="43"/>
        <v>70.959999999999994</v>
      </c>
      <c r="AG324" s="82">
        <f t="shared" si="43"/>
        <v>175.62</v>
      </c>
      <c r="AH324" s="114"/>
      <c r="AI324" s="114"/>
      <c r="AJ324" s="83">
        <f t="shared" si="44"/>
        <v>522.5453</v>
      </c>
      <c r="AK324" s="82"/>
      <c r="AL324" s="84"/>
      <c r="AM324" s="66"/>
    </row>
    <row r="325" spans="3:39" ht="15.6" x14ac:dyDescent="0.3">
      <c r="C325" s="41" t="s">
        <v>640</v>
      </c>
      <c r="D325" s="41" t="s">
        <v>124</v>
      </c>
      <c r="E325" s="42" t="s">
        <v>88</v>
      </c>
      <c r="G325" s="66"/>
      <c r="H325" s="74">
        <v>370</v>
      </c>
      <c r="I325" s="74">
        <v>317</v>
      </c>
      <c r="J325" s="74">
        <v>311</v>
      </c>
      <c r="K325" s="74">
        <v>311</v>
      </c>
      <c r="L325" s="74">
        <v>310</v>
      </c>
      <c r="M325" s="74">
        <v>168</v>
      </c>
      <c r="N325" s="76" cm="1">
        <f t="array" ref="N325">SUM((H325:L325)/5)</f>
        <v>323.8</v>
      </c>
      <c r="O325" s="74">
        <v>310</v>
      </c>
      <c r="P325" s="66"/>
      <c r="Q325" s="77">
        <v>49.308</v>
      </c>
      <c r="R325" s="77">
        <v>72.016000000000005</v>
      </c>
      <c r="S325" s="77">
        <v>0.441</v>
      </c>
      <c r="T325" s="77">
        <v>0.441</v>
      </c>
      <c r="U325" s="77">
        <f t="shared" si="39"/>
        <v>124</v>
      </c>
      <c r="V325" s="77">
        <f t="shared" si="40"/>
        <v>186</v>
      </c>
      <c r="W325" s="66"/>
      <c r="X325" s="77">
        <v>15.868</v>
      </c>
      <c r="Y325" s="77">
        <v>27.081720000000001</v>
      </c>
      <c r="Z325" s="79">
        <v>27.081720000000001</v>
      </c>
      <c r="AA325" s="80">
        <f t="shared" si="45"/>
        <v>44.684837999999999</v>
      </c>
      <c r="AB325" s="66"/>
      <c r="AC325" s="81">
        <v>365</v>
      </c>
      <c r="AD325" s="82">
        <f t="shared" si="41"/>
        <v>131.7893</v>
      </c>
      <c r="AE325" s="82">
        <f t="shared" si="42"/>
        <v>144.17600000000002</v>
      </c>
      <c r="AF325" s="82">
        <f t="shared" si="43"/>
        <v>33.58</v>
      </c>
      <c r="AG325" s="82">
        <f t="shared" si="43"/>
        <v>83.11</v>
      </c>
      <c r="AH325" s="114"/>
      <c r="AI325" s="114"/>
      <c r="AJ325" s="83">
        <f t="shared" si="44"/>
        <v>392.65530000000001</v>
      </c>
      <c r="AK325" s="82"/>
      <c r="AL325" s="84"/>
      <c r="AM325" s="66"/>
    </row>
    <row r="326" spans="3:39" ht="60" x14ac:dyDescent="0.3">
      <c r="C326" s="41" t="s">
        <v>322</v>
      </c>
      <c r="D326" s="41" t="s">
        <v>124</v>
      </c>
      <c r="E326" s="42" t="s">
        <v>88</v>
      </c>
      <c r="G326" s="66"/>
      <c r="H326" s="74">
        <v>1070</v>
      </c>
      <c r="I326" s="74">
        <v>884</v>
      </c>
      <c r="J326" s="74">
        <v>1092</v>
      </c>
      <c r="K326" s="74">
        <v>1238</v>
      </c>
      <c r="L326" s="74">
        <v>1062</v>
      </c>
      <c r="M326" s="74">
        <v>499</v>
      </c>
      <c r="N326" s="76" cm="1">
        <f t="array" ref="N326">SUM((H326:L326)/5)</f>
        <v>1069.2</v>
      </c>
      <c r="O326" s="74">
        <v>1100</v>
      </c>
      <c r="P326" s="66"/>
      <c r="Q326" s="77">
        <v>50.334000000000003</v>
      </c>
      <c r="R326" s="77">
        <v>63.256999999999998</v>
      </c>
      <c r="S326" s="77">
        <v>0.441</v>
      </c>
      <c r="T326" s="77">
        <v>0.441</v>
      </c>
      <c r="U326" s="77">
        <f t="shared" si="39"/>
        <v>440</v>
      </c>
      <c r="V326" s="77">
        <f t="shared" si="40"/>
        <v>660</v>
      </c>
      <c r="W326" s="66"/>
      <c r="X326" s="77" t="s">
        <v>323</v>
      </c>
      <c r="Y326" s="77" t="s">
        <v>324</v>
      </c>
      <c r="Z326" s="79">
        <f>SUM(26.71509+25.0757)/2</f>
        <v>25.895395000000001</v>
      </c>
      <c r="AA326" s="80">
        <f t="shared" si="45"/>
        <v>42.727401749999999</v>
      </c>
      <c r="AB326" s="66"/>
      <c r="AC326" s="81">
        <v>365</v>
      </c>
      <c r="AD326" s="82">
        <f t="shared" si="41"/>
        <v>115.7603</v>
      </c>
      <c r="AE326" s="82">
        <f t="shared" si="42"/>
        <v>126.64049999999999</v>
      </c>
      <c r="AF326" s="82">
        <f t="shared" si="43"/>
        <v>113.94</v>
      </c>
      <c r="AG326" s="82">
        <f t="shared" si="43"/>
        <v>282</v>
      </c>
      <c r="AH326" s="114"/>
      <c r="AI326" s="114"/>
      <c r="AJ326" s="83">
        <f t="shared" si="44"/>
        <v>638.34079999999994</v>
      </c>
      <c r="AK326" s="82"/>
      <c r="AL326" s="84"/>
      <c r="AM326" s="66"/>
    </row>
    <row r="327" spans="3:39" ht="15.6" x14ac:dyDescent="0.3">
      <c r="C327" s="41" t="s">
        <v>641</v>
      </c>
      <c r="D327" s="41" t="s">
        <v>124</v>
      </c>
      <c r="E327" s="42" t="s">
        <v>88</v>
      </c>
      <c r="G327" s="66"/>
      <c r="H327" s="74">
        <v>543</v>
      </c>
      <c r="I327" s="74">
        <v>548</v>
      </c>
      <c r="J327" s="74">
        <v>541</v>
      </c>
      <c r="K327" s="74">
        <v>522</v>
      </c>
      <c r="L327" s="74">
        <v>405</v>
      </c>
      <c r="M327" s="74">
        <v>182</v>
      </c>
      <c r="N327" s="76" cm="1">
        <f t="array" ref="N327">SUM((H327:L327)/5)</f>
        <v>511.79999999999995</v>
      </c>
      <c r="O327" s="74">
        <v>510</v>
      </c>
      <c r="P327" s="66"/>
      <c r="Q327" s="77">
        <v>49.308</v>
      </c>
      <c r="R327" s="77">
        <v>72.016000000000005</v>
      </c>
      <c r="S327" s="77">
        <v>0.441</v>
      </c>
      <c r="T327" s="77">
        <v>0.441</v>
      </c>
      <c r="U327" s="77">
        <f t="shared" si="39"/>
        <v>204</v>
      </c>
      <c r="V327" s="77">
        <f t="shared" si="40"/>
        <v>306</v>
      </c>
      <c r="W327" s="66"/>
      <c r="X327" s="77">
        <v>15.868</v>
      </c>
      <c r="Y327" s="77">
        <v>27.08351</v>
      </c>
      <c r="Z327" s="79">
        <v>27.08351</v>
      </c>
      <c r="AA327" s="80">
        <f t="shared" si="45"/>
        <v>44.687791500000003</v>
      </c>
      <c r="AB327" s="66"/>
      <c r="AC327" s="81">
        <v>365</v>
      </c>
      <c r="AD327" s="82">
        <f t="shared" si="41"/>
        <v>131.7893</v>
      </c>
      <c r="AE327" s="82">
        <f t="shared" si="42"/>
        <v>144.17600000000002</v>
      </c>
      <c r="AF327" s="82">
        <f t="shared" si="43"/>
        <v>55.25</v>
      </c>
      <c r="AG327" s="82">
        <f t="shared" si="43"/>
        <v>136.74</v>
      </c>
      <c r="AH327" s="114"/>
      <c r="AI327" s="114"/>
      <c r="AJ327" s="83">
        <f t="shared" si="44"/>
        <v>467.95530000000002</v>
      </c>
      <c r="AK327" s="82"/>
      <c r="AL327" s="84"/>
      <c r="AM327" s="66"/>
    </row>
    <row r="328" spans="3:39" ht="60" x14ac:dyDescent="0.3">
      <c r="C328" s="41" t="s">
        <v>642</v>
      </c>
      <c r="D328" s="41" t="s">
        <v>124</v>
      </c>
      <c r="E328" s="42" t="s">
        <v>88</v>
      </c>
      <c r="G328" s="66"/>
      <c r="H328" s="74">
        <v>1890</v>
      </c>
      <c r="I328" s="74">
        <v>1362</v>
      </c>
      <c r="J328" s="74">
        <v>3188</v>
      </c>
      <c r="K328" s="74">
        <v>2830</v>
      </c>
      <c r="L328" s="74">
        <v>1098</v>
      </c>
      <c r="M328" s="74">
        <v>804</v>
      </c>
      <c r="N328" s="76" cm="1">
        <f t="array" ref="N328">SUM((H328:L328)/5)</f>
        <v>2073.6</v>
      </c>
      <c r="O328" s="74">
        <v>2010</v>
      </c>
      <c r="P328" s="66"/>
      <c r="Q328" s="77">
        <v>49.325000000000003</v>
      </c>
      <c r="R328" s="77">
        <v>72.016000000000005</v>
      </c>
      <c r="S328" s="77">
        <v>0.441</v>
      </c>
      <c r="T328" s="77">
        <v>0.441</v>
      </c>
      <c r="U328" s="77">
        <f t="shared" si="39"/>
        <v>804</v>
      </c>
      <c r="V328" s="77">
        <f t="shared" si="40"/>
        <v>1206</v>
      </c>
      <c r="W328" s="66"/>
      <c r="X328" s="77" t="s">
        <v>320</v>
      </c>
      <c r="Y328" s="77" t="s">
        <v>325</v>
      </c>
      <c r="Z328" s="79">
        <f>SUM(27.24813+25.12518)/2</f>
        <v>26.186655000000002</v>
      </c>
      <c r="AA328" s="80">
        <f t="shared" si="45"/>
        <v>43.207980750000004</v>
      </c>
      <c r="AB328" s="66"/>
      <c r="AC328" s="81">
        <v>365</v>
      </c>
      <c r="AD328" s="82">
        <f t="shared" si="41"/>
        <v>131.7893</v>
      </c>
      <c r="AE328" s="82">
        <f t="shared" si="42"/>
        <v>144.17600000000002</v>
      </c>
      <c r="AF328" s="82">
        <f t="shared" si="43"/>
        <v>210.54</v>
      </c>
      <c r="AG328" s="82">
        <f t="shared" si="43"/>
        <v>521.09</v>
      </c>
      <c r="AH328" s="114"/>
      <c r="AI328" s="114"/>
      <c r="AJ328" s="83">
        <f t="shared" si="44"/>
        <v>1007.5953000000001</v>
      </c>
      <c r="AK328" s="82"/>
      <c r="AL328" s="84"/>
      <c r="AM328" s="66"/>
    </row>
    <row r="329" spans="3:39" ht="15.6" x14ac:dyDescent="0.3">
      <c r="C329" s="41" t="s">
        <v>643</v>
      </c>
      <c r="D329" s="41" t="s">
        <v>124</v>
      </c>
      <c r="E329" s="42" t="s">
        <v>88</v>
      </c>
      <c r="G329" s="66"/>
      <c r="H329" s="74">
        <v>406</v>
      </c>
      <c r="I329" s="74">
        <v>723</v>
      </c>
      <c r="J329" s="74">
        <v>1175</v>
      </c>
      <c r="K329" s="74">
        <v>751</v>
      </c>
      <c r="L329" s="74">
        <v>1039</v>
      </c>
      <c r="M329" s="74">
        <v>496</v>
      </c>
      <c r="N329" s="76" cm="1">
        <f t="array" ref="N329">SUM((H329:L329)/5)</f>
        <v>818.8</v>
      </c>
      <c r="O329" s="74">
        <v>830</v>
      </c>
      <c r="P329" s="66"/>
      <c r="Q329" s="77">
        <v>49.308</v>
      </c>
      <c r="R329" s="77">
        <v>72.016000000000005</v>
      </c>
      <c r="S329" s="77">
        <v>0.441</v>
      </c>
      <c r="T329" s="77">
        <v>0.441</v>
      </c>
      <c r="U329" s="77">
        <f t="shared" si="39"/>
        <v>332</v>
      </c>
      <c r="V329" s="77">
        <f t="shared" si="40"/>
        <v>498</v>
      </c>
      <c r="W329" s="66"/>
      <c r="X329" s="77">
        <v>15.868</v>
      </c>
      <c r="Y329" s="77">
        <v>27.082660000000001</v>
      </c>
      <c r="Z329" s="79">
        <v>27.082660000000001</v>
      </c>
      <c r="AA329" s="80">
        <f t="shared" si="45"/>
        <v>44.686389000000005</v>
      </c>
      <c r="AB329" s="66"/>
      <c r="AC329" s="81">
        <v>365</v>
      </c>
      <c r="AD329" s="82">
        <f t="shared" si="41"/>
        <v>131.7893</v>
      </c>
      <c r="AE329" s="82">
        <f t="shared" si="42"/>
        <v>144.17600000000002</v>
      </c>
      <c r="AF329" s="82">
        <f t="shared" si="43"/>
        <v>89.91</v>
      </c>
      <c r="AG329" s="82">
        <f t="shared" si="43"/>
        <v>222.54</v>
      </c>
      <c r="AH329" s="114"/>
      <c r="AI329" s="114"/>
      <c r="AJ329" s="83">
        <f t="shared" si="44"/>
        <v>588.4153</v>
      </c>
      <c r="AK329" s="82"/>
      <c r="AL329" s="84"/>
      <c r="AM329" s="66"/>
    </row>
    <row r="330" spans="3:39" ht="15.6" x14ac:dyDescent="0.3">
      <c r="C330" s="41" t="s">
        <v>644</v>
      </c>
      <c r="D330" s="41" t="s">
        <v>124</v>
      </c>
      <c r="E330" s="42" t="s">
        <v>88</v>
      </c>
      <c r="G330" s="66"/>
      <c r="H330" s="74">
        <v>2137</v>
      </c>
      <c r="I330" s="74">
        <v>1957</v>
      </c>
      <c r="J330" s="74">
        <v>1826</v>
      </c>
      <c r="K330" s="74">
        <v>1708</v>
      </c>
      <c r="L330" s="74">
        <v>1528</v>
      </c>
      <c r="M330" s="74">
        <v>587</v>
      </c>
      <c r="N330" s="76" cm="1">
        <f t="array" ref="N330">SUM((H330:L330)/5)</f>
        <v>1831.1999999999998</v>
      </c>
      <c r="O330" s="74">
        <v>1830</v>
      </c>
      <c r="P330" s="66"/>
      <c r="Q330" s="77">
        <v>49.308</v>
      </c>
      <c r="R330" s="77">
        <v>72.016000000000005</v>
      </c>
      <c r="S330" s="77">
        <v>0.441</v>
      </c>
      <c r="T330" s="77">
        <v>0.441</v>
      </c>
      <c r="U330" s="77">
        <f t="shared" si="39"/>
        <v>732</v>
      </c>
      <c r="V330" s="77">
        <f t="shared" si="40"/>
        <v>1098</v>
      </c>
      <c r="W330" s="66"/>
      <c r="X330" s="77">
        <v>15.868</v>
      </c>
      <c r="Y330" s="77">
        <v>27.082730000000002</v>
      </c>
      <c r="Z330" s="79">
        <v>27.082730000000002</v>
      </c>
      <c r="AA330" s="80">
        <f t="shared" si="45"/>
        <v>44.686504499999998</v>
      </c>
      <c r="AB330" s="66"/>
      <c r="AC330" s="81">
        <v>365</v>
      </c>
      <c r="AD330" s="82">
        <f t="shared" si="41"/>
        <v>131.7893</v>
      </c>
      <c r="AE330" s="82">
        <f t="shared" si="42"/>
        <v>144.17600000000002</v>
      </c>
      <c r="AF330" s="82">
        <f t="shared" si="43"/>
        <v>198.25</v>
      </c>
      <c r="AG330" s="82">
        <f t="shared" si="43"/>
        <v>490.66</v>
      </c>
      <c r="AH330" s="114"/>
      <c r="AI330" s="114"/>
      <c r="AJ330" s="83">
        <f t="shared" si="44"/>
        <v>964.87530000000004</v>
      </c>
      <c r="AK330" s="82"/>
      <c r="AL330" s="84"/>
      <c r="AM330" s="66"/>
    </row>
    <row r="331" spans="3:39" ht="15.6" x14ac:dyDescent="0.3">
      <c r="C331" s="41" t="s">
        <v>644</v>
      </c>
      <c r="D331" s="41" t="s">
        <v>124</v>
      </c>
      <c r="E331" s="42" t="s">
        <v>88</v>
      </c>
      <c r="G331" s="66"/>
      <c r="H331" s="74">
        <v>850</v>
      </c>
      <c r="I331" s="74">
        <v>1014</v>
      </c>
      <c r="J331" s="74">
        <v>1799</v>
      </c>
      <c r="K331" s="74">
        <v>1701</v>
      </c>
      <c r="L331" s="74">
        <v>1553</v>
      </c>
      <c r="M331" s="74">
        <v>52</v>
      </c>
      <c r="N331" s="76" cm="1">
        <f t="array" ref="N331">SUM((H331:L331)/5)</f>
        <v>1383.4</v>
      </c>
      <c r="O331" s="74">
        <v>1400</v>
      </c>
      <c r="P331" s="66"/>
      <c r="Q331" s="77">
        <v>49.308</v>
      </c>
      <c r="R331" s="77">
        <v>72.016000000000005</v>
      </c>
      <c r="S331" s="77">
        <v>0.441</v>
      </c>
      <c r="T331" s="77">
        <v>0.441</v>
      </c>
      <c r="U331" s="77">
        <f t="shared" si="39"/>
        <v>560</v>
      </c>
      <c r="V331" s="77">
        <f t="shared" si="40"/>
        <v>840</v>
      </c>
      <c r="W331" s="66"/>
      <c r="X331" s="77">
        <v>15.868</v>
      </c>
      <c r="Y331" s="77">
        <v>27.083110000000001</v>
      </c>
      <c r="Z331" s="79">
        <v>27.083110000000001</v>
      </c>
      <c r="AA331" s="80">
        <f t="shared" si="45"/>
        <v>44.687131500000007</v>
      </c>
      <c r="AB331" s="66"/>
      <c r="AC331" s="81">
        <v>365</v>
      </c>
      <c r="AD331" s="82">
        <f t="shared" si="41"/>
        <v>131.7893</v>
      </c>
      <c r="AE331" s="82">
        <f t="shared" si="42"/>
        <v>144.17600000000002</v>
      </c>
      <c r="AF331" s="82">
        <f t="shared" si="43"/>
        <v>151.66999999999999</v>
      </c>
      <c r="AG331" s="82">
        <f t="shared" si="43"/>
        <v>375.37</v>
      </c>
      <c r="AH331" s="114"/>
      <c r="AI331" s="114"/>
      <c r="AJ331" s="83">
        <f t="shared" si="44"/>
        <v>803.00530000000003</v>
      </c>
      <c r="AK331" s="82"/>
      <c r="AL331" s="84"/>
      <c r="AM331" s="66"/>
    </row>
    <row r="332" spans="3:39" ht="15.6" x14ac:dyDescent="0.3">
      <c r="C332" s="41" t="s">
        <v>645</v>
      </c>
      <c r="D332" s="41" t="s">
        <v>124</v>
      </c>
      <c r="E332" s="42" t="s">
        <v>88</v>
      </c>
      <c r="G332" s="66"/>
      <c r="H332" s="74">
        <v>895</v>
      </c>
      <c r="I332" s="74">
        <v>926</v>
      </c>
      <c r="J332" s="74">
        <v>789</v>
      </c>
      <c r="K332" s="74">
        <v>663</v>
      </c>
      <c r="L332" s="74">
        <v>610</v>
      </c>
      <c r="M332" s="74">
        <v>209</v>
      </c>
      <c r="N332" s="76" cm="1">
        <f t="array" ref="N332">SUM((H332:L332)/5)</f>
        <v>776.6</v>
      </c>
      <c r="O332" s="74">
        <v>750</v>
      </c>
      <c r="P332" s="66"/>
      <c r="Q332" s="77">
        <v>49.308</v>
      </c>
      <c r="R332" s="77">
        <v>72.016000000000005</v>
      </c>
      <c r="S332" s="77">
        <v>0.441</v>
      </c>
      <c r="T332" s="77">
        <v>0.441</v>
      </c>
      <c r="U332" s="77">
        <f t="shared" si="39"/>
        <v>300</v>
      </c>
      <c r="V332" s="77">
        <f t="shared" si="40"/>
        <v>450</v>
      </c>
      <c r="W332" s="66"/>
      <c r="X332" s="77">
        <v>15.868</v>
      </c>
      <c r="Y332" s="77">
        <v>27.083690000000001</v>
      </c>
      <c r="Z332" s="79">
        <v>27.083690000000001</v>
      </c>
      <c r="AA332" s="80">
        <f t="shared" si="45"/>
        <v>44.688088500000006</v>
      </c>
      <c r="AB332" s="66"/>
      <c r="AC332" s="81">
        <v>365</v>
      </c>
      <c r="AD332" s="82">
        <f t="shared" si="41"/>
        <v>131.7893</v>
      </c>
      <c r="AE332" s="82">
        <f t="shared" si="42"/>
        <v>144.17600000000002</v>
      </c>
      <c r="AF332" s="82">
        <f t="shared" si="43"/>
        <v>81.25</v>
      </c>
      <c r="AG332" s="82">
        <f t="shared" si="43"/>
        <v>201.1</v>
      </c>
      <c r="AH332" s="114"/>
      <c r="AI332" s="114"/>
      <c r="AJ332" s="83">
        <f t="shared" si="44"/>
        <v>558.31529999999998</v>
      </c>
      <c r="AK332" s="82"/>
      <c r="AL332" s="84"/>
      <c r="AM332" s="66"/>
    </row>
    <row r="333" spans="3:39" ht="60" x14ac:dyDescent="0.3">
      <c r="C333" s="41" t="s">
        <v>646</v>
      </c>
      <c r="D333" s="41" t="s">
        <v>124</v>
      </c>
      <c r="E333" s="42" t="s">
        <v>88</v>
      </c>
      <c r="G333" s="66"/>
      <c r="H333" s="74">
        <v>825</v>
      </c>
      <c r="I333" s="74">
        <v>645</v>
      </c>
      <c r="J333" s="74">
        <v>705</v>
      </c>
      <c r="K333" s="74">
        <v>906</v>
      </c>
      <c r="L333" s="74">
        <v>590</v>
      </c>
      <c r="M333" s="74">
        <v>314</v>
      </c>
      <c r="N333" s="76" cm="1">
        <f t="array" ref="N333">SUM((H333:L333)/5)</f>
        <v>734.2</v>
      </c>
      <c r="O333" s="74">
        <v>740</v>
      </c>
      <c r="P333" s="66"/>
      <c r="Q333" s="77">
        <v>50.334000000000003</v>
      </c>
      <c r="R333" s="77">
        <v>63.256999999999998</v>
      </c>
      <c r="S333" s="77">
        <v>0.441</v>
      </c>
      <c r="T333" s="77">
        <v>0.441</v>
      </c>
      <c r="U333" s="77">
        <f t="shared" si="39"/>
        <v>296</v>
      </c>
      <c r="V333" s="77">
        <f t="shared" si="40"/>
        <v>444</v>
      </c>
      <c r="W333" s="66"/>
      <c r="X333" s="77" t="s">
        <v>181</v>
      </c>
      <c r="Y333" s="77" t="s">
        <v>326</v>
      </c>
      <c r="Z333" s="79">
        <f>SUM(26.70487+25.07439)/2</f>
        <v>25.88963</v>
      </c>
      <c r="AA333" s="80">
        <f t="shared" si="45"/>
        <v>42.717889499999998</v>
      </c>
      <c r="AB333" s="66"/>
      <c r="AC333" s="81">
        <v>365</v>
      </c>
      <c r="AD333" s="82">
        <f t="shared" si="41"/>
        <v>115.7603</v>
      </c>
      <c r="AE333" s="82">
        <f t="shared" si="42"/>
        <v>126.64049999999999</v>
      </c>
      <c r="AF333" s="82">
        <f t="shared" si="43"/>
        <v>76.63</v>
      </c>
      <c r="AG333" s="82">
        <f t="shared" si="43"/>
        <v>189.67</v>
      </c>
      <c r="AH333" s="114"/>
      <c r="AI333" s="114"/>
      <c r="AJ333" s="83">
        <f t="shared" si="44"/>
        <v>508.70079999999996</v>
      </c>
      <c r="AK333" s="82"/>
      <c r="AL333" s="84"/>
      <c r="AM333" s="66"/>
    </row>
    <row r="334" spans="3:39" ht="60" x14ac:dyDescent="0.3">
      <c r="C334" s="41" t="s">
        <v>327</v>
      </c>
      <c r="D334" s="41" t="s">
        <v>124</v>
      </c>
      <c r="E334" s="42" t="s">
        <v>88</v>
      </c>
      <c r="G334" s="66"/>
      <c r="H334" s="74">
        <v>1110</v>
      </c>
      <c r="I334" s="74">
        <v>1756</v>
      </c>
      <c r="J334" s="74">
        <v>1785</v>
      </c>
      <c r="K334" s="74">
        <v>1460</v>
      </c>
      <c r="L334" s="74">
        <v>1065</v>
      </c>
      <c r="M334" s="74">
        <v>504</v>
      </c>
      <c r="N334" s="76" cm="1">
        <f t="array" ref="N334">SUM((H334:L334)/5)</f>
        <v>1435.2</v>
      </c>
      <c r="O334" s="74">
        <v>1435</v>
      </c>
      <c r="P334" s="66"/>
      <c r="Q334" s="77">
        <v>50.334000000000003</v>
      </c>
      <c r="R334" s="77">
        <v>63.256999999999998</v>
      </c>
      <c r="S334" s="77">
        <v>0.441</v>
      </c>
      <c r="T334" s="77">
        <v>0.441</v>
      </c>
      <c r="U334" s="77">
        <f t="shared" si="39"/>
        <v>574</v>
      </c>
      <c r="V334" s="77">
        <f t="shared" si="40"/>
        <v>861</v>
      </c>
      <c r="W334" s="66"/>
      <c r="X334" s="77" t="s">
        <v>181</v>
      </c>
      <c r="Y334" s="77" t="s">
        <v>328</v>
      </c>
      <c r="Z334" s="79">
        <f>SUM(26.68851+25.05721)/2</f>
        <v>25.872860000000003</v>
      </c>
      <c r="AA334" s="80">
        <f t="shared" si="45"/>
        <v>42.690219000000006</v>
      </c>
      <c r="AB334" s="66"/>
      <c r="AC334" s="81">
        <v>365</v>
      </c>
      <c r="AD334" s="82">
        <f t="shared" si="41"/>
        <v>115.7603</v>
      </c>
      <c r="AE334" s="82">
        <f t="shared" si="42"/>
        <v>126.64049999999999</v>
      </c>
      <c r="AF334" s="82">
        <f t="shared" si="43"/>
        <v>148.51</v>
      </c>
      <c r="AG334" s="82">
        <f t="shared" si="43"/>
        <v>367.56</v>
      </c>
      <c r="AH334" s="114"/>
      <c r="AI334" s="114"/>
      <c r="AJ334" s="83">
        <f t="shared" si="44"/>
        <v>758.47080000000005</v>
      </c>
      <c r="AK334" s="82"/>
      <c r="AL334" s="84"/>
      <c r="AM334" s="66"/>
    </row>
    <row r="335" spans="3:39" ht="15.6" x14ac:dyDescent="0.3">
      <c r="C335" s="41" t="s">
        <v>647</v>
      </c>
      <c r="D335" s="41" t="s">
        <v>124</v>
      </c>
      <c r="E335" s="42" t="s">
        <v>88</v>
      </c>
      <c r="G335" s="66"/>
      <c r="H335" s="74">
        <v>2447</v>
      </c>
      <c r="I335" s="74">
        <v>1189</v>
      </c>
      <c r="J335" s="74">
        <v>800</v>
      </c>
      <c r="K335" s="74">
        <v>726</v>
      </c>
      <c r="L335" s="74">
        <v>908</v>
      </c>
      <c r="M335" s="74">
        <v>619</v>
      </c>
      <c r="N335" s="76" cm="1">
        <f t="array" ref="N335">SUM((H335:L335)/5)</f>
        <v>1214</v>
      </c>
      <c r="O335" s="74">
        <v>1200</v>
      </c>
      <c r="P335" s="66"/>
      <c r="Q335" s="77">
        <v>49.308</v>
      </c>
      <c r="R335" s="77">
        <v>72.016000000000005</v>
      </c>
      <c r="S335" s="77">
        <v>0.441</v>
      </c>
      <c r="T335" s="77">
        <v>0.441</v>
      </c>
      <c r="U335" s="77">
        <f t="shared" si="39"/>
        <v>480</v>
      </c>
      <c r="V335" s="77">
        <f t="shared" si="40"/>
        <v>720</v>
      </c>
      <c r="W335" s="66"/>
      <c r="X335" s="77">
        <v>15.868</v>
      </c>
      <c r="Y335" s="77">
        <v>27.082419999999999</v>
      </c>
      <c r="Z335" s="79">
        <v>27.082419999999999</v>
      </c>
      <c r="AA335" s="80">
        <f t="shared" si="45"/>
        <v>44.685992999999996</v>
      </c>
      <c r="AB335" s="66"/>
      <c r="AC335" s="81">
        <v>365</v>
      </c>
      <c r="AD335" s="82">
        <f t="shared" si="41"/>
        <v>131.7893</v>
      </c>
      <c r="AE335" s="82">
        <f t="shared" si="42"/>
        <v>144.17600000000002</v>
      </c>
      <c r="AF335" s="82">
        <f t="shared" si="43"/>
        <v>130</v>
      </c>
      <c r="AG335" s="82">
        <f t="shared" si="43"/>
        <v>321.74</v>
      </c>
      <c r="AH335" s="114"/>
      <c r="AI335" s="114"/>
      <c r="AJ335" s="83">
        <f t="shared" si="44"/>
        <v>727.70530000000008</v>
      </c>
      <c r="AK335" s="82"/>
      <c r="AL335" s="84"/>
      <c r="AM335" s="66"/>
    </row>
    <row r="336" spans="3:39" ht="15.6" x14ac:dyDescent="0.3">
      <c r="C336" s="41" t="s">
        <v>647</v>
      </c>
      <c r="D336" s="41" t="s">
        <v>124</v>
      </c>
      <c r="E336" s="42" t="s">
        <v>88</v>
      </c>
      <c r="G336" s="66"/>
      <c r="H336" s="74">
        <v>1651</v>
      </c>
      <c r="I336" s="74">
        <v>1388</v>
      </c>
      <c r="J336" s="74">
        <v>1258</v>
      </c>
      <c r="K336" s="74">
        <v>1200</v>
      </c>
      <c r="L336" s="74">
        <v>1286</v>
      </c>
      <c r="M336" s="74">
        <v>286</v>
      </c>
      <c r="N336" s="76" cm="1">
        <f t="array" ref="N336">SUM((H336:L336)/5)</f>
        <v>1356.6000000000001</v>
      </c>
      <c r="O336" s="74">
        <v>1300</v>
      </c>
      <c r="P336" s="66"/>
      <c r="Q336" s="77">
        <v>49.308</v>
      </c>
      <c r="R336" s="77">
        <v>72.016000000000005</v>
      </c>
      <c r="S336" s="77">
        <v>0.441</v>
      </c>
      <c r="T336" s="77">
        <v>0.441</v>
      </c>
      <c r="U336" s="77">
        <f t="shared" si="39"/>
        <v>520</v>
      </c>
      <c r="V336" s="77">
        <f t="shared" si="40"/>
        <v>780</v>
      </c>
      <c r="W336" s="66"/>
      <c r="X336" s="77">
        <v>15.868</v>
      </c>
      <c r="Y336" s="77">
        <v>27.082979999999999</v>
      </c>
      <c r="Z336" s="79">
        <v>27.082979999999999</v>
      </c>
      <c r="AA336" s="80">
        <f t="shared" si="45"/>
        <v>44.686916999999994</v>
      </c>
      <c r="AB336" s="66"/>
      <c r="AC336" s="81">
        <v>365</v>
      </c>
      <c r="AD336" s="82">
        <f t="shared" si="41"/>
        <v>131.7893</v>
      </c>
      <c r="AE336" s="82">
        <f t="shared" si="42"/>
        <v>144.17600000000002</v>
      </c>
      <c r="AF336" s="82">
        <f t="shared" si="43"/>
        <v>140.83000000000001</v>
      </c>
      <c r="AG336" s="82">
        <f t="shared" si="43"/>
        <v>348.56</v>
      </c>
      <c r="AH336" s="114"/>
      <c r="AI336" s="114"/>
      <c r="AJ336" s="83">
        <f t="shared" si="44"/>
        <v>765.35529999999994</v>
      </c>
      <c r="AK336" s="82"/>
      <c r="AL336" s="84"/>
      <c r="AM336" s="66"/>
    </row>
    <row r="337" spans="3:39" ht="15.6" x14ac:dyDescent="0.3">
      <c r="C337" s="41" t="s">
        <v>647</v>
      </c>
      <c r="D337" s="41" t="s">
        <v>124</v>
      </c>
      <c r="E337" s="42" t="s">
        <v>88</v>
      </c>
      <c r="G337" s="66"/>
      <c r="H337" s="74">
        <v>780</v>
      </c>
      <c r="I337" s="74">
        <v>892</v>
      </c>
      <c r="J337" s="74">
        <v>906</v>
      </c>
      <c r="K337" s="74">
        <v>850</v>
      </c>
      <c r="L337" s="74">
        <v>786</v>
      </c>
      <c r="M337" s="74">
        <v>246</v>
      </c>
      <c r="N337" s="76" cm="1">
        <f t="array" ref="N337">SUM((H337:L337)/5)</f>
        <v>842.8</v>
      </c>
      <c r="O337" s="74">
        <v>840</v>
      </c>
      <c r="P337" s="66"/>
      <c r="Q337" s="77">
        <v>49.308</v>
      </c>
      <c r="R337" s="77">
        <v>72.016000000000005</v>
      </c>
      <c r="S337" s="77">
        <v>0.441</v>
      </c>
      <c r="T337" s="77">
        <v>0.441</v>
      </c>
      <c r="U337" s="77">
        <f t="shared" si="39"/>
        <v>336</v>
      </c>
      <c r="V337" s="77">
        <f t="shared" si="40"/>
        <v>504</v>
      </c>
      <c r="W337" s="66"/>
      <c r="X337" s="77">
        <v>15.868</v>
      </c>
      <c r="Y337" s="77">
        <v>27.08267</v>
      </c>
      <c r="Z337" s="79">
        <v>27.08267</v>
      </c>
      <c r="AA337" s="80">
        <f t="shared" si="45"/>
        <v>44.686405499999999</v>
      </c>
      <c r="AB337" s="66"/>
      <c r="AC337" s="81">
        <v>365</v>
      </c>
      <c r="AD337" s="82">
        <f t="shared" si="41"/>
        <v>131.7893</v>
      </c>
      <c r="AE337" s="82">
        <f t="shared" si="42"/>
        <v>144.17600000000002</v>
      </c>
      <c r="AF337" s="82">
        <f t="shared" si="43"/>
        <v>91</v>
      </c>
      <c r="AG337" s="82">
        <f t="shared" si="43"/>
        <v>225.22</v>
      </c>
      <c r="AH337" s="114"/>
      <c r="AI337" s="114"/>
      <c r="AJ337" s="83">
        <f t="shared" si="44"/>
        <v>592.18529999999998</v>
      </c>
      <c r="AK337" s="82"/>
      <c r="AL337" s="84"/>
      <c r="AM337" s="66"/>
    </row>
    <row r="338" spans="3:39" ht="90" x14ac:dyDescent="0.3">
      <c r="C338" s="41" t="s">
        <v>648</v>
      </c>
      <c r="D338" s="41" t="s">
        <v>124</v>
      </c>
      <c r="E338" s="42" t="s">
        <v>88</v>
      </c>
      <c r="G338" s="66"/>
      <c r="H338" s="74">
        <v>2096</v>
      </c>
      <c r="I338" s="74">
        <v>2371</v>
      </c>
      <c r="J338" s="74">
        <v>1849</v>
      </c>
      <c r="K338" s="74">
        <v>1316</v>
      </c>
      <c r="L338" s="74">
        <v>1529</v>
      </c>
      <c r="M338" s="74">
        <v>696</v>
      </c>
      <c r="N338" s="76" cm="1">
        <f t="array" ref="N338">SUM((H338:L338)/5)</f>
        <v>1832.2</v>
      </c>
      <c r="O338" s="74">
        <v>1830</v>
      </c>
      <c r="P338" s="66"/>
      <c r="Q338" s="77">
        <v>50.334000000000003</v>
      </c>
      <c r="R338" s="77">
        <v>63.256999999999998</v>
      </c>
      <c r="S338" s="77">
        <v>0.441</v>
      </c>
      <c r="T338" s="77">
        <v>0.441</v>
      </c>
      <c r="U338" s="77">
        <f t="shared" si="39"/>
        <v>732</v>
      </c>
      <c r="V338" s="77">
        <f t="shared" si="40"/>
        <v>1098</v>
      </c>
      <c r="W338" s="66"/>
      <c r="X338" s="77" t="s">
        <v>220</v>
      </c>
      <c r="Y338" s="77" t="s">
        <v>329</v>
      </c>
      <c r="Z338" s="79">
        <f>SUM(27.35929+24.92916+25.24792)/3</f>
        <v>25.845456666666667</v>
      </c>
      <c r="AA338" s="80">
        <f t="shared" si="45"/>
        <v>42.645003500000001</v>
      </c>
      <c r="AB338" s="66"/>
      <c r="AC338" s="81">
        <v>365</v>
      </c>
      <c r="AD338" s="82">
        <f t="shared" si="41"/>
        <v>115.7603</v>
      </c>
      <c r="AE338" s="82">
        <f t="shared" si="42"/>
        <v>126.64049999999999</v>
      </c>
      <c r="AF338" s="82">
        <f t="shared" si="43"/>
        <v>189.19</v>
      </c>
      <c r="AG338" s="82">
        <f t="shared" si="43"/>
        <v>468.24</v>
      </c>
      <c r="AH338" s="114"/>
      <c r="AI338" s="114"/>
      <c r="AJ338" s="83">
        <f t="shared" si="44"/>
        <v>899.83079999999995</v>
      </c>
      <c r="AK338" s="82"/>
      <c r="AL338" s="84"/>
      <c r="AM338" s="66"/>
    </row>
    <row r="339" spans="3:39" ht="15.6" x14ac:dyDescent="0.3">
      <c r="C339" s="41" t="s">
        <v>649</v>
      </c>
      <c r="D339" s="41" t="s">
        <v>124</v>
      </c>
      <c r="E339" s="42" t="s">
        <v>88</v>
      </c>
      <c r="G339" s="66"/>
      <c r="H339" s="74">
        <v>383</v>
      </c>
      <c r="I339" s="74">
        <v>378</v>
      </c>
      <c r="J339" s="74">
        <v>411</v>
      </c>
      <c r="K339" s="74">
        <v>424</v>
      </c>
      <c r="L339" s="74">
        <v>209</v>
      </c>
      <c r="M339" s="74">
        <v>122</v>
      </c>
      <c r="N339" s="76" cm="1">
        <f t="array" ref="N339">SUM((H339:L339)/5)</f>
        <v>361</v>
      </c>
      <c r="O339" s="74">
        <v>360</v>
      </c>
      <c r="P339" s="66"/>
      <c r="Q339" s="77">
        <v>49.828000000000003</v>
      </c>
      <c r="R339" s="77">
        <v>63.256999999999998</v>
      </c>
      <c r="S339" s="77">
        <v>0.441</v>
      </c>
      <c r="T339" s="77">
        <v>0.441</v>
      </c>
      <c r="U339" s="77">
        <f t="shared" si="39"/>
        <v>144</v>
      </c>
      <c r="V339" s="77">
        <f t="shared" si="40"/>
        <v>216</v>
      </c>
      <c r="W339" s="66"/>
      <c r="X339" s="77">
        <v>15.061999999999999</v>
      </c>
      <c r="Y339" s="77">
        <v>26.506019999999999</v>
      </c>
      <c r="Z339" s="79">
        <v>26.506019999999999</v>
      </c>
      <c r="AA339" s="80">
        <f t="shared" si="45"/>
        <v>43.734932999999998</v>
      </c>
      <c r="AB339" s="66"/>
      <c r="AC339" s="81">
        <v>365</v>
      </c>
      <c r="AD339" s="82">
        <f t="shared" si="41"/>
        <v>115.7603</v>
      </c>
      <c r="AE339" s="82">
        <f t="shared" si="42"/>
        <v>126.64049999999999</v>
      </c>
      <c r="AF339" s="82">
        <f t="shared" si="43"/>
        <v>38.17</v>
      </c>
      <c r="AG339" s="82">
        <f t="shared" si="43"/>
        <v>94.47</v>
      </c>
      <c r="AH339" s="114"/>
      <c r="AI339" s="114"/>
      <c r="AJ339" s="83">
        <f t="shared" si="44"/>
        <v>375.04079999999999</v>
      </c>
      <c r="AK339" s="82"/>
      <c r="AL339" s="84"/>
      <c r="AM339" s="66"/>
    </row>
    <row r="340" spans="3:39" ht="15.6" x14ac:dyDescent="0.3">
      <c r="C340" s="41" t="s">
        <v>650</v>
      </c>
      <c r="D340" s="41" t="s">
        <v>124</v>
      </c>
      <c r="E340" s="42" t="s">
        <v>88</v>
      </c>
      <c r="G340" s="66"/>
      <c r="H340" s="74">
        <v>777</v>
      </c>
      <c r="I340" s="74">
        <v>902</v>
      </c>
      <c r="J340" s="74">
        <v>785</v>
      </c>
      <c r="K340" s="74">
        <v>665</v>
      </c>
      <c r="L340" s="74">
        <v>429</v>
      </c>
      <c r="M340" s="74">
        <v>221</v>
      </c>
      <c r="N340" s="76" cm="1">
        <f t="array" ref="N340">SUM((H340:L340)/5)</f>
        <v>711.59999999999991</v>
      </c>
      <c r="O340" s="74">
        <v>710</v>
      </c>
      <c r="P340" s="66"/>
      <c r="Q340" s="77">
        <v>49.828000000000003</v>
      </c>
      <c r="R340" s="77">
        <v>63.256999999999998</v>
      </c>
      <c r="S340" s="77">
        <v>0.441</v>
      </c>
      <c r="T340" s="77">
        <v>0.441</v>
      </c>
      <c r="U340" s="77">
        <f t="shared" si="39"/>
        <v>284</v>
      </c>
      <c r="V340" s="77">
        <f t="shared" si="40"/>
        <v>426</v>
      </c>
      <c r="W340" s="66"/>
      <c r="X340" s="77">
        <v>15.061999999999999</v>
      </c>
      <c r="Y340" s="77">
        <v>26.506019999999999</v>
      </c>
      <c r="Z340" s="79">
        <v>26.506019999999999</v>
      </c>
      <c r="AA340" s="80">
        <f t="shared" si="45"/>
        <v>43.734932999999998</v>
      </c>
      <c r="AB340" s="66"/>
      <c r="AC340" s="81">
        <v>365</v>
      </c>
      <c r="AD340" s="82">
        <f t="shared" si="41"/>
        <v>115.7603</v>
      </c>
      <c r="AE340" s="82">
        <f t="shared" si="42"/>
        <v>126.64049999999999</v>
      </c>
      <c r="AF340" s="82">
        <f t="shared" si="43"/>
        <v>75.28</v>
      </c>
      <c r="AG340" s="82">
        <f t="shared" si="43"/>
        <v>186.31</v>
      </c>
      <c r="AH340" s="114"/>
      <c r="AI340" s="114"/>
      <c r="AJ340" s="83">
        <f t="shared" si="44"/>
        <v>503.99079999999998</v>
      </c>
      <c r="AK340" s="82"/>
      <c r="AL340" s="84"/>
      <c r="AM340" s="66"/>
    </row>
    <row r="341" spans="3:39" ht="60" x14ac:dyDescent="0.3">
      <c r="C341" s="41" t="s">
        <v>651</v>
      </c>
      <c r="D341" s="41" t="s">
        <v>124</v>
      </c>
      <c r="E341" s="42" t="s">
        <v>88</v>
      </c>
      <c r="G341" s="66"/>
      <c r="H341" s="74">
        <v>889</v>
      </c>
      <c r="I341" s="74">
        <v>893</v>
      </c>
      <c r="J341" s="74">
        <v>777</v>
      </c>
      <c r="K341" s="74">
        <v>1435</v>
      </c>
      <c r="L341" s="74">
        <v>1273</v>
      </c>
      <c r="M341" s="74">
        <v>869</v>
      </c>
      <c r="N341" s="76" cm="1">
        <f t="array" ref="N341">SUM((H341:L341)/5)</f>
        <v>1053.3999999999999</v>
      </c>
      <c r="O341" s="74">
        <v>1350</v>
      </c>
      <c r="P341" s="66"/>
      <c r="Q341" s="77">
        <v>49.325000000000003</v>
      </c>
      <c r="R341" s="77">
        <v>72.016000000000005</v>
      </c>
      <c r="S341" s="77">
        <v>0.441</v>
      </c>
      <c r="T341" s="77">
        <v>0.441</v>
      </c>
      <c r="U341" s="77">
        <f t="shared" si="39"/>
        <v>540</v>
      </c>
      <c r="V341" s="77">
        <f t="shared" si="40"/>
        <v>810</v>
      </c>
      <c r="W341" s="66"/>
      <c r="X341" s="77" t="s">
        <v>320</v>
      </c>
      <c r="Y341" s="77" t="s">
        <v>330</v>
      </c>
      <c r="Z341" s="79">
        <f>SUM(27.21353+25.09061)/2</f>
        <v>26.152070000000002</v>
      </c>
      <c r="AA341" s="80">
        <f t="shared" si="45"/>
        <v>43.150915500000004</v>
      </c>
      <c r="AB341" s="66"/>
      <c r="AC341" s="81">
        <v>365</v>
      </c>
      <c r="AD341" s="82">
        <f t="shared" si="41"/>
        <v>131.7893</v>
      </c>
      <c r="AE341" s="82">
        <f t="shared" si="42"/>
        <v>144.17600000000002</v>
      </c>
      <c r="AF341" s="82">
        <f t="shared" si="43"/>
        <v>141.22</v>
      </c>
      <c r="AG341" s="82">
        <f t="shared" si="43"/>
        <v>349.52</v>
      </c>
      <c r="AH341" s="114"/>
      <c r="AI341" s="114"/>
      <c r="AJ341" s="83">
        <f t="shared" si="44"/>
        <v>766.70529999999997</v>
      </c>
      <c r="AK341" s="82"/>
      <c r="AL341" s="84"/>
      <c r="AM341" s="66"/>
    </row>
    <row r="342" spans="3:39" ht="90" x14ac:dyDescent="0.3">
      <c r="C342" s="41" t="s">
        <v>331</v>
      </c>
      <c r="D342" s="41" t="s">
        <v>124</v>
      </c>
      <c r="E342" s="42" t="s">
        <v>88</v>
      </c>
      <c r="G342" s="66"/>
      <c r="H342" s="74">
        <v>1961</v>
      </c>
      <c r="I342" s="74">
        <v>1663</v>
      </c>
      <c r="J342" s="74">
        <v>1874</v>
      </c>
      <c r="K342" s="74">
        <v>1995</v>
      </c>
      <c r="L342" s="74">
        <v>1747</v>
      </c>
      <c r="M342" s="74">
        <v>805</v>
      </c>
      <c r="N342" s="76" cm="1">
        <f t="array" ref="N342">SUM((H342:L342)/5)</f>
        <v>1848</v>
      </c>
      <c r="O342" s="74">
        <v>1840</v>
      </c>
      <c r="P342" s="66"/>
      <c r="Q342" s="77">
        <v>50.334000000000003</v>
      </c>
      <c r="R342" s="77">
        <v>63.256999999999998</v>
      </c>
      <c r="S342" s="77">
        <v>0.441</v>
      </c>
      <c r="T342" s="77">
        <v>0.441</v>
      </c>
      <c r="U342" s="77">
        <f t="shared" si="39"/>
        <v>736</v>
      </c>
      <c r="V342" s="77">
        <f t="shared" si="40"/>
        <v>1104</v>
      </c>
      <c r="W342" s="66"/>
      <c r="X342" s="77" t="s">
        <v>220</v>
      </c>
      <c r="Y342" s="77" t="s">
        <v>332</v>
      </c>
      <c r="Z342" s="79">
        <f>SUM(27.46189+25.03166+25.35005)/3</f>
        <v>25.947866666666666</v>
      </c>
      <c r="AA342" s="80">
        <f t="shared" si="45"/>
        <v>42.813980000000001</v>
      </c>
      <c r="AB342" s="66"/>
      <c r="AC342" s="81">
        <v>365</v>
      </c>
      <c r="AD342" s="82">
        <f t="shared" si="41"/>
        <v>115.7603</v>
      </c>
      <c r="AE342" s="82">
        <f t="shared" si="42"/>
        <v>126.64049999999999</v>
      </c>
      <c r="AF342" s="82">
        <f t="shared" si="43"/>
        <v>190.98</v>
      </c>
      <c r="AG342" s="82">
        <f t="shared" si="43"/>
        <v>472.67</v>
      </c>
      <c r="AH342" s="114"/>
      <c r="AI342" s="114"/>
      <c r="AJ342" s="83">
        <f t="shared" si="44"/>
        <v>906.05079999999998</v>
      </c>
      <c r="AK342" s="82"/>
      <c r="AL342" s="84"/>
      <c r="AM342" s="66"/>
    </row>
    <row r="343" spans="3:39" ht="15.6" x14ac:dyDescent="0.3">
      <c r="C343" s="41" t="s">
        <v>652</v>
      </c>
      <c r="D343" s="41" t="s">
        <v>124</v>
      </c>
      <c r="E343" s="42" t="s">
        <v>88</v>
      </c>
      <c r="G343" s="66"/>
      <c r="H343" s="74">
        <v>357</v>
      </c>
      <c r="I343" s="74">
        <v>388</v>
      </c>
      <c r="J343" s="74">
        <v>365</v>
      </c>
      <c r="K343" s="74">
        <v>364</v>
      </c>
      <c r="L343" s="74">
        <v>263</v>
      </c>
      <c r="M343" s="74">
        <v>117</v>
      </c>
      <c r="N343" s="76" cm="1">
        <f t="array" ref="N343">SUM((H343:L343)/5)</f>
        <v>347.40000000000003</v>
      </c>
      <c r="O343" s="74">
        <v>350</v>
      </c>
      <c r="P343" s="66"/>
      <c r="Q343" s="77">
        <v>49.308</v>
      </c>
      <c r="R343" s="77">
        <v>72.016000000000005</v>
      </c>
      <c r="S343" s="77">
        <v>0.441</v>
      </c>
      <c r="T343" s="77">
        <v>0.441</v>
      </c>
      <c r="U343" s="77">
        <f t="shared" si="39"/>
        <v>140</v>
      </c>
      <c r="V343" s="77">
        <f t="shared" si="40"/>
        <v>210</v>
      </c>
      <c r="W343" s="66"/>
      <c r="X343" s="77">
        <v>15.868</v>
      </c>
      <c r="Y343" s="77">
        <v>27.08287</v>
      </c>
      <c r="Z343" s="79">
        <v>27.08287</v>
      </c>
      <c r="AA343" s="80">
        <f t="shared" si="45"/>
        <v>44.686735499999998</v>
      </c>
      <c r="AB343" s="66"/>
      <c r="AC343" s="81">
        <v>365</v>
      </c>
      <c r="AD343" s="82">
        <f t="shared" si="41"/>
        <v>131.7893</v>
      </c>
      <c r="AE343" s="82">
        <f t="shared" si="42"/>
        <v>144.17600000000002</v>
      </c>
      <c r="AF343" s="82">
        <f t="shared" si="43"/>
        <v>37.92</v>
      </c>
      <c r="AG343" s="82">
        <f t="shared" si="43"/>
        <v>93.84</v>
      </c>
      <c r="AH343" s="114"/>
      <c r="AI343" s="114"/>
      <c r="AJ343" s="83">
        <f t="shared" si="44"/>
        <v>407.72530000000006</v>
      </c>
      <c r="AK343" s="82"/>
      <c r="AL343" s="84"/>
      <c r="AM343" s="66"/>
    </row>
    <row r="344" spans="3:39" ht="15.6" x14ac:dyDescent="0.3">
      <c r="C344" s="41" t="s">
        <v>652</v>
      </c>
      <c r="D344" s="41" t="s">
        <v>124</v>
      </c>
      <c r="E344" s="42" t="s">
        <v>88</v>
      </c>
      <c r="G344" s="66"/>
      <c r="H344" s="74">
        <v>3</v>
      </c>
      <c r="I344" s="74">
        <v>357</v>
      </c>
      <c r="J344" s="74">
        <v>327</v>
      </c>
      <c r="K344" s="74">
        <v>406</v>
      </c>
      <c r="L344" s="74">
        <v>350</v>
      </c>
      <c r="M344" s="74">
        <v>47</v>
      </c>
      <c r="N344" s="76" cm="1">
        <f t="array" ref="N344">SUM((H344:L344)/5)</f>
        <v>288.60000000000002</v>
      </c>
      <c r="O344" s="74">
        <v>375</v>
      </c>
      <c r="P344" s="66"/>
      <c r="Q344" s="77">
        <v>49.308</v>
      </c>
      <c r="R344" s="77">
        <v>72.016000000000005</v>
      </c>
      <c r="S344" s="77">
        <v>0.441</v>
      </c>
      <c r="T344" s="77">
        <v>0.441</v>
      </c>
      <c r="U344" s="77">
        <f t="shared" si="39"/>
        <v>150</v>
      </c>
      <c r="V344" s="77">
        <f t="shared" si="40"/>
        <v>225</v>
      </c>
      <c r="W344" s="66"/>
      <c r="X344" s="77">
        <v>15.868</v>
      </c>
      <c r="Y344" s="77">
        <v>27.083459999999999</v>
      </c>
      <c r="Z344" s="79">
        <v>27.083459999999999</v>
      </c>
      <c r="AA344" s="80">
        <f t="shared" si="45"/>
        <v>44.687708999999998</v>
      </c>
      <c r="AB344" s="66"/>
      <c r="AC344" s="81">
        <v>365</v>
      </c>
      <c r="AD344" s="82">
        <f t="shared" si="41"/>
        <v>131.7893</v>
      </c>
      <c r="AE344" s="82">
        <f t="shared" si="42"/>
        <v>144.17600000000002</v>
      </c>
      <c r="AF344" s="82">
        <f t="shared" si="43"/>
        <v>40.630000000000003</v>
      </c>
      <c r="AG344" s="82">
        <f t="shared" si="43"/>
        <v>100.55</v>
      </c>
      <c r="AH344" s="114"/>
      <c r="AI344" s="114"/>
      <c r="AJ344" s="83">
        <f t="shared" si="44"/>
        <v>417.14530000000002</v>
      </c>
      <c r="AK344" s="82"/>
      <c r="AL344" s="84"/>
      <c r="AM344" s="66"/>
    </row>
    <row r="345" spans="3:39" ht="15.6" x14ac:dyDescent="0.3">
      <c r="C345" s="41" t="s">
        <v>652</v>
      </c>
      <c r="D345" s="41" t="s">
        <v>124</v>
      </c>
      <c r="E345" s="42" t="s">
        <v>88</v>
      </c>
      <c r="G345" s="66"/>
      <c r="H345" s="74">
        <v>0</v>
      </c>
      <c r="I345" s="74">
        <v>478</v>
      </c>
      <c r="J345" s="74">
        <v>103</v>
      </c>
      <c r="K345" s="74">
        <v>7</v>
      </c>
      <c r="L345" s="74">
        <v>79</v>
      </c>
      <c r="M345" s="74">
        <v>27</v>
      </c>
      <c r="N345" s="76" cm="1">
        <f t="array" ref="N345">SUM((H345:L345)/5)</f>
        <v>133.4</v>
      </c>
      <c r="O345" s="74">
        <v>130</v>
      </c>
      <c r="P345" s="66"/>
      <c r="Q345" s="77">
        <v>49.308</v>
      </c>
      <c r="R345" s="77">
        <v>72.016000000000005</v>
      </c>
      <c r="S345" s="77">
        <v>0.441</v>
      </c>
      <c r="T345" s="77">
        <v>0.441</v>
      </c>
      <c r="U345" s="77">
        <f t="shared" si="39"/>
        <v>52</v>
      </c>
      <c r="V345" s="77">
        <f t="shared" si="40"/>
        <v>78</v>
      </c>
      <c r="W345" s="66"/>
      <c r="X345" s="77">
        <v>15.868</v>
      </c>
      <c r="Y345" s="77">
        <v>27.089449999999999</v>
      </c>
      <c r="Z345" s="79">
        <v>27.089449999999999</v>
      </c>
      <c r="AA345" s="80">
        <f t="shared" si="45"/>
        <v>44.697592499999999</v>
      </c>
      <c r="AB345" s="66"/>
      <c r="AC345" s="81">
        <v>365</v>
      </c>
      <c r="AD345" s="82">
        <f t="shared" si="41"/>
        <v>131.7893</v>
      </c>
      <c r="AE345" s="82">
        <f t="shared" si="42"/>
        <v>144.17600000000002</v>
      </c>
      <c r="AF345" s="82">
        <f t="shared" si="43"/>
        <v>14.09</v>
      </c>
      <c r="AG345" s="82">
        <f t="shared" si="43"/>
        <v>34.86</v>
      </c>
      <c r="AH345" s="114"/>
      <c r="AI345" s="114"/>
      <c r="AJ345" s="83">
        <f t="shared" si="44"/>
        <v>324.9153</v>
      </c>
      <c r="AK345" s="82"/>
      <c r="AL345" s="84"/>
      <c r="AM345" s="66"/>
    </row>
    <row r="346" spans="3:39" ht="15.6" x14ac:dyDescent="0.3">
      <c r="C346" s="41" t="s">
        <v>653</v>
      </c>
      <c r="D346" s="41" t="s">
        <v>124</v>
      </c>
      <c r="E346" s="42" t="s">
        <v>88</v>
      </c>
      <c r="G346" s="66"/>
      <c r="H346" s="74">
        <v>531</v>
      </c>
      <c r="I346" s="74">
        <v>391</v>
      </c>
      <c r="J346" s="74">
        <v>408</v>
      </c>
      <c r="K346" s="74">
        <v>344</v>
      </c>
      <c r="L346" s="74">
        <v>311</v>
      </c>
      <c r="M346" s="74">
        <v>135</v>
      </c>
      <c r="N346" s="76" cm="1">
        <f t="array" ref="N346">SUM((H346:L346)/5)</f>
        <v>397</v>
      </c>
      <c r="O346" s="74">
        <v>390</v>
      </c>
      <c r="P346" s="66"/>
      <c r="Q346" s="77">
        <v>49.308</v>
      </c>
      <c r="R346" s="77">
        <v>72.016000000000005</v>
      </c>
      <c r="S346" s="77">
        <v>0.441</v>
      </c>
      <c r="T346" s="77">
        <v>0.441</v>
      </c>
      <c r="U346" s="77">
        <f t="shared" si="39"/>
        <v>156</v>
      </c>
      <c r="V346" s="77">
        <f t="shared" si="40"/>
        <v>234</v>
      </c>
      <c r="W346" s="66"/>
      <c r="X346" s="77">
        <v>15.868</v>
      </c>
      <c r="Y346" s="77">
        <v>27.081630000000001</v>
      </c>
      <c r="Z346" s="79">
        <v>27.081630000000001</v>
      </c>
      <c r="AA346" s="80">
        <f t="shared" si="45"/>
        <v>44.684689500000005</v>
      </c>
      <c r="AB346" s="66"/>
      <c r="AC346" s="81">
        <v>365</v>
      </c>
      <c r="AD346" s="82">
        <f t="shared" si="41"/>
        <v>131.7893</v>
      </c>
      <c r="AE346" s="82">
        <f t="shared" si="42"/>
        <v>144.17600000000002</v>
      </c>
      <c r="AF346" s="82">
        <f t="shared" si="43"/>
        <v>42.25</v>
      </c>
      <c r="AG346" s="82">
        <f t="shared" si="43"/>
        <v>104.56</v>
      </c>
      <c r="AH346" s="114"/>
      <c r="AI346" s="114"/>
      <c r="AJ346" s="83">
        <f t="shared" si="44"/>
        <v>422.77530000000002</v>
      </c>
      <c r="AK346" s="82"/>
      <c r="AL346" s="84"/>
      <c r="AM346" s="66"/>
    </row>
    <row r="347" spans="3:39" ht="90" x14ac:dyDescent="0.3">
      <c r="C347" s="41" t="s">
        <v>654</v>
      </c>
      <c r="D347" s="41" t="s">
        <v>124</v>
      </c>
      <c r="E347" s="42" t="s">
        <v>88</v>
      </c>
      <c r="G347" s="66"/>
      <c r="H347" s="74">
        <v>1789</v>
      </c>
      <c r="I347" s="74">
        <v>1535</v>
      </c>
      <c r="J347" s="74">
        <v>1476</v>
      </c>
      <c r="K347" s="74">
        <v>1641</v>
      </c>
      <c r="L347" s="74">
        <v>1595</v>
      </c>
      <c r="M347" s="74">
        <v>859</v>
      </c>
      <c r="N347" s="76" cm="1">
        <f t="array" ref="N347">SUM((H347:L347)/5)</f>
        <v>1607.2</v>
      </c>
      <c r="O347" s="74">
        <v>1610</v>
      </c>
      <c r="P347" s="66"/>
      <c r="Q347" s="77">
        <v>50.334000000000003</v>
      </c>
      <c r="R347" s="77">
        <v>63.256999999999998</v>
      </c>
      <c r="S347" s="77">
        <v>0.441</v>
      </c>
      <c r="T347" s="77">
        <v>0.441</v>
      </c>
      <c r="U347" s="77">
        <f t="shared" si="39"/>
        <v>644</v>
      </c>
      <c r="V347" s="77">
        <f t="shared" si="40"/>
        <v>966</v>
      </c>
      <c r="W347" s="66"/>
      <c r="X347" s="77" t="s">
        <v>220</v>
      </c>
      <c r="Y347" s="77" t="s">
        <v>333</v>
      </c>
      <c r="Z347" s="79">
        <f>SUM(27.91327+25.18882+25.32975)/3</f>
        <v>26.143946666666668</v>
      </c>
      <c r="AA347" s="80">
        <f t="shared" si="45"/>
        <v>43.137512000000001</v>
      </c>
      <c r="AB347" s="66"/>
      <c r="AC347" s="81">
        <v>365</v>
      </c>
      <c r="AD347" s="82">
        <f t="shared" si="41"/>
        <v>115.7603</v>
      </c>
      <c r="AE347" s="82">
        <f t="shared" si="42"/>
        <v>126.64049999999999</v>
      </c>
      <c r="AF347" s="82">
        <f t="shared" si="43"/>
        <v>168.37</v>
      </c>
      <c r="AG347" s="82">
        <f t="shared" si="43"/>
        <v>416.71</v>
      </c>
      <c r="AH347" s="114"/>
      <c r="AI347" s="114"/>
      <c r="AJ347" s="83">
        <f t="shared" si="44"/>
        <v>827.48080000000004</v>
      </c>
      <c r="AK347" s="82"/>
      <c r="AL347" s="84"/>
      <c r="AM347" s="66"/>
    </row>
    <row r="348" spans="3:39" ht="15.6" x14ac:dyDescent="0.3">
      <c r="C348" s="41" t="s">
        <v>655</v>
      </c>
      <c r="D348" s="41" t="s">
        <v>124</v>
      </c>
      <c r="E348" s="42" t="s">
        <v>88</v>
      </c>
      <c r="G348" s="66"/>
      <c r="H348" s="74">
        <v>3048</v>
      </c>
      <c r="I348" s="74">
        <v>3125</v>
      </c>
      <c r="J348" s="74">
        <v>3058</v>
      </c>
      <c r="K348" s="74">
        <v>2977</v>
      </c>
      <c r="L348" s="74">
        <v>2932</v>
      </c>
      <c r="M348" s="74">
        <v>1245</v>
      </c>
      <c r="N348" s="76" cm="1">
        <f t="array" ref="N348">SUM((H348:L348)/5)</f>
        <v>3028</v>
      </c>
      <c r="O348" s="74">
        <v>3020</v>
      </c>
      <c r="P348" s="66"/>
      <c r="Q348" s="77">
        <v>49.308</v>
      </c>
      <c r="R348" s="77">
        <v>72.016000000000005</v>
      </c>
      <c r="S348" s="77">
        <v>0.441</v>
      </c>
      <c r="T348" s="77">
        <v>0.441</v>
      </c>
      <c r="U348" s="77">
        <f t="shared" si="39"/>
        <v>1208</v>
      </c>
      <c r="V348" s="77">
        <f t="shared" si="40"/>
        <v>1812</v>
      </c>
      <c r="W348" s="66"/>
      <c r="X348" s="77">
        <v>15.868</v>
      </c>
      <c r="Y348" s="77">
        <v>27.082799999999999</v>
      </c>
      <c r="Z348" s="79">
        <v>27.082799999999999</v>
      </c>
      <c r="AA348" s="80">
        <f t="shared" si="45"/>
        <v>44.686619999999998</v>
      </c>
      <c r="AB348" s="66"/>
      <c r="AC348" s="81">
        <v>365</v>
      </c>
      <c r="AD348" s="82">
        <f t="shared" si="41"/>
        <v>131.7893</v>
      </c>
      <c r="AE348" s="82">
        <f t="shared" si="42"/>
        <v>144.17600000000002</v>
      </c>
      <c r="AF348" s="82">
        <f t="shared" si="43"/>
        <v>327.16000000000003</v>
      </c>
      <c r="AG348" s="82">
        <f t="shared" si="43"/>
        <v>809.72</v>
      </c>
      <c r="AH348" s="114"/>
      <c r="AI348" s="114"/>
      <c r="AJ348" s="83">
        <f t="shared" si="44"/>
        <v>1412.8453</v>
      </c>
      <c r="AK348" s="82"/>
      <c r="AL348" s="84"/>
      <c r="AM348" s="66"/>
    </row>
    <row r="349" spans="3:39" ht="15.6" x14ac:dyDescent="0.3">
      <c r="C349" s="41" t="s">
        <v>655</v>
      </c>
      <c r="D349" s="41" t="s">
        <v>124</v>
      </c>
      <c r="E349" s="42" t="s">
        <v>88</v>
      </c>
      <c r="G349" s="66"/>
      <c r="H349" s="74">
        <v>2269</v>
      </c>
      <c r="I349" s="74">
        <v>1807</v>
      </c>
      <c r="J349" s="74">
        <v>1854</v>
      </c>
      <c r="K349" s="74">
        <v>2043</v>
      </c>
      <c r="L349" s="74">
        <v>1938</v>
      </c>
      <c r="M349" s="74">
        <v>1108</v>
      </c>
      <c r="N349" s="76" cm="1">
        <f t="array" ref="N349">SUM((H349:L349)/5)</f>
        <v>1982.1999999999998</v>
      </c>
      <c r="O349" s="74">
        <v>1980</v>
      </c>
      <c r="P349" s="66"/>
      <c r="Q349" s="77">
        <v>49.308</v>
      </c>
      <c r="R349" s="77">
        <v>72.016000000000005</v>
      </c>
      <c r="S349" s="77">
        <v>0.441</v>
      </c>
      <c r="T349" s="77">
        <v>0.441</v>
      </c>
      <c r="U349" s="77">
        <f t="shared" si="39"/>
        <v>792</v>
      </c>
      <c r="V349" s="77">
        <f t="shared" si="40"/>
        <v>1188</v>
      </c>
      <c r="W349" s="66"/>
      <c r="X349" s="77">
        <v>15.868</v>
      </c>
      <c r="Y349" s="77">
        <v>27.082820000000002</v>
      </c>
      <c r="Z349" s="79">
        <v>27.082820000000002</v>
      </c>
      <c r="AA349" s="80">
        <f t="shared" si="45"/>
        <v>44.686653000000007</v>
      </c>
      <c r="AB349" s="66"/>
      <c r="AC349" s="81">
        <v>365</v>
      </c>
      <c r="AD349" s="82">
        <f t="shared" si="41"/>
        <v>131.7893</v>
      </c>
      <c r="AE349" s="82">
        <f t="shared" si="42"/>
        <v>144.17600000000002</v>
      </c>
      <c r="AF349" s="82">
        <f t="shared" si="43"/>
        <v>214.5</v>
      </c>
      <c r="AG349" s="82">
        <f t="shared" si="43"/>
        <v>530.88</v>
      </c>
      <c r="AH349" s="114"/>
      <c r="AI349" s="114"/>
      <c r="AJ349" s="83">
        <f t="shared" si="44"/>
        <v>1021.3453</v>
      </c>
      <c r="AK349" s="82"/>
      <c r="AL349" s="84"/>
      <c r="AM349" s="66"/>
    </row>
    <row r="350" spans="3:39" ht="15.6" x14ac:dyDescent="0.3">
      <c r="C350" s="41" t="s">
        <v>334</v>
      </c>
      <c r="D350" s="41" t="s">
        <v>124</v>
      </c>
      <c r="E350" s="42" t="s">
        <v>88</v>
      </c>
      <c r="G350" s="66"/>
      <c r="H350" s="74">
        <v>354</v>
      </c>
      <c r="I350" s="74">
        <v>377</v>
      </c>
      <c r="J350" s="74">
        <v>382</v>
      </c>
      <c r="K350" s="74">
        <v>354</v>
      </c>
      <c r="L350" s="74">
        <v>973</v>
      </c>
      <c r="M350" s="74">
        <v>461</v>
      </c>
      <c r="N350" s="76" cm="1">
        <f t="array" ref="N350">SUM((H350:L350)/5)</f>
        <v>488</v>
      </c>
      <c r="O350" s="74">
        <v>550</v>
      </c>
      <c r="P350" s="66"/>
      <c r="Q350" s="77">
        <v>49.828000000000003</v>
      </c>
      <c r="R350" s="77">
        <v>63.256999999999998</v>
      </c>
      <c r="S350" s="77">
        <v>0.441</v>
      </c>
      <c r="T350" s="77">
        <v>0.441</v>
      </c>
      <c r="U350" s="77">
        <f t="shared" si="39"/>
        <v>220</v>
      </c>
      <c r="V350" s="77">
        <f t="shared" si="40"/>
        <v>330</v>
      </c>
      <c r="W350" s="66"/>
      <c r="X350" s="77">
        <v>15.061999999999999</v>
      </c>
      <c r="Y350" s="77">
        <v>26.506589999999999</v>
      </c>
      <c r="Z350" s="79">
        <v>26.506589999999999</v>
      </c>
      <c r="AA350" s="80">
        <f t="shared" si="45"/>
        <v>43.735873499999997</v>
      </c>
      <c r="AB350" s="66"/>
      <c r="AC350" s="81">
        <v>365</v>
      </c>
      <c r="AD350" s="82">
        <f t="shared" si="41"/>
        <v>115.7603</v>
      </c>
      <c r="AE350" s="82">
        <f t="shared" si="42"/>
        <v>126.64049999999999</v>
      </c>
      <c r="AF350" s="82">
        <f t="shared" si="43"/>
        <v>58.31</v>
      </c>
      <c r="AG350" s="82">
        <f t="shared" si="43"/>
        <v>144.33000000000001</v>
      </c>
      <c r="AH350" s="114"/>
      <c r="AI350" s="114"/>
      <c r="AJ350" s="83">
        <f t="shared" si="44"/>
        <v>445.04079999999999</v>
      </c>
      <c r="AK350" s="82"/>
      <c r="AL350" s="84"/>
      <c r="AM350" s="66"/>
    </row>
    <row r="351" spans="3:39" ht="90" x14ac:dyDescent="0.3">
      <c r="C351" s="41" t="s">
        <v>334</v>
      </c>
      <c r="D351" s="41" t="s">
        <v>124</v>
      </c>
      <c r="E351" s="42" t="s">
        <v>88</v>
      </c>
      <c r="G351" s="66"/>
      <c r="H351" s="74">
        <v>239</v>
      </c>
      <c r="I351" s="74">
        <v>284</v>
      </c>
      <c r="J351" s="74">
        <v>317</v>
      </c>
      <c r="K351" s="74">
        <v>352</v>
      </c>
      <c r="L351" s="74">
        <v>564</v>
      </c>
      <c r="M351" s="74">
        <v>28</v>
      </c>
      <c r="N351" s="76" cm="1">
        <f t="array" ref="N351">SUM((H351:L351)/5)</f>
        <v>351.2</v>
      </c>
      <c r="O351" s="74">
        <v>350</v>
      </c>
      <c r="P351" s="66"/>
      <c r="Q351" s="77">
        <v>50.334000000000003</v>
      </c>
      <c r="R351" s="77">
        <v>63.256999999999998</v>
      </c>
      <c r="S351" s="77">
        <v>0.441</v>
      </c>
      <c r="T351" s="77">
        <v>0.441</v>
      </c>
      <c r="U351" s="77">
        <f t="shared" si="39"/>
        <v>140</v>
      </c>
      <c r="V351" s="77">
        <f t="shared" si="40"/>
        <v>210</v>
      </c>
      <c r="W351" s="66"/>
      <c r="X351" s="77" t="s">
        <v>227</v>
      </c>
      <c r="Y351" s="77" t="s">
        <v>335</v>
      </c>
      <c r="Z351" s="79">
        <f>SUM(27.42508+24.99474+25.37104)/3</f>
        <v>25.930286666666671</v>
      </c>
      <c r="AA351" s="80">
        <f t="shared" si="45"/>
        <v>42.784973000000008</v>
      </c>
      <c r="AB351" s="66"/>
      <c r="AC351" s="81">
        <v>365</v>
      </c>
      <c r="AD351" s="82">
        <f t="shared" si="41"/>
        <v>115.7603</v>
      </c>
      <c r="AE351" s="82">
        <f t="shared" si="42"/>
        <v>126.64049999999999</v>
      </c>
      <c r="AF351" s="82">
        <f t="shared" si="43"/>
        <v>36.299999999999997</v>
      </c>
      <c r="AG351" s="82">
        <f t="shared" si="43"/>
        <v>89.85</v>
      </c>
      <c r="AH351" s="114"/>
      <c r="AI351" s="114"/>
      <c r="AJ351" s="83">
        <f t="shared" si="44"/>
        <v>368.55079999999998</v>
      </c>
      <c r="AK351" s="82"/>
      <c r="AL351" s="84"/>
      <c r="AM351" s="66"/>
    </row>
    <row r="352" spans="3:39" ht="60" x14ac:dyDescent="0.3">
      <c r="C352" s="41" t="s">
        <v>334</v>
      </c>
      <c r="D352" s="41" t="s">
        <v>124</v>
      </c>
      <c r="E352" s="42" t="s">
        <v>88</v>
      </c>
      <c r="G352" s="66"/>
      <c r="H352" s="74">
        <v>98</v>
      </c>
      <c r="I352" s="74">
        <v>164</v>
      </c>
      <c r="J352" s="74">
        <v>802</v>
      </c>
      <c r="K352" s="74">
        <v>830</v>
      </c>
      <c r="L352" s="74">
        <v>1003</v>
      </c>
      <c r="M352" s="74">
        <v>652</v>
      </c>
      <c r="N352" s="76" cm="1">
        <f t="array" ref="N352">SUM((H352:L352)/5)</f>
        <v>579.4</v>
      </c>
      <c r="O352" s="74">
        <v>900</v>
      </c>
      <c r="P352" s="66"/>
      <c r="Q352" s="77">
        <v>50.334000000000003</v>
      </c>
      <c r="R352" s="77">
        <v>63.256999999999998</v>
      </c>
      <c r="S352" s="77">
        <v>0.441</v>
      </c>
      <c r="T352" s="77">
        <v>0.441</v>
      </c>
      <c r="U352" s="77">
        <f t="shared" si="39"/>
        <v>360</v>
      </c>
      <c r="V352" s="77">
        <f t="shared" si="40"/>
        <v>540</v>
      </c>
      <c r="W352" s="66"/>
      <c r="X352" s="77" t="s">
        <v>336</v>
      </c>
      <c r="Y352" s="77" t="s">
        <v>337</v>
      </c>
      <c r="Z352" s="79">
        <f>SUM(26.72602+25.09196)/2</f>
        <v>25.908989999999999</v>
      </c>
      <c r="AA352" s="80">
        <f t="shared" si="45"/>
        <v>42.749833500000001</v>
      </c>
      <c r="AB352" s="66"/>
      <c r="AC352" s="81">
        <v>365</v>
      </c>
      <c r="AD352" s="82">
        <f t="shared" si="41"/>
        <v>115.7603</v>
      </c>
      <c r="AE352" s="82">
        <f t="shared" si="42"/>
        <v>126.64049999999999</v>
      </c>
      <c r="AF352" s="82">
        <f t="shared" si="43"/>
        <v>93.27</v>
      </c>
      <c r="AG352" s="82">
        <f t="shared" si="43"/>
        <v>230.85</v>
      </c>
      <c r="AH352" s="114"/>
      <c r="AI352" s="114"/>
      <c r="AJ352" s="83">
        <f t="shared" si="44"/>
        <v>566.52080000000001</v>
      </c>
      <c r="AK352" s="82"/>
      <c r="AL352" s="84"/>
      <c r="AM352" s="66"/>
    </row>
    <row r="353" spans="3:39" ht="15.6" x14ac:dyDescent="0.3">
      <c r="C353" s="41" t="s">
        <v>656</v>
      </c>
      <c r="D353" s="41" t="s">
        <v>124</v>
      </c>
      <c r="E353" s="42" t="s">
        <v>88</v>
      </c>
      <c r="G353" s="66"/>
      <c r="H353" s="74">
        <v>210</v>
      </c>
      <c r="I353" s="74">
        <v>213</v>
      </c>
      <c r="J353" s="74">
        <v>97</v>
      </c>
      <c r="K353" s="74">
        <v>50</v>
      </c>
      <c r="L353" s="74">
        <v>83</v>
      </c>
      <c r="M353" s="74">
        <v>6</v>
      </c>
      <c r="N353" s="76" cm="1">
        <f t="array" ref="N353">SUM((H353:L353)/5)</f>
        <v>130.6</v>
      </c>
      <c r="O353" s="74">
        <v>130</v>
      </c>
      <c r="P353" s="66"/>
      <c r="Q353" s="77">
        <v>49.828000000000003</v>
      </c>
      <c r="R353" s="77">
        <v>63.256999999999998</v>
      </c>
      <c r="S353" s="77">
        <v>0.441</v>
      </c>
      <c r="T353" s="77">
        <v>0.441</v>
      </c>
      <c r="U353" s="77">
        <f t="shared" si="39"/>
        <v>52</v>
      </c>
      <c r="V353" s="77">
        <f t="shared" si="40"/>
        <v>78</v>
      </c>
      <c r="W353" s="66"/>
      <c r="X353" s="77">
        <v>15.061999999999999</v>
      </c>
      <c r="Y353" s="77">
        <v>26.504280000000001</v>
      </c>
      <c r="Z353" s="79">
        <v>26.504280000000001</v>
      </c>
      <c r="AA353" s="80">
        <f t="shared" si="45"/>
        <v>43.732061999999999</v>
      </c>
      <c r="AB353" s="66"/>
      <c r="AC353" s="81">
        <v>365</v>
      </c>
      <c r="AD353" s="82">
        <f t="shared" si="41"/>
        <v>115.7603</v>
      </c>
      <c r="AE353" s="82">
        <f t="shared" si="42"/>
        <v>126.64049999999999</v>
      </c>
      <c r="AF353" s="82">
        <f t="shared" si="43"/>
        <v>13.78</v>
      </c>
      <c r="AG353" s="82">
        <f t="shared" si="43"/>
        <v>34.11</v>
      </c>
      <c r="AH353" s="114"/>
      <c r="AI353" s="114"/>
      <c r="AJ353" s="83">
        <f t="shared" si="44"/>
        <v>290.29079999999999</v>
      </c>
      <c r="AK353" s="82"/>
      <c r="AL353" s="84"/>
      <c r="AM353" s="66"/>
    </row>
    <row r="354" spans="3:39" ht="15.6" x14ac:dyDescent="0.3">
      <c r="C354" s="41" t="s">
        <v>657</v>
      </c>
      <c r="D354" s="41" t="s">
        <v>124</v>
      </c>
      <c r="E354" s="42" t="s">
        <v>88</v>
      </c>
      <c r="G354" s="66"/>
      <c r="H354" s="74">
        <v>150</v>
      </c>
      <c r="I354" s="74">
        <v>295</v>
      </c>
      <c r="J354" s="74">
        <v>124</v>
      </c>
      <c r="K354" s="74">
        <v>82</v>
      </c>
      <c r="L354" s="74">
        <v>74</v>
      </c>
      <c r="M354" s="74">
        <v>27</v>
      </c>
      <c r="N354" s="76" cm="1">
        <f t="array" ref="N354">SUM((H354:L354)/5)</f>
        <v>145</v>
      </c>
      <c r="O354" s="74">
        <v>145</v>
      </c>
      <c r="P354" s="66"/>
      <c r="Q354" s="77">
        <v>49.308</v>
      </c>
      <c r="R354" s="77">
        <v>72.016000000000005</v>
      </c>
      <c r="S354" s="77">
        <v>0.441</v>
      </c>
      <c r="T354" s="77">
        <v>0.441</v>
      </c>
      <c r="U354" s="77">
        <f t="shared" si="39"/>
        <v>58</v>
      </c>
      <c r="V354" s="77">
        <f t="shared" si="40"/>
        <v>87</v>
      </c>
      <c r="W354" s="66"/>
      <c r="X354" s="77">
        <v>15.868</v>
      </c>
      <c r="Y354" s="77">
        <v>27.076630000000002</v>
      </c>
      <c r="Z354" s="79">
        <v>27.076630000000002</v>
      </c>
      <c r="AA354" s="80">
        <f t="shared" si="45"/>
        <v>44.676439500000001</v>
      </c>
      <c r="AB354" s="66"/>
      <c r="AC354" s="81">
        <v>365</v>
      </c>
      <c r="AD354" s="82">
        <f t="shared" si="41"/>
        <v>131.7893</v>
      </c>
      <c r="AE354" s="82">
        <f t="shared" si="42"/>
        <v>144.17600000000002</v>
      </c>
      <c r="AF354" s="82">
        <f t="shared" si="43"/>
        <v>15.7</v>
      </c>
      <c r="AG354" s="82">
        <f t="shared" si="43"/>
        <v>38.869999999999997</v>
      </c>
      <c r="AH354" s="114"/>
      <c r="AI354" s="114"/>
      <c r="AJ354" s="83">
        <f t="shared" si="44"/>
        <v>330.53530000000001</v>
      </c>
      <c r="AK354" s="82"/>
      <c r="AL354" s="84"/>
      <c r="AM354" s="66"/>
    </row>
    <row r="355" spans="3:39" ht="15.6" x14ac:dyDescent="0.3">
      <c r="C355" s="41" t="s">
        <v>658</v>
      </c>
      <c r="D355" s="41" t="s">
        <v>124</v>
      </c>
      <c r="E355" s="42" t="s">
        <v>88</v>
      </c>
      <c r="G355" s="66"/>
      <c r="H355" s="74">
        <v>809</v>
      </c>
      <c r="I355" s="74">
        <v>797</v>
      </c>
      <c r="J355" s="74">
        <v>918</v>
      </c>
      <c r="K355" s="74">
        <v>376</v>
      </c>
      <c r="L355" s="74">
        <v>293</v>
      </c>
      <c r="M355" s="74">
        <v>201</v>
      </c>
      <c r="N355" s="76" cm="1">
        <f t="array" ref="N355">SUM((H355:L355)/5)</f>
        <v>638.60000000000014</v>
      </c>
      <c r="O355" s="74">
        <v>630</v>
      </c>
      <c r="P355" s="66"/>
      <c r="Q355" s="77">
        <v>49.828000000000003</v>
      </c>
      <c r="R355" s="77">
        <v>63.256999999999998</v>
      </c>
      <c r="S355" s="77">
        <v>0.441</v>
      </c>
      <c r="T355" s="77">
        <v>0.441</v>
      </c>
      <c r="U355" s="77">
        <f t="shared" si="39"/>
        <v>252</v>
      </c>
      <c r="V355" s="77">
        <f t="shared" si="40"/>
        <v>378</v>
      </c>
      <c r="W355" s="66"/>
      <c r="X355" s="77">
        <v>15.061999999999999</v>
      </c>
      <c r="Y355" s="77">
        <v>26.505549999999999</v>
      </c>
      <c r="Z355" s="79">
        <v>26.505549999999999</v>
      </c>
      <c r="AA355" s="80">
        <f t="shared" si="45"/>
        <v>43.734157499999995</v>
      </c>
      <c r="AB355" s="66"/>
      <c r="AC355" s="81">
        <v>365</v>
      </c>
      <c r="AD355" s="82">
        <f t="shared" si="41"/>
        <v>115.7603</v>
      </c>
      <c r="AE355" s="82">
        <f t="shared" si="42"/>
        <v>126.64049999999999</v>
      </c>
      <c r="AF355" s="82">
        <f t="shared" si="43"/>
        <v>66.790000000000006</v>
      </c>
      <c r="AG355" s="82">
        <f t="shared" si="43"/>
        <v>165.32</v>
      </c>
      <c r="AH355" s="114"/>
      <c r="AI355" s="114"/>
      <c r="AJ355" s="83">
        <f t="shared" si="44"/>
        <v>474.51080000000002</v>
      </c>
      <c r="AK355" s="82"/>
      <c r="AL355" s="84"/>
      <c r="AM355" s="66"/>
    </row>
    <row r="356" spans="3:39" ht="60" x14ac:dyDescent="0.3">
      <c r="C356" s="41" t="s">
        <v>338</v>
      </c>
      <c r="D356" s="41" t="s">
        <v>124</v>
      </c>
      <c r="E356" s="42" t="s">
        <v>88</v>
      </c>
      <c r="G356" s="66"/>
      <c r="H356" s="74">
        <v>42520</v>
      </c>
      <c r="I356" s="74">
        <v>36344</v>
      </c>
      <c r="J356" s="74">
        <v>36293</v>
      </c>
      <c r="K356" s="74">
        <v>15804</v>
      </c>
      <c r="L356" s="91">
        <v>-3664</v>
      </c>
      <c r="M356" s="74">
        <v>0</v>
      </c>
      <c r="N356" s="76" cm="1">
        <f t="array" ref="N356">SUM((H356:L356)/5)</f>
        <v>25459.4</v>
      </c>
      <c r="O356" s="74">
        <v>25400</v>
      </c>
      <c r="P356" s="66"/>
      <c r="Q356" s="77">
        <v>208.905</v>
      </c>
      <c r="R356" s="77">
        <v>374.858</v>
      </c>
      <c r="S356" s="77">
        <v>0.441</v>
      </c>
      <c r="T356" s="77">
        <v>0.441</v>
      </c>
      <c r="U356" s="77">
        <f t="shared" si="39"/>
        <v>10160</v>
      </c>
      <c r="V356" s="77">
        <f t="shared" si="40"/>
        <v>15240</v>
      </c>
      <c r="W356" s="66"/>
      <c r="X356" s="77" t="s">
        <v>339</v>
      </c>
      <c r="Y356" s="77" t="s">
        <v>340</v>
      </c>
      <c r="Z356" s="79">
        <f>SUM(26.58264+25.22587)/2</f>
        <v>25.904254999999999</v>
      </c>
      <c r="AA356" s="80">
        <f t="shared" si="45"/>
        <v>42.742020749999995</v>
      </c>
      <c r="AB356" s="66"/>
      <c r="AC356" s="81">
        <v>365</v>
      </c>
      <c r="AD356" s="82">
        <f t="shared" si="41"/>
        <v>685.99009999999998</v>
      </c>
      <c r="AE356" s="82">
        <f t="shared" si="42"/>
        <v>750.46570000000008</v>
      </c>
      <c r="AF356" s="82">
        <f t="shared" si="43"/>
        <v>2631.87</v>
      </c>
      <c r="AG356" s="82">
        <f t="shared" si="43"/>
        <v>6513.88</v>
      </c>
      <c r="AH356" s="114"/>
      <c r="AI356" s="114"/>
      <c r="AJ356" s="83">
        <f t="shared" si="44"/>
        <v>10582.2058</v>
      </c>
      <c r="AK356" s="82"/>
      <c r="AL356" s="84"/>
      <c r="AM356" s="66"/>
    </row>
    <row r="357" spans="3:39" ht="15.6" x14ac:dyDescent="0.3">
      <c r="C357" s="41" t="s">
        <v>659</v>
      </c>
      <c r="D357" s="41" t="s">
        <v>124</v>
      </c>
      <c r="E357" s="42" t="s">
        <v>88</v>
      </c>
      <c r="G357" s="66"/>
      <c r="H357" s="74">
        <v>46</v>
      </c>
      <c r="I357" s="74">
        <v>386</v>
      </c>
      <c r="J357" s="74">
        <v>259</v>
      </c>
      <c r="K357" s="74">
        <v>262</v>
      </c>
      <c r="L357" s="74">
        <v>164</v>
      </c>
      <c r="M357" s="74">
        <v>18</v>
      </c>
      <c r="N357" s="76" cm="1">
        <f t="array" ref="N357">SUM((H357:L357)/5)</f>
        <v>223.39999999999998</v>
      </c>
      <c r="O357" s="74">
        <v>220</v>
      </c>
      <c r="P357" s="66"/>
      <c r="Q357" s="77">
        <v>49.308</v>
      </c>
      <c r="R357" s="77">
        <v>72.016000000000005</v>
      </c>
      <c r="S357" s="77">
        <v>0.441</v>
      </c>
      <c r="T357" s="77">
        <v>0.441</v>
      </c>
      <c r="U357" s="77">
        <f t="shared" si="39"/>
        <v>88</v>
      </c>
      <c r="V357" s="77">
        <f t="shared" si="40"/>
        <v>132</v>
      </c>
      <c r="W357" s="66"/>
      <c r="X357" s="77">
        <v>15.868</v>
      </c>
      <c r="Y357" s="77">
        <v>27.082329999999999</v>
      </c>
      <c r="Z357" s="79">
        <v>27.082329999999999</v>
      </c>
      <c r="AA357" s="80">
        <f t="shared" si="45"/>
        <v>44.685844500000002</v>
      </c>
      <c r="AB357" s="66"/>
      <c r="AC357" s="81">
        <v>365</v>
      </c>
      <c r="AD357" s="82">
        <f t="shared" si="41"/>
        <v>131.7893</v>
      </c>
      <c r="AE357" s="82">
        <f t="shared" si="42"/>
        <v>144.17600000000002</v>
      </c>
      <c r="AF357" s="82">
        <f t="shared" si="43"/>
        <v>23.83</v>
      </c>
      <c r="AG357" s="82">
        <f t="shared" si="43"/>
        <v>58.99</v>
      </c>
      <c r="AH357" s="114"/>
      <c r="AI357" s="114"/>
      <c r="AJ357" s="83">
        <f t="shared" si="44"/>
        <v>358.78530000000001</v>
      </c>
      <c r="AK357" s="82"/>
      <c r="AL357" s="84"/>
      <c r="AM357" s="66"/>
    </row>
    <row r="358" spans="3:39" ht="15.6" x14ac:dyDescent="0.3">
      <c r="C358" s="41" t="s">
        <v>660</v>
      </c>
      <c r="D358" s="41" t="s">
        <v>124</v>
      </c>
      <c r="E358" s="42" t="s">
        <v>88</v>
      </c>
      <c r="G358" s="66"/>
      <c r="H358" s="74">
        <v>46</v>
      </c>
      <c r="I358" s="74">
        <v>46</v>
      </c>
      <c r="J358" s="74">
        <v>53</v>
      </c>
      <c r="K358" s="74">
        <v>78</v>
      </c>
      <c r="L358" s="74">
        <v>55</v>
      </c>
      <c r="M358" s="74">
        <v>35</v>
      </c>
      <c r="N358" s="76" cm="1">
        <f t="array" ref="N358">SUM((H358:L358)/5)</f>
        <v>55.6</v>
      </c>
      <c r="O358" s="74">
        <v>60</v>
      </c>
      <c r="P358" s="66"/>
      <c r="Q358" s="77">
        <v>49.308</v>
      </c>
      <c r="R358" s="77">
        <v>72.016000000000005</v>
      </c>
      <c r="S358" s="77">
        <v>0.441</v>
      </c>
      <c r="T358" s="77">
        <v>0.441</v>
      </c>
      <c r="U358" s="77">
        <f t="shared" si="39"/>
        <v>24</v>
      </c>
      <c r="V358" s="77">
        <f t="shared" si="40"/>
        <v>36</v>
      </c>
      <c r="W358" s="66"/>
      <c r="X358" s="77">
        <v>15.868</v>
      </c>
      <c r="Y358" s="77">
        <v>27.084399999999999</v>
      </c>
      <c r="Z358" s="79">
        <v>27.084399999999999</v>
      </c>
      <c r="AA358" s="80">
        <f t="shared" si="45"/>
        <v>44.689259999999997</v>
      </c>
      <c r="AB358" s="66"/>
      <c r="AC358" s="81">
        <v>365</v>
      </c>
      <c r="AD358" s="82">
        <f t="shared" si="41"/>
        <v>131.7893</v>
      </c>
      <c r="AE358" s="82">
        <f t="shared" si="42"/>
        <v>144.17600000000002</v>
      </c>
      <c r="AF358" s="82">
        <f t="shared" si="43"/>
        <v>6.5</v>
      </c>
      <c r="AG358" s="82">
        <f t="shared" si="43"/>
        <v>16.09</v>
      </c>
      <c r="AH358" s="114"/>
      <c r="AI358" s="114"/>
      <c r="AJ358" s="83">
        <f t="shared" si="44"/>
        <v>298.55529999999999</v>
      </c>
      <c r="AK358" s="82"/>
      <c r="AL358" s="84"/>
      <c r="AM358" s="66"/>
    </row>
    <row r="359" spans="3:39" ht="15.6" x14ac:dyDescent="0.3">
      <c r="C359" s="41" t="s">
        <v>661</v>
      </c>
      <c r="D359" s="41" t="s">
        <v>124</v>
      </c>
      <c r="E359" s="42" t="s">
        <v>88</v>
      </c>
      <c r="G359" s="66"/>
      <c r="H359" s="74">
        <v>533</v>
      </c>
      <c r="I359" s="74">
        <v>415</v>
      </c>
      <c r="J359" s="74">
        <v>345</v>
      </c>
      <c r="K359" s="74">
        <v>351</v>
      </c>
      <c r="L359" s="74">
        <v>299</v>
      </c>
      <c r="M359" s="74">
        <v>164</v>
      </c>
      <c r="N359" s="76" cm="1">
        <f t="array" ref="N359">SUM((H359:L359)/5)</f>
        <v>388.6</v>
      </c>
      <c r="O359" s="74">
        <v>390</v>
      </c>
      <c r="P359" s="66"/>
      <c r="Q359" s="77">
        <v>49.308</v>
      </c>
      <c r="R359" s="77">
        <v>72.016000000000005</v>
      </c>
      <c r="S359" s="77">
        <v>0.441</v>
      </c>
      <c r="T359" s="77">
        <v>0.441</v>
      </c>
      <c r="U359" s="77">
        <f t="shared" si="39"/>
        <v>156</v>
      </c>
      <c r="V359" s="77">
        <f t="shared" si="40"/>
        <v>234</v>
      </c>
      <c r="W359" s="66"/>
      <c r="X359" s="77">
        <v>15.868</v>
      </c>
      <c r="Y359" s="77">
        <v>27.081790000000002</v>
      </c>
      <c r="Z359" s="79">
        <v>27.081790000000002</v>
      </c>
      <c r="AA359" s="80">
        <f t="shared" si="45"/>
        <v>44.684953500000006</v>
      </c>
      <c r="AB359" s="66"/>
      <c r="AC359" s="81">
        <v>365</v>
      </c>
      <c r="AD359" s="82">
        <f t="shared" si="41"/>
        <v>131.7893</v>
      </c>
      <c r="AE359" s="82">
        <f t="shared" si="42"/>
        <v>144.17600000000002</v>
      </c>
      <c r="AF359" s="82">
        <f t="shared" si="43"/>
        <v>42.25</v>
      </c>
      <c r="AG359" s="82">
        <f t="shared" si="43"/>
        <v>104.56</v>
      </c>
      <c r="AH359" s="114"/>
      <c r="AI359" s="114"/>
      <c r="AJ359" s="83">
        <f t="shared" si="44"/>
        <v>422.77530000000002</v>
      </c>
      <c r="AK359" s="82"/>
      <c r="AL359" s="84"/>
      <c r="AM359" s="66"/>
    </row>
    <row r="360" spans="3:39" ht="15.6" x14ac:dyDescent="0.3">
      <c r="C360" s="41" t="s">
        <v>660</v>
      </c>
      <c r="D360" s="41" t="s">
        <v>124</v>
      </c>
      <c r="E360" s="42" t="s">
        <v>88</v>
      </c>
      <c r="G360" s="66"/>
      <c r="H360" s="74">
        <v>169</v>
      </c>
      <c r="I360" s="74">
        <v>122</v>
      </c>
      <c r="J360" s="74">
        <v>146</v>
      </c>
      <c r="K360" s="74">
        <v>151</v>
      </c>
      <c r="L360" s="74">
        <v>243</v>
      </c>
      <c r="M360" s="74">
        <v>104</v>
      </c>
      <c r="N360" s="76" cm="1">
        <f t="array" ref="N360">SUM((H360:L360)/5)</f>
        <v>166.2</v>
      </c>
      <c r="O360" s="74">
        <v>170</v>
      </c>
      <c r="P360" s="66"/>
      <c r="Q360" s="77">
        <v>49.308</v>
      </c>
      <c r="R360" s="77">
        <v>72.016000000000005</v>
      </c>
      <c r="S360" s="77">
        <v>0.441</v>
      </c>
      <c r="T360" s="77">
        <v>0.441</v>
      </c>
      <c r="U360" s="77">
        <f t="shared" si="39"/>
        <v>68</v>
      </c>
      <c r="V360" s="77">
        <f t="shared" si="40"/>
        <v>102</v>
      </c>
      <c r="W360" s="66"/>
      <c r="X360" s="77">
        <v>15.868</v>
      </c>
      <c r="Y360" s="77">
        <v>27.08268</v>
      </c>
      <c r="Z360" s="79">
        <v>27.08268</v>
      </c>
      <c r="AA360" s="80">
        <f t="shared" si="45"/>
        <v>44.686422</v>
      </c>
      <c r="AB360" s="66"/>
      <c r="AC360" s="81">
        <v>365</v>
      </c>
      <c r="AD360" s="82">
        <f t="shared" si="41"/>
        <v>131.7893</v>
      </c>
      <c r="AE360" s="82">
        <f t="shared" si="42"/>
        <v>144.17600000000002</v>
      </c>
      <c r="AF360" s="82">
        <f t="shared" si="43"/>
        <v>18.420000000000002</v>
      </c>
      <c r="AG360" s="82">
        <f t="shared" si="43"/>
        <v>45.58</v>
      </c>
      <c r="AH360" s="114"/>
      <c r="AI360" s="114"/>
      <c r="AJ360" s="83">
        <f t="shared" si="44"/>
        <v>339.96530000000001</v>
      </c>
      <c r="AK360" s="82"/>
      <c r="AL360" s="84"/>
      <c r="AM360" s="66"/>
    </row>
    <row r="361" spans="3:39" ht="15.6" x14ac:dyDescent="0.3">
      <c r="C361" s="41" t="s">
        <v>662</v>
      </c>
      <c r="D361" s="41" t="s">
        <v>124</v>
      </c>
      <c r="E361" s="42" t="s">
        <v>88</v>
      </c>
      <c r="G361" s="66"/>
      <c r="H361" s="74">
        <v>355</v>
      </c>
      <c r="I361" s="74">
        <v>345</v>
      </c>
      <c r="J361" s="74">
        <v>346</v>
      </c>
      <c r="K361" s="74">
        <v>326</v>
      </c>
      <c r="L361" s="74">
        <v>276</v>
      </c>
      <c r="M361" s="74">
        <v>152</v>
      </c>
      <c r="N361" s="76" cm="1">
        <f t="array" ref="N361">SUM((H361:L361)/5)</f>
        <v>329.59999999999997</v>
      </c>
      <c r="O361" s="74">
        <v>330</v>
      </c>
      <c r="P361" s="66"/>
      <c r="Q361" s="77">
        <v>49.308</v>
      </c>
      <c r="R361" s="77">
        <v>72.016000000000005</v>
      </c>
      <c r="S361" s="77">
        <v>0.441</v>
      </c>
      <c r="T361" s="77">
        <v>0.441</v>
      </c>
      <c r="U361" s="77">
        <f t="shared" si="39"/>
        <v>132</v>
      </c>
      <c r="V361" s="77">
        <f t="shared" si="40"/>
        <v>198</v>
      </c>
      <c r="W361" s="66"/>
      <c r="X361" s="77">
        <v>15.868</v>
      </c>
      <c r="Y361" s="77">
        <v>27.083269999999999</v>
      </c>
      <c r="Z361" s="79">
        <v>27.083269999999999</v>
      </c>
      <c r="AA361" s="80">
        <f t="shared" si="45"/>
        <v>44.687395499999994</v>
      </c>
      <c r="AB361" s="66"/>
      <c r="AC361" s="81">
        <v>365</v>
      </c>
      <c r="AD361" s="82">
        <f t="shared" si="41"/>
        <v>131.7893</v>
      </c>
      <c r="AE361" s="82">
        <f t="shared" si="42"/>
        <v>144.17600000000002</v>
      </c>
      <c r="AF361" s="82">
        <f t="shared" si="43"/>
        <v>35.75</v>
      </c>
      <c r="AG361" s="82">
        <f t="shared" si="43"/>
        <v>88.48</v>
      </c>
      <c r="AH361" s="114"/>
      <c r="AI361" s="114"/>
      <c r="AJ361" s="83">
        <f t="shared" si="44"/>
        <v>400.19530000000003</v>
      </c>
      <c r="AK361" s="82"/>
      <c r="AL361" s="84"/>
      <c r="AM361" s="66"/>
    </row>
    <row r="362" spans="3:39" ht="15.6" x14ac:dyDescent="0.3">
      <c r="C362" s="41" t="s">
        <v>662</v>
      </c>
      <c r="D362" s="41" t="s">
        <v>124</v>
      </c>
      <c r="E362" s="42" t="s">
        <v>88</v>
      </c>
      <c r="G362" s="66"/>
      <c r="H362" s="74">
        <v>34</v>
      </c>
      <c r="I362" s="74">
        <v>25</v>
      </c>
      <c r="J362" s="74">
        <v>28</v>
      </c>
      <c r="K362" s="74">
        <v>25</v>
      </c>
      <c r="L362" s="74">
        <v>2198</v>
      </c>
      <c r="M362" s="74">
        <v>1487</v>
      </c>
      <c r="N362" s="76" cm="1">
        <f t="array" ref="N362">SUM((H362:L362)/5)</f>
        <v>462</v>
      </c>
      <c r="O362" s="74">
        <v>1500</v>
      </c>
      <c r="P362" s="66"/>
      <c r="Q362" s="77">
        <v>49.308</v>
      </c>
      <c r="R362" s="77">
        <v>72.016000000000005</v>
      </c>
      <c r="S362" s="77">
        <v>0.441</v>
      </c>
      <c r="T362" s="77">
        <v>0.441</v>
      </c>
      <c r="U362" s="77">
        <f t="shared" si="39"/>
        <v>600</v>
      </c>
      <c r="V362" s="77">
        <f t="shared" si="40"/>
        <v>900</v>
      </c>
      <c r="W362" s="66"/>
      <c r="X362" s="77">
        <v>15.868</v>
      </c>
      <c r="Y362" s="77">
        <v>27.082789999999999</v>
      </c>
      <c r="Z362" s="79">
        <v>27.082789999999999</v>
      </c>
      <c r="AA362" s="80">
        <f t="shared" si="45"/>
        <v>44.686603500000004</v>
      </c>
      <c r="AB362" s="66"/>
      <c r="AC362" s="81">
        <v>365</v>
      </c>
      <c r="AD362" s="82">
        <f t="shared" si="41"/>
        <v>131.7893</v>
      </c>
      <c r="AE362" s="82">
        <f t="shared" si="42"/>
        <v>144.17600000000002</v>
      </c>
      <c r="AF362" s="82">
        <f t="shared" si="43"/>
        <v>162.5</v>
      </c>
      <c r="AG362" s="82">
        <f t="shared" si="43"/>
        <v>402.18</v>
      </c>
      <c r="AH362" s="114"/>
      <c r="AI362" s="114"/>
      <c r="AJ362" s="83">
        <f t="shared" si="44"/>
        <v>840.64530000000002</v>
      </c>
      <c r="AK362" s="82"/>
      <c r="AL362" s="84"/>
      <c r="AM362" s="66"/>
    </row>
    <row r="363" spans="3:39" ht="15.6" x14ac:dyDescent="0.3">
      <c r="C363" s="41" t="s">
        <v>341</v>
      </c>
      <c r="D363" s="41" t="s">
        <v>124</v>
      </c>
      <c r="E363" s="42" t="s">
        <v>88</v>
      </c>
      <c r="G363" s="66"/>
      <c r="H363" s="74">
        <v>188</v>
      </c>
      <c r="I363" s="74">
        <v>185</v>
      </c>
      <c r="J363" s="74">
        <v>596</v>
      </c>
      <c r="K363" s="74">
        <v>955</v>
      </c>
      <c r="L363" s="74">
        <v>891</v>
      </c>
      <c r="M363" s="74">
        <v>447</v>
      </c>
      <c r="N363" s="76" cm="1">
        <f t="array" ref="N363">SUM((H363:L363)/5)</f>
        <v>563</v>
      </c>
      <c r="O363" s="74">
        <v>900</v>
      </c>
      <c r="P363" s="66"/>
      <c r="Q363" s="77">
        <v>49.308</v>
      </c>
      <c r="R363" s="77">
        <v>72.016000000000005</v>
      </c>
      <c r="S363" s="77">
        <v>0.441</v>
      </c>
      <c r="T363" s="77">
        <v>0.441</v>
      </c>
      <c r="U363" s="77">
        <f t="shared" si="39"/>
        <v>360</v>
      </c>
      <c r="V363" s="77">
        <f t="shared" si="40"/>
        <v>540</v>
      </c>
      <c r="W363" s="66"/>
      <c r="X363" s="77">
        <v>15.868</v>
      </c>
      <c r="Y363" s="77">
        <v>27.082840000000001</v>
      </c>
      <c r="Z363" s="79">
        <v>27.082840000000001</v>
      </c>
      <c r="AA363" s="80">
        <f t="shared" si="45"/>
        <v>44.686686000000002</v>
      </c>
      <c r="AB363" s="66"/>
      <c r="AC363" s="81">
        <v>365</v>
      </c>
      <c r="AD363" s="82">
        <f t="shared" si="41"/>
        <v>131.7893</v>
      </c>
      <c r="AE363" s="82">
        <f t="shared" si="42"/>
        <v>144.17600000000002</v>
      </c>
      <c r="AF363" s="82">
        <f t="shared" si="43"/>
        <v>97.5</v>
      </c>
      <c r="AG363" s="82">
        <f t="shared" si="43"/>
        <v>241.31</v>
      </c>
      <c r="AH363" s="114"/>
      <c r="AI363" s="114"/>
      <c r="AJ363" s="83">
        <f t="shared" si="44"/>
        <v>614.77530000000002</v>
      </c>
      <c r="AK363" s="82"/>
      <c r="AL363" s="84"/>
      <c r="AM363" s="66"/>
    </row>
    <row r="364" spans="3:39" ht="15.6" x14ac:dyDescent="0.3">
      <c r="C364" s="41" t="s">
        <v>663</v>
      </c>
      <c r="D364" s="41" t="s">
        <v>124</v>
      </c>
      <c r="E364" s="42" t="s">
        <v>88</v>
      </c>
      <c r="G364" s="66"/>
      <c r="H364" s="74">
        <v>949</v>
      </c>
      <c r="I364" s="74">
        <v>881</v>
      </c>
      <c r="J364" s="74">
        <v>693</v>
      </c>
      <c r="K364" s="74">
        <v>780</v>
      </c>
      <c r="L364" s="74">
        <v>778</v>
      </c>
      <c r="M364" s="74">
        <v>33</v>
      </c>
      <c r="N364" s="76" cm="1">
        <f t="array" ref="N364">SUM((H364:L364)/5)</f>
        <v>816.2</v>
      </c>
      <c r="O364" s="74">
        <v>820</v>
      </c>
      <c r="P364" s="66"/>
      <c r="Q364" s="77">
        <v>49.308</v>
      </c>
      <c r="R364" s="77">
        <v>72.016000000000005</v>
      </c>
      <c r="S364" s="77">
        <v>0.441</v>
      </c>
      <c r="T364" s="77">
        <v>0.441</v>
      </c>
      <c r="U364" s="77">
        <f t="shared" si="39"/>
        <v>328</v>
      </c>
      <c r="V364" s="77">
        <f t="shared" si="40"/>
        <v>492</v>
      </c>
      <c r="W364" s="66"/>
      <c r="X364" s="77">
        <v>15.868</v>
      </c>
      <c r="Y364" s="77">
        <v>27.083030000000001</v>
      </c>
      <c r="Z364" s="79">
        <v>27.083030000000001</v>
      </c>
      <c r="AA364" s="80">
        <f t="shared" si="45"/>
        <v>44.686999499999999</v>
      </c>
      <c r="AB364" s="66"/>
      <c r="AC364" s="81">
        <v>365</v>
      </c>
      <c r="AD364" s="82">
        <f t="shared" si="41"/>
        <v>131.7893</v>
      </c>
      <c r="AE364" s="82">
        <f t="shared" si="42"/>
        <v>144.17600000000002</v>
      </c>
      <c r="AF364" s="82">
        <f t="shared" si="43"/>
        <v>88.83</v>
      </c>
      <c r="AG364" s="82">
        <f t="shared" si="43"/>
        <v>219.86</v>
      </c>
      <c r="AH364" s="114"/>
      <c r="AI364" s="114"/>
      <c r="AJ364" s="83">
        <f t="shared" si="44"/>
        <v>584.65530000000001</v>
      </c>
      <c r="AK364" s="82"/>
      <c r="AL364" s="84"/>
      <c r="AM364" s="66"/>
    </row>
    <row r="365" spans="3:39" ht="15.6" x14ac:dyDescent="0.3">
      <c r="C365" s="41" t="s">
        <v>664</v>
      </c>
      <c r="D365" s="41" t="s">
        <v>124</v>
      </c>
      <c r="E365" s="42" t="s">
        <v>88</v>
      </c>
      <c r="G365" s="66"/>
      <c r="H365" s="74">
        <v>1167</v>
      </c>
      <c r="I365" s="74">
        <v>1006</v>
      </c>
      <c r="J365" s="74">
        <v>818</v>
      </c>
      <c r="K365" s="74">
        <v>769</v>
      </c>
      <c r="L365" s="74">
        <v>866</v>
      </c>
      <c r="M365" s="74">
        <v>357</v>
      </c>
      <c r="N365" s="76" cm="1">
        <f t="array" ref="N365">SUM((H365:L365)/5)</f>
        <v>925.2</v>
      </c>
      <c r="O365" s="74">
        <v>925</v>
      </c>
      <c r="P365" s="66"/>
      <c r="Q365" s="77">
        <v>49.308</v>
      </c>
      <c r="R365" s="77">
        <v>72.016000000000005</v>
      </c>
      <c r="S365" s="77">
        <v>0.441</v>
      </c>
      <c r="T365" s="77">
        <v>0.441</v>
      </c>
      <c r="U365" s="77">
        <f t="shared" si="39"/>
        <v>370</v>
      </c>
      <c r="V365" s="77">
        <f t="shared" si="40"/>
        <v>555</v>
      </c>
      <c r="W365" s="66"/>
      <c r="X365" s="77">
        <v>15.868</v>
      </c>
      <c r="Y365" s="77">
        <v>27.083379999999998</v>
      </c>
      <c r="Z365" s="79">
        <v>27.083379999999998</v>
      </c>
      <c r="AA365" s="80">
        <f t="shared" si="45"/>
        <v>44.687576999999997</v>
      </c>
      <c r="AB365" s="66"/>
      <c r="AC365" s="81">
        <v>365</v>
      </c>
      <c r="AD365" s="82">
        <f t="shared" si="41"/>
        <v>131.7893</v>
      </c>
      <c r="AE365" s="82">
        <f t="shared" si="42"/>
        <v>144.17600000000002</v>
      </c>
      <c r="AF365" s="82">
        <f t="shared" si="43"/>
        <v>100.21</v>
      </c>
      <c r="AG365" s="82">
        <f t="shared" si="43"/>
        <v>248.02</v>
      </c>
      <c r="AH365" s="114"/>
      <c r="AI365" s="114"/>
      <c r="AJ365" s="83">
        <f t="shared" si="44"/>
        <v>624.19529999999997</v>
      </c>
      <c r="AK365" s="82"/>
      <c r="AL365" s="84"/>
      <c r="AM365" s="66"/>
    </row>
    <row r="366" spans="3:39" ht="15.6" x14ac:dyDescent="0.3">
      <c r="C366" s="41" t="s">
        <v>665</v>
      </c>
      <c r="D366" s="41" t="s">
        <v>124</v>
      </c>
      <c r="E366" s="42" t="s">
        <v>88</v>
      </c>
      <c r="G366" s="66"/>
      <c r="H366" s="74">
        <v>64</v>
      </c>
      <c r="I366" s="74">
        <v>58</v>
      </c>
      <c r="J366" s="74">
        <v>13775</v>
      </c>
      <c r="K366" s="74">
        <v>11810</v>
      </c>
      <c r="L366" s="74">
        <v>7292</v>
      </c>
      <c r="M366" s="74">
        <v>2629</v>
      </c>
      <c r="N366" s="76" cm="1">
        <f t="array" ref="N366">SUM((H366:L366)/5)</f>
        <v>6599.7999999999993</v>
      </c>
      <c r="O366" s="74">
        <v>7000</v>
      </c>
      <c r="P366" s="66"/>
      <c r="Q366" s="89">
        <v>0</v>
      </c>
      <c r="R366" s="89"/>
      <c r="S366" s="77">
        <v>0.441</v>
      </c>
      <c r="T366" s="77">
        <v>0.441</v>
      </c>
      <c r="U366" s="77">
        <f t="shared" si="39"/>
        <v>2800</v>
      </c>
      <c r="V366" s="77">
        <f t="shared" si="40"/>
        <v>4200</v>
      </c>
      <c r="W366" s="66"/>
      <c r="X366" s="89">
        <v>15.868</v>
      </c>
      <c r="Y366" s="89"/>
      <c r="Z366" s="90"/>
      <c r="AA366" s="80">
        <f t="shared" si="45"/>
        <v>0</v>
      </c>
      <c r="AB366" s="66"/>
      <c r="AC366" s="81">
        <v>365</v>
      </c>
      <c r="AD366" s="82">
        <f t="shared" si="41"/>
        <v>0</v>
      </c>
      <c r="AE366" s="82">
        <f t="shared" si="42"/>
        <v>0</v>
      </c>
      <c r="AF366" s="82">
        <f t="shared" si="43"/>
        <v>0</v>
      </c>
      <c r="AG366" s="82">
        <f t="shared" si="43"/>
        <v>0</v>
      </c>
      <c r="AH366" s="114"/>
      <c r="AI366" s="114"/>
      <c r="AJ366" s="83">
        <f t="shared" si="44"/>
        <v>0</v>
      </c>
      <c r="AK366" s="82"/>
      <c r="AL366" s="84"/>
      <c r="AM366" s="66"/>
    </row>
    <row r="367" spans="3:39" ht="15.6" x14ac:dyDescent="0.3">
      <c r="C367" s="41" t="s">
        <v>665</v>
      </c>
      <c r="D367" s="41" t="s">
        <v>124</v>
      </c>
      <c r="E367" s="42" t="s">
        <v>88</v>
      </c>
      <c r="G367" s="66"/>
      <c r="H367" s="74">
        <v>2013</v>
      </c>
      <c r="I367" s="74">
        <v>843</v>
      </c>
      <c r="J367" s="74">
        <v>842</v>
      </c>
      <c r="K367" s="74">
        <v>793</v>
      </c>
      <c r="L367" s="74">
        <v>888</v>
      </c>
      <c r="M367" s="74">
        <v>364</v>
      </c>
      <c r="N367" s="76" cm="1">
        <f t="array" ref="N367">SUM((H367:L367)/5)</f>
        <v>1075.8</v>
      </c>
      <c r="O367" s="74">
        <v>1070</v>
      </c>
      <c r="P367" s="66"/>
      <c r="Q367" s="77">
        <v>49.308</v>
      </c>
      <c r="R367" s="77">
        <v>72.016000000000005</v>
      </c>
      <c r="S367" s="77">
        <v>0.441</v>
      </c>
      <c r="T367" s="77">
        <v>0.441</v>
      </c>
      <c r="U367" s="77">
        <f t="shared" si="39"/>
        <v>428</v>
      </c>
      <c r="V367" s="77">
        <f t="shared" si="40"/>
        <v>642</v>
      </c>
      <c r="W367" s="66"/>
      <c r="X367" s="77">
        <v>15.868</v>
      </c>
      <c r="Y367" s="77">
        <v>27.082730000000002</v>
      </c>
      <c r="Z367" s="79">
        <v>27.082730000000002</v>
      </c>
      <c r="AA367" s="80">
        <f t="shared" si="45"/>
        <v>44.686504499999998</v>
      </c>
      <c r="AB367" s="66"/>
      <c r="AC367" s="81">
        <v>365</v>
      </c>
      <c r="AD367" s="82">
        <f t="shared" si="41"/>
        <v>131.7893</v>
      </c>
      <c r="AE367" s="82">
        <f t="shared" si="42"/>
        <v>144.17600000000002</v>
      </c>
      <c r="AF367" s="82">
        <f t="shared" si="43"/>
        <v>115.91</v>
      </c>
      <c r="AG367" s="82">
        <f t="shared" si="43"/>
        <v>286.89</v>
      </c>
      <c r="AH367" s="114"/>
      <c r="AI367" s="114"/>
      <c r="AJ367" s="83">
        <f t="shared" si="44"/>
        <v>678.76530000000002</v>
      </c>
      <c r="AK367" s="82"/>
      <c r="AL367" s="84"/>
      <c r="AM367" s="66"/>
    </row>
    <row r="368" spans="3:39" ht="15.6" x14ac:dyDescent="0.3">
      <c r="C368" s="41" t="s">
        <v>666</v>
      </c>
      <c r="D368" s="41" t="s">
        <v>124</v>
      </c>
      <c r="E368" s="42" t="s">
        <v>88</v>
      </c>
      <c r="G368" s="66"/>
      <c r="H368" s="74">
        <v>1254</v>
      </c>
      <c r="I368" s="74">
        <v>865</v>
      </c>
      <c r="J368" s="74">
        <v>766</v>
      </c>
      <c r="K368" s="74">
        <v>923</v>
      </c>
      <c r="L368" s="74">
        <v>619</v>
      </c>
      <c r="M368" s="74">
        <v>367</v>
      </c>
      <c r="N368" s="76" cm="1">
        <f t="array" ref="N368">SUM((H368:L368)/5)</f>
        <v>885.4</v>
      </c>
      <c r="O368" s="74">
        <v>885</v>
      </c>
      <c r="P368" s="66"/>
      <c r="Q368" s="77">
        <v>49.308</v>
      </c>
      <c r="R368" s="77">
        <v>72.016000000000005</v>
      </c>
      <c r="S368" s="77">
        <v>0.441</v>
      </c>
      <c r="T368" s="77">
        <v>0.441</v>
      </c>
      <c r="U368" s="77">
        <f t="shared" si="39"/>
        <v>354</v>
      </c>
      <c r="V368" s="77">
        <f t="shared" si="40"/>
        <v>531</v>
      </c>
      <c r="W368" s="66"/>
      <c r="X368" s="77">
        <v>15.868</v>
      </c>
      <c r="Y368" s="77">
        <v>27.082820000000002</v>
      </c>
      <c r="Z368" s="79">
        <v>27.082820000000002</v>
      </c>
      <c r="AA368" s="80">
        <f t="shared" si="45"/>
        <v>44.686653000000007</v>
      </c>
      <c r="AB368" s="66"/>
      <c r="AC368" s="81">
        <v>365</v>
      </c>
      <c r="AD368" s="82">
        <f t="shared" si="41"/>
        <v>131.7893</v>
      </c>
      <c r="AE368" s="82">
        <f t="shared" si="42"/>
        <v>144.17600000000002</v>
      </c>
      <c r="AF368" s="82">
        <f t="shared" si="43"/>
        <v>95.87</v>
      </c>
      <c r="AG368" s="82">
        <f t="shared" si="43"/>
        <v>237.29</v>
      </c>
      <c r="AH368" s="114"/>
      <c r="AI368" s="114"/>
      <c r="AJ368" s="83">
        <f t="shared" si="44"/>
        <v>609.12530000000004</v>
      </c>
      <c r="AK368" s="82"/>
      <c r="AL368" s="84"/>
      <c r="AM368" s="66"/>
    </row>
    <row r="369" spans="3:39" ht="15.6" x14ac:dyDescent="0.3">
      <c r="C369" s="41" t="s">
        <v>667</v>
      </c>
      <c r="D369" s="41" t="s">
        <v>124</v>
      </c>
      <c r="E369" s="42" t="s">
        <v>88</v>
      </c>
      <c r="G369" s="66"/>
      <c r="H369" s="74">
        <v>894</v>
      </c>
      <c r="I369" s="74">
        <v>713</v>
      </c>
      <c r="J369" s="74">
        <v>624</v>
      </c>
      <c r="K369" s="74">
        <v>627</v>
      </c>
      <c r="L369" s="74">
        <v>517</v>
      </c>
      <c r="M369" s="74">
        <v>283</v>
      </c>
      <c r="N369" s="76" cm="1">
        <f t="array" ref="N369">SUM((H369:L369)/5)</f>
        <v>675</v>
      </c>
      <c r="O369" s="74">
        <v>675</v>
      </c>
      <c r="P369" s="66"/>
      <c r="Q369" s="77">
        <v>49.308</v>
      </c>
      <c r="R369" s="77">
        <v>72.016000000000005</v>
      </c>
      <c r="S369" s="77">
        <v>0.441</v>
      </c>
      <c r="T369" s="77">
        <v>0.441</v>
      </c>
      <c r="U369" s="77">
        <f t="shared" si="39"/>
        <v>270</v>
      </c>
      <c r="V369" s="77">
        <f t="shared" si="40"/>
        <v>405</v>
      </c>
      <c r="W369" s="66"/>
      <c r="X369" s="77">
        <v>15.868</v>
      </c>
      <c r="Y369" s="77">
        <v>27.08297</v>
      </c>
      <c r="Z369" s="79">
        <v>27.08297</v>
      </c>
      <c r="AA369" s="80">
        <f t="shared" si="45"/>
        <v>44.6869005</v>
      </c>
      <c r="AB369" s="66"/>
      <c r="AC369" s="81">
        <v>365</v>
      </c>
      <c r="AD369" s="82">
        <f t="shared" si="41"/>
        <v>131.7893</v>
      </c>
      <c r="AE369" s="82">
        <f t="shared" si="42"/>
        <v>144.17600000000002</v>
      </c>
      <c r="AF369" s="82">
        <f t="shared" si="43"/>
        <v>73.12</v>
      </c>
      <c r="AG369" s="82">
        <f t="shared" si="43"/>
        <v>180.98</v>
      </c>
      <c r="AH369" s="114"/>
      <c r="AI369" s="114"/>
      <c r="AJ369" s="83">
        <f t="shared" si="44"/>
        <v>530.06529999999998</v>
      </c>
      <c r="AK369" s="82"/>
      <c r="AL369" s="84"/>
      <c r="AM369" s="66"/>
    </row>
    <row r="370" spans="3:39" ht="15.6" x14ac:dyDescent="0.3">
      <c r="C370" s="41" t="s">
        <v>668</v>
      </c>
      <c r="D370" s="41" t="s">
        <v>124</v>
      </c>
      <c r="E370" s="42" t="s">
        <v>88</v>
      </c>
      <c r="G370" s="66"/>
      <c r="H370" s="74">
        <v>1147</v>
      </c>
      <c r="I370" s="74">
        <v>809</v>
      </c>
      <c r="J370" s="74">
        <v>862</v>
      </c>
      <c r="K370" s="74">
        <v>926</v>
      </c>
      <c r="L370" s="74">
        <v>601</v>
      </c>
      <c r="M370" s="74">
        <v>417</v>
      </c>
      <c r="N370" s="76" cm="1">
        <f t="array" ref="N370">SUM((H370:L370)/5)</f>
        <v>869</v>
      </c>
      <c r="O370" s="74">
        <v>870</v>
      </c>
      <c r="P370" s="66"/>
      <c r="Q370" s="77">
        <v>49.308</v>
      </c>
      <c r="R370" s="77">
        <v>72.016000000000005</v>
      </c>
      <c r="S370" s="77">
        <v>0.441</v>
      </c>
      <c r="T370" s="77">
        <v>0.441</v>
      </c>
      <c r="U370" s="77">
        <f t="shared" ref="U370:U433" si="46">IF(E370="Gas",O370*R365,O370*$R$4)</f>
        <v>348</v>
      </c>
      <c r="V370" s="77">
        <f t="shared" ref="V370:V433" si="47">IF(E370="Gas",O370*T365,O370*$T$4)</f>
        <v>522</v>
      </c>
      <c r="W370" s="66"/>
      <c r="X370" s="77">
        <v>15.868</v>
      </c>
      <c r="Y370" s="77">
        <v>27.08268</v>
      </c>
      <c r="Z370" s="79">
        <v>27.08268</v>
      </c>
      <c r="AA370" s="80">
        <f t="shared" si="45"/>
        <v>44.686422</v>
      </c>
      <c r="AB370" s="66"/>
      <c r="AC370" s="81">
        <v>365</v>
      </c>
      <c r="AD370" s="82">
        <f t="shared" ref="AD370:AD433" si="48">ROUND(R370*183,2)/100</f>
        <v>131.7893</v>
      </c>
      <c r="AE370" s="82">
        <f t="shared" ref="AE370:AE433" si="49">ROUND((R370+R370*$AE$4)*(365-183),2)/100</f>
        <v>144.17600000000002</v>
      </c>
      <c r="AF370" s="82">
        <f t="shared" ref="AF370:AG433" si="50">ROUND((U370*Z370)/100,2)</f>
        <v>94.25</v>
      </c>
      <c r="AG370" s="82">
        <f t="shared" si="50"/>
        <v>233.26</v>
      </c>
      <c r="AH370" s="114"/>
      <c r="AI370" s="114"/>
      <c r="AJ370" s="83">
        <f t="shared" ref="AJ370:AJ433" si="51">SUM(AD370:AG370)</f>
        <v>603.47530000000006</v>
      </c>
      <c r="AK370" s="82"/>
      <c r="AL370" s="84"/>
      <c r="AM370" s="66"/>
    </row>
    <row r="371" spans="3:39" ht="15.6" x14ac:dyDescent="0.3">
      <c r="C371" s="41" t="s">
        <v>669</v>
      </c>
      <c r="D371" s="41" t="s">
        <v>124</v>
      </c>
      <c r="E371" s="42" t="s">
        <v>88</v>
      </c>
      <c r="G371" s="66"/>
      <c r="H371" s="74">
        <v>1038</v>
      </c>
      <c r="I371" s="74">
        <v>830</v>
      </c>
      <c r="J371" s="74">
        <v>753</v>
      </c>
      <c r="K371" s="74">
        <v>697</v>
      </c>
      <c r="L371" s="74">
        <v>559</v>
      </c>
      <c r="M371" s="74">
        <v>293</v>
      </c>
      <c r="N371" s="76" cm="1">
        <f t="array" ref="N371">SUM((H371:L371)/5)</f>
        <v>775.4</v>
      </c>
      <c r="O371" s="74">
        <v>775</v>
      </c>
      <c r="P371" s="66"/>
      <c r="Q371" s="77">
        <v>49.308</v>
      </c>
      <c r="R371" s="77">
        <v>72.016000000000005</v>
      </c>
      <c r="S371" s="77">
        <v>0.441</v>
      </c>
      <c r="T371" s="77">
        <v>0.441</v>
      </c>
      <c r="U371" s="77">
        <f t="shared" si="46"/>
        <v>310</v>
      </c>
      <c r="V371" s="77">
        <f t="shared" si="47"/>
        <v>465</v>
      </c>
      <c r="W371" s="66"/>
      <c r="X371" s="77">
        <v>15.868</v>
      </c>
      <c r="Y371" s="77">
        <v>27.083089999999999</v>
      </c>
      <c r="Z371" s="79">
        <v>27.083089999999999</v>
      </c>
      <c r="AA371" s="80">
        <f t="shared" si="45"/>
        <v>44.687098499999998</v>
      </c>
      <c r="AB371" s="66"/>
      <c r="AC371" s="81">
        <v>365</v>
      </c>
      <c r="AD371" s="82">
        <f t="shared" si="48"/>
        <v>131.7893</v>
      </c>
      <c r="AE371" s="82">
        <f t="shared" si="49"/>
        <v>144.17600000000002</v>
      </c>
      <c r="AF371" s="82">
        <f t="shared" si="50"/>
        <v>83.96</v>
      </c>
      <c r="AG371" s="82">
        <f t="shared" si="50"/>
        <v>207.8</v>
      </c>
      <c r="AH371" s="114"/>
      <c r="AI371" s="114"/>
      <c r="AJ371" s="83">
        <f t="shared" si="51"/>
        <v>567.72530000000006</v>
      </c>
      <c r="AK371" s="82"/>
      <c r="AL371" s="84"/>
      <c r="AM371" s="66"/>
    </row>
    <row r="372" spans="3:39" ht="15.6" x14ac:dyDescent="0.3">
      <c r="C372" s="41" t="s">
        <v>667</v>
      </c>
      <c r="D372" s="41" t="s">
        <v>124</v>
      </c>
      <c r="E372" s="42" t="s">
        <v>88</v>
      </c>
      <c r="G372" s="66"/>
      <c r="H372" s="74">
        <v>520</v>
      </c>
      <c r="I372" s="74">
        <v>1597</v>
      </c>
      <c r="J372" s="74">
        <v>251</v>
      </c>
      <c r="K372" s="74">
        <v>429</v>
      </c>
      <c r="L372" s="74">
        <v>316</v>
      </c>
      <c r="M372" s="74">
        <v>52</v>
      </c>
      <c r="N372" s="76" cm="1">
        <f t="array" ref="N372">SUM((H372:L372)/5)</f>
        <v>622.6</v>
      </c>
      <c r="O372" s="74">
        <v>620</v>
      </c>
      <c r="P372" s="66"/>
      <c r="Q372" s="77">
        <v>49.308</v>
      </c>
      <c r="R372" s="77">
        <v>72.016000000000005</v>
      </c>
      <c r="S372" s="77">
        <v>0.441</v>
      </c>
      <c r="T372" s="77">
        <v>0.441</v>
      </c>
      <c r="U372" s="77">
        <f t="shared" si="46"/>
        <v>248</v>
      </c>
      <c r="V372" s="77">
        <f t="shared" si="47"/>
        <v>372</v>
      </c>
      <c r="W372" s="66"/>
      <c r="X372" s="77">
        <v>15.868</v>
      </c>
      <c r="Y372" s="77">
        <v>27.0792</v>
      </c>
      <c r="Z372" s="79">
        <v>27.0792</v>
      </c>
      <c r="AA372" s="80">
        <f t="shared" si="45"/>
        <v>44.680680000000002</v>
      </c>
      <c r="AB372" s="66"/>
      <c r="AC372" s="81">
        <v>365</v>
      </c>
      <c r="AD372" s="82">
        <f t="shared" si="48"/>
        <v>131.7893</v>
      </c>
      <c r="AE372" s="82">
        <f t="shared" si="49"/>
        <v>144.17600000000002</v>
      </c>
      <c r="AF372" s="82">
        <f t="shared" si="50"/>
        <v>67.16</v>
      </c>
      <c r="AG372" s="82">
        <f t="shared" si="50"/>
        <v>166.21</v>
      </c>
      <c r="AH372" s="114"/>
      <c r="AI372" s="114"/>
      <c r="AJ372" s="83">
        <f t="shared" si="51"/>
        <v>509.33530000000007</v>
      </c>
      <c r="AK372" s="82"/>
      <c r="AL372" s="84"/>
      <c r="AM372" s="66"/>
    </row>
    <row r="373" spans="3:39" ht="15.6" x14ac:dyDescent="0.3">
      <c r="C373" s="41" t="s">
        <v>670</v>
      </c>
      <c r="D373" s="41" t="s">
        <v>124</v>
      </c>
      <c r="E373" s="42" t="s">
        <v>88</v>
      </c>
      <c r="G373" s="66"/>
      <c r="H373" s="74">
        <v>1056</v>
      </c>
      <c r="I373" s="74">
        <v>1200</v>
      </c>
      <c r="J373" s="74">
        <v>1192</v>
      </c>
      <c r="K373" s="74">
        <v>1149</v>
      </c>
      <c r="L373" s="74">
        <v>883</v>
      </c>
      <c r="M373" s="74">
        <v>458</v>
      </c>
      <c r="N373" s="76" cm="1">
        <f t="array" ref="N373">SUM((H373:L373)/5)</f>
        <v>1096</v>
      </c>
      <c r="O373" s="74">
        <v>1090</v>
      </c>
      <c r="P373" s="66"/>
      <c r="Q373" s="77">
        <v>49.308</v>
      </c>
      <c r="R373" s="77">
        <v>72.016000000000005</v>
      </c>
      <c r="S373" s="77">
        <v>0.441</v>
      </c>
      <c r="T373" s="77">
        <v>0.441</v>
      </c>
      <c r="U373" s="77">
        <f t="shared" si="46"/>
        <v>436</v>
      </c>
      <c r="V373" s="77">
        <f t="shared" si="47"/>
        <v>654</v>
      </c>
      <c r="W373" s="66"/>
      <c r="X373" s="77">
        <v>15.868</v>
      </c>
      <c r="Y373" s="77">
        <v>27.08259</v>
      </c>
      <c r="Z373" s="79">
        <v>27.08259</v>
      </c>
      <c r="AA373" s="80">
        <f t="shared" si="45"/>
        <v>44.686273499999999</v>
      </c>
      <c r="AB373" s="66"/>
      <c r="AC373" s="81">
        <v>365</v>
      </c>
      <c r="AD373" s="82">
        <f t="shared" si="48"/>
        <v>131.7893</v>
      </c>
      <c r="AE373" s="82">
        <f t="shared" si="49"/>
        <v>144.17600000000002</v>
      </c>
      <c r="AF373" s="82">
        <f t="shared" si="50"/>
        <v>118.08</v>
      </c>
      <c r="AG373" s="82">
        <f t="shared" si="50"/>
        <v>292.25</v>
      </c>
      <c r="AH373" s="114"/>
      <c r="AI373" s="114"/>
      <c r="AJ373" s="83">
        <f t="shared" si="51"/>
        <v>686.2953</v>
      </c>
      <c r="AK373" s="82"/>
      <c r="AL373" s="84"/>
      <c r="AM373" s="66"/>
    </row>
    <row r="374" spans="3:39" ht="15.6" x14ac:dyDescent="0.3">
      <c r="C374" s="41" t="s">
        <v>671</v>
      </c>
      <c r="D374" s="41" t="s">
        <v>124</v>
      </c>
      <c r="E374" s="42" t="s">
        <v>88</v>
      </c>
      <c r="G374" s="66"/>
      <c r="H374" s="74">
        <v>1014</v>
      </c>
      <c r="I374" s="74">
        <v>702</v>
      </c>
      <c r="J374" s="74">
        <v>895</v>
      </c>
      <c r="K374" s="74">
        <v>874</v>
      </c>
      <c r="L374" s="74">
        <v>2280</v>
      </c>
      <c r="M374" s="74">
        <v>1666</v>
      </c>
      <c r="N374" s="76" cm="1">
        <f t="array" ref="N374">SUM((H374:L374)/5)</f>
        <v>1153</v>
      </c>
      <c r="O374" s="74">
        <v>2000</v>
      </c>
      <c r="P374" s="66"/>
      <c r="Q374" s="77">
        <v>49.308</v>
      </c>
      <c r="R374" s="77">
        <v>72.016000000000005</v>
      </c>
      <c r="S374" s="77">
        <v>0.441</v>
      </c>
      <c r="T374" s="77">
        <v>0.441</v>
      </c>
      <c r="U374" s="77">
        <f t="shared" si="46"/>
        <v>800</v>
      </c>
      <c r="V374" s="77">
        <f t="shared" si="47"/>
        <v>1200</v>
      </c>
      <c r="W374" s="66"/>
      <c r="X374" s="77">
        <v>15.868</v>
      </c>
      <c r="Y374" s="77">
        <v>27.082640000000001</v>
      </c>
      <c r="Z374" s="79">
        <v>27.082640000000001</v>
      </c>
      <c r="AA374" s="80">
        <f t="shared" si="45"/>
        <v>44.686356000000004</v>
      </c>
      <c r="AB374" s="66"/>
      <c r="AC374" s="81">
        <v>365</v>
      </c>
      <c r="AD374" s="82">
        <f t="shared" si="48"/>
        <v>131.7893</v>
      </c>
      <c r="AE374" s="82">
        <f t="shared" si="49"/>
        <v>144.17600000000002</v>
      </c>
      <c r="AF374" s="82">
        <f t="shared" si="50"/>
        <v>216.66</v>
      </c>
      <c r="AG374" s="82">
        <f t="shared" si="50"/>
        <v>536.24</v>
      </c>
      <c r="AH374" s="114"/>
      <c r="AI374" s="114"/>
      <c r="AJ374" s="83">
        <f t="shared" si="51"/>
        <v>1028.8652999999999</v>
      </c>
      <c r="AK374" s="82"/>
      <c r="AL374" s="84"/>
      <c r="AM374" s="66"/>
    </row>
    <row r="375" spans="3:39" ht="15.6" x14ac:dyDescent="0.3">
      <c r="C375" s="41" t="s">
        <v>672</v>
      </c>
      <c r="D375" s="41" t="s">
        <v>124</v>
      </c>
      <c r="E375" s="42" t="s">
        <v>88</v>
      </c>
      <c r="G375" s="66"/>
      <c r="H375" s="74">
        <v>1234</v>
      </c>
      <c r="I375" s="74">
        <v>1461</v>
      </c>
      <c r="J375" s="74">
        <v>1092</v>
      </c>
      <c r="K375" s="74">
        <v>1210</v>
      </c>
      <c r="L375" s="74">
        <v>1539</v>
      </c>
      <c r="M375" s="74">
        <v>798</v>
      </c>
      <c r="N375" s="76" cm="1">
        <f t="array" ref="N375">SUM((H375:L375)/5)</f>
        <v>1307.2</v>
      </c>
      <c r="O375" s="74">
        <v>1450</v>
      </c>
      <c r="P375" s="66"/>
      <c r="Q375" s="77">
        <v>49.308</v>
      </c>
      <c r="R375" s="77">
        <v>72.016000000000005</v>
      </c>
      <c r="S375" s="77">
        <v>0.441</v>
      </c>
      <c r="T375" s="77">
        <v>0.441</v>
      </c>
      <c r="U375" s="77">
        <f t="shared" si="46"/>
        <v>580</v>
      </c>
      <c r="V375" s="77">
        <f t="shared" si="47"/>
        <v>870</v>
      </c>
      <c r="W375" s="66"/>
      <c r="X375" s="77">
        <v>15.868</v>
      </c>
      <c r="Y375" s="77">
        <v>27.08296</v>
      </c>
      <c r="Z375" s="79">
        <v>27.08296</v>
      </c>
      <c r="AA375" s="80">
        <f t="shared" si="45"/>
        <v>44.686883999999999</v>
      </c>
      <c r="AB375" s="66"/>
      <c r="AC375" s="81">
        <v>365</v>
      </c>
      <c r="AD375" s="82">
        <f t="shared" si="48"/>
        <v>131.7893</v>
      </c>
      <c r="AE375" s="82">
        <f t="shared" si="49"/>
        <v>144.17600000000002</v>
      </c>
      <c r="AF375" s="82">
        <f t="shared" si="50"/>
        <v>157.08000000000001</v>
      </c>
      <c r="AG375" s="82">
        <f t="shared" si="50"/>
        <v>388.78</v>
      </c>
      <c r="AH375" s="114"/>
      <c r="AI375" s="114"/>
      <c r="AJ375" s="83">
        <f t="shared" si="51"/>
        <v>821.82529999999997</v>
      </c>
      <c r="AK375" s="82"/>
      <c r="AL375" s="84"/>
      <c r="AM375" s="66"/>
    </row>
    <row r="376" spans="3:39" ht="15.6" x14ac:dyDescent="0.3">
      <c r="C376" s="41" t="s">
        <v>672</v>
      </c>
      <c r="D376" s="41" t="s">
        <v>124</v>
      </c>
      <c r="E376" s="42" t="s">
        <v>88</v>
      </c>
      <c r="G376" s="66"/>
      <c r="H376" s="74">
        <v>1822</v>
      </c>
      <c r="I376" s="74">
        <v>1866</v>
      </c>
      <c r="J376" s="74">
        <v>1370</v>
      </c>
      <c r="K376" s="74">
        <v>1395</v>
      </c>
      <c r="L376" s="74">
        <v>749</v>
      </c>
      <c r="M376" s="74">
        <v>768</v>
      </c>
      <c r="N376" s="76" cm="1">
        <f t="array" ref="N376">SUM((H376:L376)/5)</f>
        <v>1440.3999999999999</v>
      </c>
      <c r="O376" s="74">
        <v>1440</v>
      </c>
      <c r="P376" s="66"/>
      <c r="Q376" s="77">
        <v>49.828000000000003</v>
      </c>
      <c r="R376" s="77">
        <v>63.256999999999998</v>
      </c>
      <c r="S376" s="77">
        <v>0.441</v>
      </c>
      <c r="T376" s="77">
        <v>0.441</v>
      </c>
      <c r="U376" s="77">
        <f t="shared" si="46"/>
        <v>576</v>
      </c>
      <c r="V376" s="77">
        <f t="shared" si="47"/>
        <v>864</v>
      </c>
      <c r="W376" s="66"/>
      <c r="X376" s="77">
        <v>15.061999999999999</v>
      </c>
      <c r="Y376" s="77">
        <v>26.50658</v>
      </c>
      <c r="Z376" s="79">
        <v>26.50658</v>
      </c>
      <c r="AA376" s="80">
        <f t="shared" si="45"/>
        <v>43.735856999999996</v>
      </c>
      <c r="AB376" s="66"/>
      <c r="AC376" s="81">
        <v>365</v>
      </c>
      <c r="AD376" s="82">
        <f t="shared" si="48"/>
        <v>115.7603</v>
      </c>
      <c r="AE376" s="82">
        <f t="shared" si="49"/>
        <v>126.64049999999999</v>
      </c>
      <c r="AF376" s="82">
        <f t="shared" si="50"/>
        <v>152.68</v>
      </c>
      <c r="AG376" s="82">
        <f t="shared" si="50"/>
        <v>377.88</v>
      </c>
      <c r="AH376" s="114"/>
      <c r="AI376" s="114"/>
      <c r="AJ376" s="83">
        <f t="shared" si="51"/>
        <v>772.96080000000006</v>
      </c>
      <c r="AK376" s="82"/>
      <c r="AL376" s="84"/>
      <c r="AM376" s="66"/>
    </row>
    <row r="377" spans="3:39" ht="15.6" x14ac:dyDescent="0.3">
      <c r="C377" s="41" t="s">
        <v>673</v>
      </c>
      <c r="D377" s="41" t="s">
        <v>124</v>
      </c>
      <c r="E377" s="42" t="s">
        <v>88</v>
      </c>
      <c r="G377" s="66"/>
      <c r="H377" s="74">
        <v>475</v>
      </c>
      <c r="I377" s="74">
        <v>441</v>
      </c>
      <c r="J377" s="74">
        <v>632</v>
      </c>
      <c r="K377" s="74">
        <v>766</v>
      </c>
      <c r="L377" s="74">
        <v>1296</v>
      </c>
      <c r="M377" s="74">
        <v>419</v>
      </c>
      <c r="N377" s="76" cm="1">
        <f t="array" ref="N377">SUM((H377:L377)/5)</f>
        <v>722</v>
      </c>
      <c r="O377" s="74">
        <v>900</v>
      </c>
      <c r="P377" s="66"/>
      <c r="Q377" s="77">
        <v>49.308</v>
      </c>
      <c r="R377" s="77">
        <v>72.016000000000005</v>
      </c>
      <c r="S377" s="77">
        <v>0.441</v>
      </c>
      <c r="T377" s="77">
        <v>0.441</v>
      </c>
      <c r="U377" s="77">
        <f t="shared" si="46"/>
        <v>360</v>
      </c>
      <c r="V377" s="77">
        <f t="shared" si="47"/>
        <v>540</v>
      </c>
      <c r="W377" s="66"/>
      <c r="X377" s="77">
        <v>15.868</v>
      </c>
      <c r="Y377" s="77">
        <v>27.082989999999999</v>
      </c>
      <c r="Z377" s="79">
        <v>27.082989999999999</v>
      </c>
      <c r="AA377" s="80">
        <f t="shared" si="45"/>
        <v>44.686933499999995</v>
      </c>
      <c r="AB377" s="66"/>
      <c r="AC377" s="81">
        <v>365</v>
      </c>
      <c r="AD377" s="82">
        <f t="shared" si="48"/>
        <v>131.7893</v>
      </c>
      <c r="AE377" s="82">
        <f t="shared" si="49"/>
        <v>144.17600000000002</v>
      </c>
      <c r="AF377" s="82">
        <f t="shared" si="50"/>
        <v>97.5</v>
      </c>
      <c r="AG377" s="82">
        <f t="shared" si="50"/>
        <v>241.31</v>
      </c>
      <c r="AH377" s="114"/>
      <c r="AI377" s="114"/>
      <c r="AJ377" s="83">
        <f t="shared" si="51"/>
        <v>614.77530000000002</v>
      </c>
      <c r="AK377" s="82"/>
      <c r="AL377" s="84"/>
      <c r="AM377" s="66"/>
    </row>
    <row r="378" spans="3:39" ht="15.6" x14ac:dyDescent="0.3">
      <c r="C378" s="41" t="s">
        <v>672</v>
      </c>
      <c r="D378" s="41" t="s">
        <v>124</v>
      </c>
      <c r="E378" s="42" t="s">
        <v>88</v>
      </c>
      <c r="G378" s="66"/>
      <c r="H378" s="74">
        <v>1655</v>
      </c>
      <c r="I378" s="74">
        <v>1711</v>
      </c>
      <c r="J378" s="74">
        <v>1865</v>
      </c>
      <c r="K378" s="74">
        <v>1640</v>
      </c>
      <c r="L378" s="74">
        <v>1784</v>
      </c>
      <c r="M378" s="74">
        <v>92</v>
      </c>
      <c r="N378" s="76" cm="1">
        <f t="array" ref="N378">SUM((H378:L378)/5)</f>
        <v>1731</v>
      </c>
      <c r="O378" s="74">
        <v>1720</v>
      </c>
      <c r="P378" s="66"/>
      <c r="Q378" s="77">
        <v>49.308</v>
      </c>
      <c r="R378" s="77">
        <v>72.016000000000005</v>
      </c>
      <c r="S378" s="77">
        <v>0.441</v>
      </c>
      <c r="T378" s="77">
        <v>0.441</v>
      </c>
      <c r="U378" s="77">
        <f t="shared" si="46"/>
        <v>688</v>
      </c>
      <c r="V378" s="77">
        <f t="shared" si="47"/>
        <v>1032</v>
      </c>
      <c r="W378" s="66"/>
      <c r="X378" s="77">
        <v>15.868</v>
      </c>
      <c r="Y378" s="77">
        <v>27.08286</v>
      </c>
      <c r="Z378" s="79">
        <v>27.08286</v>
      </c>
      <c r="AA378" s="80">
        <f t="shared" si="45"/>
        <v>44.686718999999997</v>
      </c>
      <c r="AB378" s="66"/>
      <c r="AC378" s="81">
        <v>365</v>
      </c>
      <c r="AD378" s="82">
        <f t="shared" si="48"/>
        <v>131.7893</v>
      </c>
      <c r="AE378" s="82">
        <f t="shared" si="49"/>
        <v>144.17600000000002</v>
      </c>
      <c r="AF378" s="82">
        <f t="shared" si="50"/>
        <v>186.33</v>
      </c>
      <c r="AG378" s="82">
        <f t="shared" si="50"/>
        <v>461.17</v>
      </c>
      <c r="AH378" s="114"/>
      <c r="AI378" s="114"/>
      <c r="AJ378" s="83">
        <f t="shared" si="51"/>
        <v>923.46530000000007</v>
      </c>
      <c r="AK378" s="82"/>
      <c r="AL378" s="84"/>
      <c r="AM378" s="66"/>
    </row>
    <row r="379" spans="3:39" ht="15.6" x14ac:dyDescent="0.3">
      <c r="C379" s="41" t="s">
        <v>672</v>
      </c>
      <c r="D379" s="41" t="s">
        <v>124</v>
      </c>
      <c r="E379" s="42" t="s">
        <v>88</v>
      </c>
      <c r="G379" s="66"/>
      <c r="H379" s="74">
        <v>2011</v>
      </c>
      <c r="I379" s="74">
        <v>1084</v>
      </c>
      <c r="J379" s="74">
        <v>1182</v>
      </c>
      <c r="K379" s="74">
        <v>1286</v>
      </c>
      <c r="L379" s="74">
        <v>2217</v>
      </c>
      <c r="M379" s="74">
        <v>753</v>
      </c>
      <c r="N379" s="76" cm="1">
        <f t="array" ref="N379">SUM((H379:L379)/5)</f>
        <v>1556</v>
      </c>
      <c r="O379" s="74">
        <v>1600</v>
      </c>
      <c r="P379" s="66"/>
      <c r="Q379" s="77">
        <v>49.308</v>
      </c>
      <c r="R379" s="77">
        <v>72.016000000000005</v>
      </c>
      <c r="S379" s="77">
        <v>0.441</v>
      </c>
      <c r="T379" s="77">
        <v>0.441</v>
      </c>
      <c r="U379" s="77">
        <f t="shared" si="46"/>
        <v>640</v>
      </c>
      <c r="V379" s="77">
        <f t="shared" si="47"/>
        <v>960</v>
      </c>
      <c r="W379" s="66"/>
      <c r="X379" s="77">
        <v>15.868</v>
      </c>
      <c r="Y379" s="77">
        <v>27.08295</v>
      </c>
      <c r="Z379" s="79">
        <v>27.08295</v>
      </c>
      <c r="AA379" s="80">
        <f t="shared" si="45"/>
        <v>44.686867500000005</v>
      </c>
      <c r="AB379" s="66"/>
      <c r="AC379" s="81">
        <v>365</v>
      </c>
      <c r="AD379" s="82">
        <f t="shared" si="48"/>
        <v>131.7893</v>
      </c>
      <c r="AE379" s="82">
        <f t="shared" si="49"/>
        <v>144.17600000000002</v>
      </c>
      <c r="AF379" s="82">
        <f t="shared" si="50"/>
        <v>173.33</v>
      </c>
      <c r="AG379" s="82">
        <f t="shared" si="50"/>
        <v>428.99</v>
      </c>
      <c r="AH379" s="114"/>
      <c r="AI379" s="114"/>
      <c r="AJ379" s="83">
        <f t="shared" si="51"/>
        <v>878.28530000000001</v>
      </c>
      <c r="AK379" s="82"/>
      <c r="AL379" s="84"/>
      <c r="AM379" s="66"/>
    </row>
    <row r="380" spans="3:39" ht="15.6" x14ac:dyDescent="0.3">
      <c r="C380" s="41" t="s">
        <v>674</v>
      </c>
      <c r="D380" s="41" t="s">
        <v>124</v>
      </c>
      <c r="E380" s="42" t="s">
        <v>88</v>
      </c>
      <c r="G380" s="66"/>
      <c r="H380" s="74">
        <v>2044</v>
      </c>
      <c r="I380" s="74">
        <v>1294</v>
      </c>
      <c r="J380" s="74">
        <v>1330</v>
      </c>
      <c r="K380" s="74">
        <v>1197</v>
      </c>
      <c r="L380" s="74">
        <v>1337</v>
      </c>
      <c r="M380" s="74">
        <v>575</v>
      </c>
      <c r="N380" s="76" cm="1">
        <f t="array" ref="N380">SUM((H380:L380)/5)</f>
        <v>1440.4</v>
      </c>
      <c r="O380" s="74">
        <v>1440</v>
      </c>
      <c r="P380" s="66"/>
      <c r="Q380" s="77">
        <v>49.308</v>
      </c>
      <c r="R380" s="77">
        <v>72.016000000000005</v>
      </c>
      <c r="S380" s="77">
        <v>0.441</v>
      </c>
      <c r="T380" s="77">
        <v>0.441</v>
      </c>
      <c r="U380" s="77">
        <f t="shared" si="46"/>
        <v>576</v>
      </c>
      <c r="V380" s="77">
        <f t="shared" si="47"/>
        <v>864</v>
      </c>
      <c r="W380" s="66"/>
      <c r="X380" s="77">
        <v>15.868</v>
      </c>
      <c r="Y380" s="77">
        <v>27.08258</v>
      </c>
      <c r="Z380" s="79">
        <v>27.08258</v>
      </c>
      <c r="AA380" s="80">
        <f t="shared" si="45"/>
        <v>44.686256999999998</v>
      </c>
      <c r="AB380" s="66"/>
      <c r="AC380" s="81">
        <v>365</v>
      </c>
      <c r="AD380" s="82">
        <f t="shared" si="48"/>
        <v>131.7893</v>
      </c>
      <c r="AE380" s="82">
        <f t="shared" si="49"/>
        <v>144.17600000000002</v>
      </c>
      <c r="AF380" s="82">
        <f t="shared" si="50"/>
        <v>156</v>
      </c>
      <c r="AG380" s="82">
        <f t="shared" si="50"/>
        <v>386.09</v>
      </c>
      <c r="AH380" s="114"/>
      <c r="AI380" s="114"/>
      <c r="AJ380" s="83">
        <f t="shared" si="51"/>
        <v>818.05529999999999</v>
      </c>
      <c r="AK380" s="82"/>
      <c r="AL380" s="84"/>
      <c r="AM380" s="66"/>
    </row>
    <row r="381" spans="3:39" ht="15.6" x14ac:dyDescent="0.3">
      <c r="C381" s="41" t="s">
        <v>675</v>
      </c>
      <c r="D381" s="41" t="s">
        <v>124</v>
      </c>
      <c r="E381" s="42" t="s">
        <v>88</v>
      </c>
      <c r="G381" s="66"/>
      <c r="H381" s="74">
        <v>409</v>
      </c>
      <c r="I381" s="74">
        <v>192</v>
      </c>
      <c r="J381" s="74">
        <v>301</v>
      </c>
      <c r="K381" s="74">
        <v>305</v>
      </c>
      <c r="L381" s="74">
        <v>359</v>
      </c>
      <c r="M381" s="74">
        <v>274</v>
      </c>
      <c r="N381" s="76" cm="1">
        <f t="array" ref="N381">SUM((H381:L381)/5)</f>
        <v>313.2</v>
      </c>
      <c r="O381" s="74">
        <v>320</v>
      </c>
      <c r="P381" s="66"/>
      <c r="Q381" s="77">
        <v>49.308</v>
      </c>
      <c r="R381" s="77">
        <v>72.016000000000005</v>
      </c>
      <c r="S381" s="77">
        <v>0.441</v>
      </c>
      <c r="T381" s="77">
        <v>0.441</v>
      </c>
      <c r="U381" s="77">
        <f t="shared" si="46"/>
        <v>128</v>
      </c>
      <c r="V381" s="77">
        <f t="shared" si="47"/>
        <v>192</v>
      </c>
      <c r="W381" s="66"/>
      <c r="X381" s="77">
        <v>15.868</v>
      </c>
      <c r="Y381" s="77">
        <v>27.082519999999999</v>
      </c>
      <c r="Z381" s="79">
        <v>27.082519999999999</v>
      </c>
      <c r="AA381" s="80">
        <f t="shared" si="45"/>
        <v>44.686157999999999</v>
      </c>
      <c r="AB381" s="66"/>
      <c r="AC381" s="81">
        <v>365</v>
      </c>
      <c r="AD381" s="82">
        <f t="shared" si="48"/>
        <v>131.7893</v>
      </c>
      <c r="AE381" s="82">
        <f t="shared" si="49"/>
        <v>144.17600000000002</v>
      </c>
      <c r="AF381" s="82">
        <f t="shared" si="50"/>
        <v>34.67</v>
      </c>
      <c r="AG381" s="82">
        <f t="shared" si="50"/>
        <v>85.8</v>
      </c>
      <c r="AH381" s="114"/>
      <c r="AI381" s="114"/>
      <c r="AJ381" s="83">
        <f t="shared" si="51"/>
        <v>396.43530000000004</v>
      </c>
      <c r="AK381" s="82"/>
      <c r="AL381" s="84"/>
      <c r="AM381" s="66"/>
    </row>
    <row r="382" spans="3:39" ht="60" x14ac:dyDescent="0.3">
      <c r="C382" s="41" t="s">
        <v>676</v>
      </c>
      <c r="D382" s="41" t="s">
        <v>124</v>
      </c>
      <c r="E382" s="42" t="s">
        <v>88</v>
      </c>
      <c r="G382" s="66"/>
      <c r="H382" s="74">
        <v>1154</v>
      </c>
      <c r="I382" s="74">
        <v>1043</v>
      </c>
      <c r="J382" s="74">
        <v>1777</v>
      </c>
      <c r="K382" s="74">
        <v>1469</v>
      </c>
      <c r="L382" s="74">
        <v>1105</v>
      </c>
      <c r="M382" s="74">
        <v>8</v>
      </c>
      <c r="N382" s="76" cm="1">
        <f t="array" ref="N382">SUM((H382:L382)/5)</f>
        <v>1309.5999999999999</v>
      </c>
      <c r="O382" s="74">
        <v>1310</v>
      </c>
      <c r="P382" s="66"/>
      <c r="Q382" s="77">
        <v>49.325000000000003</v>
      </c>
      <c r="R382" s="77">
        <v>72.016000000000005</v>
      </c>
      <c r="S382" s="77">
        <v>0.441</v>
      </c>
      <c r="T382" s="77">
        <v>0.441</v>
      </c>
      <c r="U382" s="77">
        <f t="shared" si="46"/>
        <v>524</v>
      </c>
      <c r="V382" s="77">
        <f t="shared" si="47"/>
        <v>786</v>
      </c>
      <c r="W382" s="66"/>
      <c r="X382" s="77" t="s">
        <v>320</v>
      </c>
      <c r="Y382" s="77" t="s">
        <v>342</v>
      </c>
      <c r="Z382" s="79">
        <f>SUM(27.21418+25.09061)/2</f>
        <v>26.152394999999999</v>
      </c>
      <c r="AA382" s="80">
        <f t="shared" si="45"/>
        <v>43.15145175</v>
      </c>
      <c r="AB382" s="66"/>
      <c r="AC382" s="81">
        <v>365</v>
      </c>
      <c r="AD382" s="82">
        <f t="shared" si="48"/>
        <v>131.7893</v>
      </c>
      <c r="AE382" s="82">
        <f t="shared" si="49"/>
        <v>144.17600000000002</v>
      </c>
      <c r="AF382" s="82">
        <f t="shared" si="50"/>
        <v>137.04</v>
      </c>
      <c r="AG382" s="82">
        <f t="shared" si="50"/>
        <v>339.17</v>
      </c>
      <c r="AH382" s="114"/>
      <c r="AI382" s="114"/>
      <c r="AJ382" s="83">
        <f t="shared" si="51"/>
        <v>752.17530000000011</v>
      </c>
      <c r="AK382" s="82"/>
      <c r="AL382" s="84"/>
      <c r="AM382" s="66"/>
    </row>
    <row r="383" spans="3:39" ht="60" x14ac:dyDescent="0.3">
      <c r="C383" s="41" t="s">
        <v>677</v>
      </c>
      <c r="D383" s="41" t="s">
        <v>124</v>
      </c>
      <c r="E383" s="42" t="s">
        <v>88</v>
      </c>
      <c r="G383" s="66"/>
      <c r="H383" s="74">
        <v>2109</v>
      </c>
      <c r="I383" s="74">
        <v>2979</v>
      </c>
      <c r="J383" s="74">
        <v>2812</v>
      </c>
      <c r="K383" s="74">
        <v>2537</v>
      </c>
      <c r="L383" s="74">
        <v>2058</v>
      </c>
      <c r="M383" s="74">
        <v>1678</v>
      </c>
      <c r="N383" s="76" cm="1">
        <f t="array" ref="N383">SUM((H383:L383)/5)</f>
        <v>2499</v>
      </c>
      <c r="O383" s="74">
        <v>2450</v>
      </c>
      <c r="P383" s="66"/>
      <c r="Q383" s="77">
        <v>49.325000000000003</v>
      </c>
      <c r="R383" s="77">
        <v>72.016000000000005</v>
      </c>
      <c r="S383" s="77">
        <v>0.441</v>
      </c>
      <c r="T383" s="77">
        <v>0.441</v>
      </c>
      <c r="U383" s="77">
        <f t="shared" si="46"/>
        <v>980</v>
      </c>
      <c r="V383" s="77">
        <f t="shared" si="47"/>
        <v>1470</v>
      </c>
      <c r="W383" s="66"/>
      <c r="X383" s="77" t="s">
        <v>320</v>
      </c>
      <c r="Y383" s="77" t="s">
        <v>343</v>
      </c>
      <c r="Z383" s="79">
        <f>SUM(27.21337+25.08997)/2</f>
        <v>26.151670000000003</v>
      </c>
      <c r="AA383" s="80">
        <f t="shared" si="45"/>
        <v>43.1502555</v>
      </c>
      <c r="AB383" s="66"/>
      <c r="AC383" s="81">
        <v>365</v>
      </c>
      <c r="AD383" s="82">
        <f t="shared" si="48"/>
        <v>131.7893</v>
      </c>
      <c r="AE383" s="82">
        <f t="shared" si="49"/>
        <v>144.17600000000002</v>
      </c>
      <c r="AF383" s="82">
        <f t="shared" si="50"/>
        <v>256.29000000000002</v>
      </c>
      <c r="AG383" s="82">
        <f t="shared" si="50"/>
        <v>634.30999999999995</v>
      </c>
      <c r="AH383" s="114"/>
      <c r="AI383" s="114"/>
      <c r="AJ383" s="83">
        <f t="shared" si="51"/>
        <v>1166.5653</v>
      </c>
      <c r="AK383" s="82"/>
      <c r="AL383" s="84"/>
      <c r="AM383" s="66"/>
    </row>
    <row r="384" spans="3:39" ht="60" x14ac:dyDescent="0.3">
      <c r="C384" s="41" t="s">
        <v>678</v>
      </c>
      <c r="D384" s="41" t="s">
        <v>124</v>
      </c>
      <c r="E384" s="42" t="s">
        <v>88</v>
      </c>
      <c r="G384" s="66"/>
      <c r="H384" s="74">
        <v>567</v>
      </c>
      <c r="I384" s="74">
        <v>567</v>
      </c>
      <c r="J384" s="74">
        <v>567</v>
      </c>
      <c r="K384" s="74">
        <v>518</v>
      </c>
      <c r="L384" s="74">
        <v>612</v>
      </c>
      <c r="M384" s="74">
        <v>216</v>
      </c>
      <c r="N384" s="76" cm="1">
        <f t="array" ref="N384">SUM((H384:L384)/5)</f>
        <v>566.20000000000005</v>
      </c>
      <c r="O384" s="74">
        <v>570</v>
      </c>
      <c r="P384" s="66"/>
      <c r="Q384" s="77">
        <v>49.325000000000003</v>
      </c>
      <c r="R384" s="77">
        <v>72.016000000000005</v>
      </c>
      <c r="S384" s="77">
        <v>0.441</v>
      </c>
      <c r="T384" s="77">
        <v>0.441</v>
      </c>
      <c r="U384" s="77">
        <f t="shared" si="46"/>
        <v>228</v>
      </c>
      <c r="V384" s="77">
        <f t="shared" si="47"/>
        <v>342</v>
      </c>
      <c r="W384" s="66"/>
      <c r="X384" s="77" t="s">
        <v>320</v>
      </c>
      <c r="Y384" s="77" t="s">
        <v>344</v>
      </c>
      <c r="Z384" s="79">
        <f>SUM(27.0952+24.97365)/2</f>
        <v>26.034424999999999</v>
      </c>
      <c r="AA384" s="80">
        <f t="shared" si="45"/>
        <v>42.956801249999998</v>
      </c>
      <c r="AB384" s="66"/>
      <c r="AC384" s="81">
        <v>365</v>
      </c>
      <c r="AD384" s="82">
        <f t="shared" si="48"/>
        <v>131.7893</v>
      </c>
      <c r="AE384" s="82">
        <f t="shared" si="49"/>
        <v>144.17600000000002</v>
      </c>
      <c r="AF384" s="82">
        <f t="shared" si="50"/>
        <v>59.36</v>
      </c>
      <c r="AG384" s="82">
        <f t="shared" si="50"/>
        <v>146.91</v>
      </c>
      <c r="AH384" s="114"/>
      <c r="AI384" s="114"/>
      <c r="AJ384" s="83">
        <f t="shared" si="51"/>
        <v>482.23530000000005</v>
      </c>
      <c r="AK384" s="82"/>
      <c r="AL384" s="84"/>
      <c r="AM384" s="66"/>
    </row>
    <row r="385" spans="3:39" ht="60" x14ac:dyDescent="0.3">
      <c r="C385" s="41" t="s">
        <v>677</v>
      </c>
      <c r="D385" s="41" t="s">
        <v>124</v>
      </c>
      <c r="E385" s="42" t="s">
        <v>88</v>
      </c>
      <c r="G385" s="66"/>
      <c r="H385" s="74">
        <v>940</v>
      </c>
      <c r="I385" s="74">
        <v>1209</v>
      </c>
      <c r="J385" s="74">
        <v>1289</v>
      </c>
      <c r="K385" s="74">
        <v>2232</v>
      </c>
      <c r="L385" s="74">
        <v>1957</v>
      </c>
      <c r="M385" s="74">
        <v>1366</v>
      </c>
      <c r="N385" s="76" cm="1">
        <f t="array" ref="N385">SUM((H385:L385)/5)</f>
        <v>1525.4</v>
      </c>
      <c r="O385" s="74">
        <v>1600</v>
      </c>
      <c r="P385" s="66"/>
      <c r="Q385" s="77">
        <v>49.325000000000003</v>
      </c>
      <c r="R385" s="77">
        <v>72.016000000000005</v>
      </c>
      <c r="S385" s="77">
        <v>0.441</v>
      </c>
      <c r="T385" s="77">
        <v>0.441</v>
      </c>
      <c r="U385" s="77">
        <f t="shared" si="46"/>
        <v>640</v>
      </c>
      <c r="V385" s="77">
        <f t="shared" si="47"/>
        <v>960</v>
      </c>
      <c r="W385" s="66"/>
      <c r="X385" s="77" t="s">
        <v>320</v>
      </c>
      <c r="Y385" s="77" t="s">
        <v>345</v>
      </c>
      <c r="Z385" s="79">
        <f>SUM(27.21269+25.08925)/2</f>
        <v>26.150970000000001</v>
      </c>
      <c r="AA385" s="80">
        <f t="shared" si="45"/>
        <v>43.149100500000003</v>
      </c>
      <c r="AB385" s="66"/>
      <c r="AC385" s="81">
        <v>365</v>
      </c>
      <c r="AD385" s="82">
        <f t="shared" si="48"/>
        <v>131.7893</v>
      </c>
      <c r="AE385" s="82">
        <f t="shared" si="49"/>
        <v>144.17600000000002</v>
      </c>
      <c r="AF385" s="82">
        <f t="shared" si="50"/>
        <v>167.37</v>
      </c>
      <c r="AG385" s="82">
        <f t="shared" si="50"/>
        <v>414.23</v>
      </c>
      <c r="AH385" s="114"/>
      <c r="AI385" s="114"/>
      <c r="AJ385" s="83">
        <f t="shared" si="51"/>
        <v>857.56529999999998</v>
      </c>
      <c r="AK385" s="82"/>
      <c r="AL385" s="84"/>
      <c r="AM385" s="66"/>
    </row>
    <row r="386" spans="3:39" ht="15.6" x14ac:dyDescent="0.3">
      <c r="C386" s="41" t="s">
        <v>679</v>
      </c>
      <c r="D386" s="41" t="s">
        <v>124</v>
      </c>
      <c r="E386" s="42" t="s">
        <v>88</v>
      </c>
      <c r="G386" s="66"/>
      <c r="H386" s="74">
        <v>750</v>
      </c>
      <c r="I386" s="74">
        <v>845</v>
      </c>
      <c r="J386" s="74">
        <v>787</v>
      </c>
      <c r="K386" s="74">
        <v>746</v>
      </c>
      <c r="L386" s="74">
        <v>605</v>
      </c>
      <c r="M386" s="74">
        <v>331</v>
      </c>
      <c r="N386" s="76" cm="1">
        <f t="array" ref="N386">SUM((H386:L386)/5)</f>
        <v>746.59999999999991</v>
      </c>
      <c r="O386" s="74">
        <v>740</v>
      </c>
      <c r="P386" s="66"/>
      <c r="Q386" s="77">
        <v>49.308</v>
      </c>
      <c r="R386" s="77">
        <v>72.016000000000005</v>
      </c>
      <c r="S386" s="77">
        <v>0.441</v>
      </c>
      <c r="T386" s="77">
        <v>0.441</v>
      </c>
      <c r="U386" s="77">
        <f t="shared" si="46"/>
        <v>296</v>
      </c>
      <c r="V386" s="77">
        <f t="shared" si="47"/>
        <v>444</v>
      </c>
      <c r="W386" s="66"/>
      <c r="X386" s="77">
        <v>15.868</v>
      </c>
      <c r="Y386" s="77">
        <v>27.082979999999999</v>
      </c>
      <c r="Z386" s="79">
        <v>27.082979999999999</v>
      </c>
      <c r="AA386" s="80">
        <f t="shared" si="45"/>
        <v>44.686916999999994</v>
      </c>
      <c r="AB386" s="66"/>
      <c r="AC386" s="81">
        <v>365</v>
      </c>
      <c r="AD386" s="82">
        <f t="shared" si="48"/>
        <v>131.7893</v>
      </c>
      <c r="AE386" s="82">
        <f t="shared" si="49"/>
        <v>144.17600000000002</v>
      </c>
      <c r="AF386" s="82">
        <f t="shared" si="50"/>
        <v>80.17</v>
      </c>
      <c r="AG386" s="82">
        <f t="shared" si="50"/>
        <v>198.41</v>
      </c>
      <c r="AH386" s="114"/>
      <c r="AI386" s="114"/>
      <c r="AJ386" s="83">
        <f t="shared" si="51"/>
        <v>554.5453</v>
      </c>
      <c r="AK386" s="82"/>
      <c r="AL386" s="84"/>
      <c r="AM386" s="66"/>
    </row>
    <row r="387" spans="3:39" ht="15.6" x14ac:dyDescent="0.3">
      <c r="C387" s="41" t="s">
        <v>680</v>
      </c>
      <c r="D387" s="41" t="s">
        <v>124</v>
      </c>
      <c r="E387" s="42" t="s">
        <v>88</v>
      </c>
      <c r="G387" s="66"/>
      <c r="H387" s="74">
        <v>717</v>
      </c>
      <c r="I387" s="74">
        <v>702</v>
      </c>
      <c r="J387" s="74">
        <v>684</v>
      </c>
      <c r="K387" s="74">
        <v>645</v>
      </c>
      <c r="L387" s="74">
        <v>746</v>
      </c>
      <c r="M387" s="74">
        <v>312</v>
      </c>
      <c r="N387" s="76" cm="1">
        <f t="array" ref="N387">SUM((H387:L387)/5)</f>
        <v>698.8</v>
      </c>
      <c r="O387" s="74">
        <v>700</v>
      </c>
      <c r="P387" s="66"/>
      <c r="Q387" s="77">
        <v>49.308</v>
      </c>
      <c r="R387" s="77">
        <v>72.016000000000005</v>
      </c>
      <c r="S387" s="77">
        <v>0.441</v>
      </c>
      <c r="T387" s="77">
        <v>0.441</v>
      </c>
      <c r="U387" s="77">
        <f t="shared" si="46"/>
        <v>280</v>
      </c>
      <c r="V387" s="77">
        <f t="shared" si="47"/>
        <v>420</v>
      </c>
      <c r="W387" s="66"/>
      <c r="X387" s="77">
        <v>15.868</v>
      </c>
      <c r="Y387" s="77">
        <v>27.082139999999999</v>
      </c>
      <c r="Z387" s="79">
        <v>27.082139999999999</v>
      </c>
      <c r="AA387" s="80">
        <f t="shared" si="45"/>
        <v>44.685530999999997</v>
      </c>
      <c r="AB387" s="66"/>
      <c r="AC387" s="81">
        <v>365</v>
      </c>
      <c r="AD387" s="82">
        <f t="shared" si="48"/>
        <v>131.7893</v>
      </c>
      <c r="AE387" s="82">
        <f t="shared" si="49"/>
        <v>144.17600000000002</v>
      </c>
      <c r="AF387" s="82">
        <f t="shared" si="50"/>
        <v>75.83</v>
      </c>
      <c r="AG387" s="82">
        <f t="shared" si="50"/>
        <v>187.68</v>
      </c>
      <c r="AH387" s="114"/>
      <c r="AI387" s="114"/>
      <c r="AJ387" s="83">
        <f t="shared" si="51"/>
        <v>539.47530000000006</v>
      </c>
      <c r="AK387" s="82"/>
      <c r="AL387" s="84"/>
      <c r="AM387" s="66"/>
    </row>
    <row r="388" spans="3:39" ht="15.6" x14ac:dyDescent="0.3">
      <c r="C388" s="41" t="s">
        <v>681</v>
      </c>
      <c r="D388" s="41" t="s">
        <v>124</v>
      </c>
      <c r="E388" s="42" t="s">
        <v>88</v>
      </c>
      <c r="G388" s="66"/>
      <c r="H388" s="74">
        <v>1637</v>
      </c>
      <c r="I388" s="74">
        <v>836</v>
      </c>
      <c r="J388" s="74">
        <v>1211</v>
      </c>
      <c r="K388" s="74">
        <v>1417</v>
      </c>
      <c r="L388" s="74">
        <v>2251</v>
      </c>
      <c r="M388" s="74">
        <v>479</v>
      </c>
      <c r="N388" s="76" cm="1">
        <f t="array" ref="N388">SUM((H388:L388)/5)</f>
        <v>1470.3999999999999</v>
      </c>
      <c r="O388" s="74">
        <v>1750</v>
      </c>
      <c r="P388" s="66"/>
      <c r="Q388" s="77">
        <v>49.308</v>
      </c>
      <c r="R388" s="77">
        <v>72.016000000000005</v>
      </c>
      <c r="S388" s="77">
        <v>0.441</v>
      </c>
      <c r="T388" s="77">
        <v>0.441</v>
      </c>
      <c r="U388" s="77">
        <f t="shared" si="46"/>
        <v>700</v>
      </c>
      <c r="V388" s="77">
        <f t="shared" si="47"/>
        <v>1050</v>
      </c>
      <c r="W388" s="66"/>
      <c r="X388" s="77">
        <v>15.868</v>
      </c>
      <c r="Y388" s="77">
        <v>27.082740000000001</v>
      </c>
      <c r="Z388" s="79">
        <v>27.082740000000001</v>
      </c>
      <c r="AA388" s="80">
        <f t="shared" ref="AA388:AA451" si="52">SUM(Z388+Z388*$AA$4)</f>
        <v>44.686520999999999</v>
      </c>
      <c r="AB388" s="66"/>
      <c r="AC388" s="81">
        <v>365</v>
      </c>
      <c r="AD388" s="82">
        <f t="shared" si="48"/>
        <v>131.7893</v>
      </c>
      <c r="AE388" s="82">
        <f t="shared" si="49"/>
        <v>144.17600000000002</v>
      </c>
      <c r="AF388" s="82">
        <f t="shared" si="50"/>
        <v>189.58</v>
      </c>
      <c r="AG388" s="82">
        <f t="shared" si="50"/>
        <v>469.21</v>
      </c>
      <c r="AH388" s="114"/>
      <c r="AI388" s="114"/>
      <c r="AJ388" s="83">
        <f t="shared" si="51"/>
        <v>934.75530000000003</v>
      </c>
      <c r="AK388" s="82"/>
      <c r="AL388" s="84"/>
      <c r="AM388" s="66"/>
    </row>
    <row r="389" spans="3:39" ht="15.6" x14ac:dyDescent="0.3">
      <c r="C389" s="41" t="s">
        <v>681</v>
      </c>
      <c r="D389" s="41" t="s">
        <v>124</v>
      </c>
      <c r="E389" s="42" t="s">
        <v>88</v>
      </c>
      <c r="G389" s="66"/>
      <c r="H389" s="74">
        <v>0</v>
      </c>
      <c r="I389" s="74">
        <v>0</v>
      </c>
      <c r="J389" s="74">
        <v>0</v>
      </c>
      <c r="K389" s="74">
        <v>0</v>
      </c>
      <c r="L389" s="74">
        <v>0</v>
      </c>
      <c r="M389" s="74">
        <v>0</v>
      </c>
      <c r="N389" s="76" cm="1">
        <f t="array" ref="N389">SUM((H389:L389)/5)</f>
        <v>0</v>
      </c>
      <c r="O389" s="74">
        <v>0</v>
      </c>
      <c r="P389" s="66"/>
      <c r="Q389" s="77">
        <v>49.308</v>
      </c>
      <c r="R389" s="77">
        <v>72.016000000000005</v>
      </c>
      <c r="S389" s="77">
        <v>0.441</v>
      </c>
      <c r="T389" s="77">
        <v>0.441</v>
      </c>
      <c r="U389" s="77">
        <f t="shared" si="46"/>
        <v>0</v>
      </c>
      <c r="V389" s="77">
        <f t="shared" si="47"/>
        <v>0</v>
      </c>
      <c r="W389" s="66"/>
      <c r="X389" s="77">
        <v>14.641999999999999</v>
      </c>
      <c r="Y389" s="77">
        <v>24.701049999999999</v>
      </c>
      <c r="Z389" s="79">
        <v>24.701049999999999</v>
      </c>
      <c r="AA389" s="80">
        <f t="shared" si="52"/>
        <v>40.756732499999998</v>
      </c>
      <c r="AB389" s="66"/>
      <c r="AC389" s="81">
        <v>365</v>
      </c>
      <c r="AD389" s="82">
        <f t="shared" si="48"/>
        <v>131.7893</v>
      </c>
      <c r="AE389" s="82">
        <f t="shared" si="49"/>
        <v>144.17600000000002</v>
      </c>
      <c r="AF389" s="82">
        <f t="shared" si="50"/>
        <v>0</v>
      </c>
      <c r="AG389" s="82">
        <f t="shared" si="50"/>
        <v>0</v>
      </c>
      <c r="AH389" s="114"/>
      <c r="AI389" s="114"/>
      <c r="AJ389" s="83">
        <f t="shared" si="51"/>
        <v>275.96530000000001</v>
      </c>
      <c r="AK389" s="82"/>
      <c r="AL389" s="84"/>
      <c r="AM389" s="66"/>
    </row>
    <row r="390" spans="3:39" ht="15.6" x14ac:dyDescent="0.3">
      <c r="C390" s="41" t="s">
        <v>681</v>
      </c>
      <c r="D390" s="41" t="s">
        <v>124</v>
      </c>
      <c r="E390" s="42" t="s">
        <v>88</v>
      </c>
      <c r="G390" s="66"/>
      <c r="H390" s="74">
        <v>1924</v>
      </c>
      <c r="I390" s="74">
        <v>1218</v>
      </c>
      <c r="J390" s="74">
        <v>1449</v>
      </c>
      <c r="K390" s="74">
        <v>1347</v>
      </c>
      <c r="L390" s="74">
        <v>2027</v>
      </c>
      <c r="M390" s="74">
        <v>5</v>
      </c>
      <c r="N390" s="76" cm="1">
        <f t="array" ref="N390">SUM((H390:L390)/5)</f>
        <v>1593</v>
      </c>
      <c r="O390" s="74">
        <v>1590</v>
      </c>
      <c r="P390" s="66"/>
      <c r="Q390" s="77">
        <v>49.308</v>
      </c>
      <c r="R390" s="77">
        <v>72.016000000000005</v>
      </c>
      <c r="S390" s="77">
        <v>0.441</v>
      </c>
      <c r="T390" s="77">
        <v>0.441</v>
      </c>
      <c r="U390" s="77">
        <f t="shared" si="46"/>
        <v>636</v>
      </c>
      <c r="V390" s="77">
        <f t="shared" si="47"/>
        <v>954</v>
      </c>
      <c r="W390" s="66"/>
      <c r="X390" s="77">
        <v>15.868</v>
      </c>
      <c r="Y390" s="77">
        <v>27.082619999999999</v>
      </c>
      <c r="Z390" s="79">
        <v>27.082619999999999</v>
      </c>
      <c r="AA390" s="80">
        <f t="shared" si="52"/>
        <v>44.686323000000002</v>
      </c>
      <c r="AB390" s="66"/>
      <c r="AC390" s="81">
        <v>365</v>
      </c>
      <c r="AD390" s="82">
        <f t="shared" si="48"/>
        <v>131.7893</v>
      </c>
      <c r="AE390" s="82">
        <f t="shared" si="49"/>
        <v>144.17600000000002</v>
      </c>
      <c r="AF390" s="82">
        <f t="shared" si="50"/>
        <v>172.25</v>
      </c>
      <c r="AG390" s="82">
        <f t="shared" si="50"/>
        <v>426.31</v>
      </c>
      <c r="AH390" s="114"/>
      <c r="AI390" s="114"/>
      <c r="AJ390" s="83">
        <f t="shared" si="51"/>
        <v>874.52530000000002</v>
      </c>
      <c r="AK390" s="82"/>
      <c r="AL390" s="84"/>
      <c r="AM390" s="66"/>
    </row>
    <row r="391" spans="3:39" ht="15.6" x14ac:dyDescent="0.3">
      <c r="C391" s="41" t="s">
        <v>681</v>
      </c>
      <c r="D391" s="41" t="s">
        <v>124</v>
      </c>
      <c r="E391" s="42" t="s">
        <v>88</v>
      </c>
      <c r="G391" s="66"/>
      <c r="H391" s="74">
        <v>1551</v>
      </c>
      <c r="I391" s="74">
        <v>1151</v>
      </c>
      <c r="J391" s="74">
        <v>948</v>
      </c>
      <c r="K391" s="74">
        <v>894</v>
      </c>
      <c r="L391" s="74">
        <v>475</v>
      </c>
      <c r="M391" s="74">
        <v>4</v>
      </c>
      <c r="N391" s="76" cm="1">
        <f t="array" ref="N391">SUM((H391:L391)/5)</f>
        <v>1003.8</v>
      </c>
      <c r="O391" s="74">
        <v>1000</v>
      </c>
      <c r="P391" s="66"/>
      <c r="Q391" s="77">
        <v>49.308</v>
      </c>
      <c r="R391" s="77">
        <v>72.016000000000005</v>
      </c>
      <c r="S391" s="77">
        <v>0.441</v>
      </c>
      <c r="T391" s="77">
        <v>0.441</v>
      </c>
      <c r="U391" s="77">
        <f t="shared" si="46"/>
        <v>400</v>
      </c>
      <c r="V391" s="77">
        <f t="shared" si="47"/>
        <v>600</v>
      </c>
      <c r="W391" s="66"/>
      <c r="X391" s="77">
        <v>15.868</v>
      </c>
      <c r="Y391" s="77">
        <v>27.08314</v>
      </c>
      <c r="Z391" s="79">
        <v>27.08314</v>
      </c>
      <c r="AA391" s="80">
        <f t="shared" si="52"/>
        <v>44.687181000000002</v>
      </c>
      <c r="AB391" s="66"/>
      <c r="AC391" s="81">
        <v>365</v>
      </c>
      <c r="AD391" s="82">
        <f t="shared" si="48"/>
        <v>131.7893</v>
      </c>
      <c r="AE391" s="82">
        <f t="shared" si="49"/>
        <v>144.17600000000002</v>
      </c>
      <c r="AF391" s="82">
        <f t="shared" si="50"/>
        <v>108.33</v>
      </c>
      <c r="AG391" s="82">
        <f t="shared" si="50"/>
        <v>268.12</v>
      </c>
      <c r="AH391" s="114"/>
      <c r="AI391" s="114"/>
      <c r="AJ391" s="83">
        <f t="shared" si="51"/>
        <v>652.4153</v>
      </c>
      <c r="AK391" s="82"/>
      <c r="AL391" s="84"/>
      <c r="AM391" s="66"/>
    </row>
    <row r="392" spans="3:39" ht="15.6" x14ac:dyDescent="0.3">
      <c r="C392" s="41" t="s">
        <v>682</v>
      </c>
      <c r="D392" s="41" t="s">
        <v>124</v>
      </c>
      <c r="E392" s="42" t="s">
        <v>88</v>
      </c>
      <c r="G392" s="66"/>
      <c r="H392" s="74">
        <v>0</v>
      </c>
      <c r="I392" s="74">
        <v>0</v>
      </c>
      <c r="J392" s="74">
        <v>0</v>
      </c>
      <c r="K392" s="74">
        <v>0</v>
      </c>
      <c r="L392" s="74">
        <v>0</v>
      </c>
      <c r="M392" s="74">
        <v>0</v>
      </c>
      <c r="N392" s="76" cm="1">
        <f t="array" ref="N392">SUM((H392:L392)/5)</f>
        <v>0</v>
      </c>
      <c r="O392" s="74">
        <v>0</v>
      </c>
      <c r="P392" s="66"/>
      <c r="Q392" s="77">
        <v>49.308</v>
      </c>
      <c r="R392" s="77">
        <v>72.016000000000005</v>
      </c>
      <c r="S392" s="77">
        <v>0.441</v>
      </c>
      <c r="T392" s="77">
        <v>0.441</v>
      </c>
      <c r="U392" s="77">
        <f t="shared" si="46"/>
        <v>0</v>
      </c>
      <c r="V392" s="77">
        <f t="shared" si="47"/>
        <v>0</v>
      </c>
      <c r="W392" s="66"/>
      <c r="X392" s="77">
        <v>14.641999999999999</v>
      </c>
      <c r="Y392" s="77">
        <v>24.701049999999999</v>
      </c>
      <c r="Z392" s="79">
        <v>24.701049999999999</v>
      </c>
      <c r="AA392" s="80">
        <f t="shared" si="52"/>
        <v>40.756732499999998</v>
      </c>
      <c r="AB392" s="66"/>
      <c r="AC392" s="81">
        <v>365</v>
      </c>
      <c r="AD392" s="82">
        <f t="shared" si="48"/>
        <v>131.7893</v>
      </c>
      <c r="AE392" s="82">
        <f t="shared" si="49"/>
        <v>144.17600000000002</v>
      </c>
      <c r="AF392" s="82">
        <f t="shared" si="50"/>
        <v>0</v>
      </c>
      <c r="AG392" s="82">
        <f t="shared" si="50"/>
        <v>0</v>
      </c>
      <c r="AH392" s="114"/>
      <c r="AI392" s="114"/>
      <c r="AJ392" s="83">
        <f t="shared" si="51"/>
        <v>275.96530000000001</v>
      </c>
      <c r="AK392" s="82"/>
      <c r="AL392" s="84"/>
      <c r="AM392" s="66"/>
    </row>
    <row r="393" spans="3:39" ht="15.6" x14ac:dyDescent="0.3">
      <c r="C393" s="41" t="s">
        <v>682</v>
      </c>
      <c r="D393" s="41" t="s">
        <v>124</v>
      </c>
      <c r="E393" s="42" t="s">
        <v>88</v>
      </c>
      <c r="G393" s="66"/>
      <c r="H393" s="74">
        <v>298</v>
      </c>
      <c r="I393" s="74">
        <v>253</v>
      </c>
      <c r="J393" s="74">
        <v>159</v>
      </c>
      <c r="K393" s="74">
        <v>105</v>
      </c>
      <c r="L393" s="74">
        <v>49</v>
      </c>
      <c r="M393" s="74">
        <v>21</v>
      </c>
      <c r="N393" s="76" cm="1">
        <f t="array" ref="N393">SUM((H393:L393)/5)</f>
        <v>172.8</v>
      </c>
      <c r="O393" s="74">
        <v>170</v>
      </c>
      <c r="P393" s="66"/>
      <c r="Q393" s="77">
        <v>49.308</v>
      </c>
      <c r="R393" s="77">
        <v>72.016000000000005</v>
      </c>
      <c r="S393" s="77">
        <v>0.441</v>
      </c>
      <c r="T393" s="77">
        <v>0.441</v>
      </c>
      <c r="U393" s="77">
        <f t="shared" si="46"/>
        <v>68</v>
      </c>
      <c r="V393" s="77">
        <f t="shared" si="47"/>
        <v>102</v>
      </c>
      <c r="W393" s="66"/>
      <c r="X393" s="77">
        <v>15.868</v>
      </c>
      <c r="Y393" s="77">
        <v>27.080279999999998</v>
      </c>
      <c r="Z393" s="79">
        <v>27.080279999999998</v>
      </c>
      <c r="AA393" s="80">
        <f t="shared" si="52"/>
        <v>44.682462000000001</v>
      </c>
      <c r="AB393" s="66"/>
      <c r="AC393" s="81">
        <v>365</v>
      </c>
      <c r="AD393" s="82">
        <f t="shared" si="48"/>
        <v>131.7893</v>
      </c>
      <c r="AE393" s="82">
        <f t="shared" si="49"/>
        <v>144.17600000000002</v>
      </c>
      <c r="AF393" s="82">
        <f t="shared" si="50"/>
        <v>18.41</v>
      </c>
      <c r="AG393" s="82">
        <f t="shared" si="50"/>
        <v>45.58</v>
      </c>
      <c r="AH393" s="114"/>
      <c r="AI393" s="114"/>
      <c r="AJ393" s="83">
        <f t="shared" si="51"/>
        <v>339.95530000000002</v>
      </c>
      <c r="AK393" s="82"/>
      <c r="AL393" s="84"/>
      <c r="AM393" s="66"/>
    </row>
    <row r="394" spans="3:39" ht="15.6" x14ac:dyDescent="0.3">
      <c r="C394" s="41" t="s">
        <v>683</v>
      </c>
      <c r="D394" s="41" t="s">
        <v>124</v>
      </c>
      <c r="E394" s="42" t="s">
        <v>88</v>
      </c>
      <c r="G394" s="66"/>
      <c r="H394" s="74">
        <v>721</v>
      </c>
      <c r="I394" s="74">
        <v>360</v>
      </c>
      <c r="J394" s="74">
        <v>273</v>
      </c>
      <c r="K394" s="74">
        <v>297</v>
      </c>
      <c r="L394" s="74">
        <v>599</v>
      </c>
      <c r="M394" s="74">
        <v>317</v>
      </c>
      <c r="N394" s="76" cm="1">
        <f t="array" ref="N394">SUM((H394:L394)/5)</f>
        <v>450</v>
      </c>
      <c r="O394" s="74">
        <v>450</v>
      </c>
      <c r="P394" s="66"/>
      <c r="Q394" s="77">
        <v>49.828000000000003</v>
      </c>
      <c r="R394" s="77">
        <v>63.256999999999998</v>
      </c>
      <c r="S394" s="77">
        <v>0.441</v>
      </c>
      <c r="T394" s="77">
        <v>0.441</v>
      </c>
      <c r="U394" s="77">
        <f t="shared" si="46"/>
        <v>180</v>
      </c>
      <c r="V394" s="77">
        <f t="shared" si="47"/>
        <v>270</v>
      </c>
      <c r="W394" s="66"/>
      <c r="X394" s="77">
        <v>15.061999999999999</v>
      </c>
      <c r="Y394" s="77">
        <v>26.506399999999999</v>
      </c>
      <c r="Z394" s="79">
        <v>26.506399999999999</v>
      </c>
      <c r="AA394" s="80">
        <f t="shared" si="52"/>
        <v>43.73556</v>
      </c>
      <c r="AB394" s="66"/>
      <c r="AC394" s="81">
        <v>365</v>
      </c>
      <c r="AD394" s="82">
        <f t="shared" si="48"/>
        <v>115.7603</v>
      </c>
      <c r="AE394" s="82">
        <f t="shared" si="49"/>
        <v>126.64049999999999</v>
      </c>
      <c r="AF394" s="82">
        <f t="shared" si="50"/>
        <v>47.71</v>
      </c>
      <c r="AG394" s="82">
        <f t="shared" si="50"/>
        <v>118.09</v>
      </c>
      <c r="AH394" s="114"/>
      <c r="AI394" s="114"/>
      <c r="AJ394" s="83">
        <f t="shared" si="51"/>
        <v>408.20079999999996</v>
      </c>
      <c r="AK394" s="82"/>
      <c r="AL394" s="84"/>
      <c r="AM394" s="66"/>
    </row>
    <row r="395" spans="3:39" ht="15.6" x14ac:dyDescent="0.3">
      <c r="C395" s="41" t="s">
        <v>683</v>
      </c>
      <c r="D395" s="41" t="s">
        <v>124</v>
      </c>
      <c r="E395" s="42" t="s">
        <v>88</v>
      </c>
      <c r="G395" s="66"/>
      <c r="H395" s="74">
        <v>119</v>
      </c>
      <c r="I395" s="74">
        <v>99</v>
      </c>
      <c r="J395" s="74">
        <v>189</v>
      </c>
      <c r="K395" s="74">
        <v>187</v>
      </c>
      <c r="L395" s="74">
        <v>195</v>
      </c>
      <c r="M395" s="74">
        <v>11</v>
      </c>
      <c r="N395" s="76" cm="1">
        <f t="array" ref="N395">SUM((H395:L395)/5)</f>
        <v>157.80000000000001</v>
      </c>
      <c r="O395" s="74">
        <v>160</v>
      </c>
      <c r="P395" s="66"/>
      <c r="Q395" s="77">
        <v>49.308</v>
      </c>
      <c r="R395" s="77">
        <v>72.016000000000005</v>
      </c>
      <c r="S395" s="77">
        <v>0.441</v>
      </c>
      <c r="T395" s="77">
        <v>0.441</v>
      </c>
      <c r="U395" s="77">
        <f t="shared" si="46"/>
        <v>64</v>
      </c>
      <c r="V395" s="77">
        <f t="shared" si="47"/>
        <v>96</v>
      </c>
      <c r="W395" s="66"/>
      <c r="X395" s="77">
        <v>15.868</v>
      </c>
      <c r="Y395" s="77">
        <v>27.08428</v>
      </c>
      <c r="Z395" s="79">
        <v>27.08428</v>
      </c>
      <c r="AA395" s="80">
        <f t="shared" si="52"/>
        <v>44.689062</v>
      </c>
      <c r="AB395" s="66"/>
      <c r="AC395" s="81">
        <v>365</v>
      </c>
      <c r="AD395" s="82">
        <f t="shared" si="48"/>
        <v>131.7893</v>
      </c>
      <c r="AE395" s="82">
        <f t="shared" si="49"/>
        <v>144.17600000000002</v>
      </c>
      <c r="AF395" s="82">
        <f t="shared" si="50"/>
        <v>17.329999999999998</v>
      </c>
      <c r="AG395" s="82">
        <f t="shared" si="50"/>
        <v>42.9</v>
      </c>
      <c r="AH395" s="114"/>
      <c r="AI395" s="114"/>
      <c r="AJ395" s="83">
        <f t="shared" si="51"/>
        <v>336.19529999999997</v>
      </c>
      <c r="AK395" s="82"/>
      <c r="AL395" s="84"/>
      <c r="AM395" s="66"/>
    </row>
    <row r="396" spans="3:39" ht="15.6" x14ac:dyDescent="0.3">
      <c r="C396" s="41" t="s">
        <v>683</v>
      </c>
      <c r="D396" s="41" t="s">
        <v>124</v>
      </c>
      <c r="E396" s="42" t="s">
        <v>88</v>
      </c>
      <c r="G396" s="66"/>
      <c r="H396" s="74">
        <v>461</v>
      </c>
      <c r="I396" s="74">
        <v>302</v>
      </c>
      <c r="J396" s="74">
        <v>281</v>
      </c>
      <c r="K396" s="74">
        <v>297</v>
      </c>
      <c r="L396" s="74">
        <v>271</v>
      </c>
      <c r="M396" s="74">
        <v>16</v>
      </c>
      <c r="N396" s="76" cm="1">
        <f t="array" ref="N396">SUM((H396:L396)/5)</f>
        <v>322.39999999999998</v>
      </c>
      <c r="O396" s="74">
        <v>320</v>
      </c>
      <c r="P396" s="66"/>
      <c r="Q396" s="77">
        <v>49.308</v>
      </c>
      <c r="R396" s="77">
        <v>72.016000000000005</v>
      </c>
      <c r="S396" s="77">
        <v>0.441</v>
      </c>
      <c r="T396" s="77">
        <v>0.441</v>
      </c>
      <c r="U396" s="77">
        <f t="shared" si="46"/>
        <v>128</v>
      </c>
      <c r="V396" s="77">
        <f t="shared" si="47"/>
        <v>192</v>
      </c>
      <c r="W396" s="66"/>
      <c r="X396" s="77">
        <v>15.868</v>
      </c>
      <c r="Y396" s="77">
        <v>27.083939999999998</v>
      </c>
      <c r="Z396" s="79">
        <v>27.083939999999998</v>
      </c>
      <c r="AA396" s="80">
        <f t="shared" si="52"/>
        <v>44.688501000000002</v>
      </c>
      <c r="AB396" s="66"/>
      <c r="AC396" s="81">
        <v>365</v>
      </c>
      <c r="AD396" s="82">
        <f t="shared" si="48"/>
        <v>131.7893</v>
      </c>
      <c r="AE396" s="82">
        <f t="shared" si="49"/>
        <v>144.17600000000002</v>
      </c>
      <c r="AF396" s="82">
        <f t="shared" si="50"/>
        <v>34.67</v>
      </c>
      <c r="AG396" s="82">
        <f t="shared" si="50"/>
        <v>85.8</v>
      </c>
      <c r="AH396" s="114"/>
      <c r="AI396" s="114"/>
      <c r="AJ396" s="83">
        <f t="shared" si="51"/>
        <v>396.43530000000004</v>
      </c>
      <c r="AK396" s="82"/>
      <c r="AL396" s="84"/>
      <c r="AM396" s="66"/>
    </row>
    <row r="397" spans="3:39" ht="15.6" x14ac:dyDescent="0.3">
      <c r="C397" s="41" t="s">
        <v>683</v>
      </c>
      <c r="D397" s="41" t="s">
        <v>124</v>
      </c>
      <c r="E397" s="42" t="s">
        <v>88</v>
      </c>
      <c r="G397" s="66"/>
      <c r="H397" s="74">
        <v>342</v>
      </c>
      <c r="I397" s="74">
        <v>575</v>
      </c>
      <c r="J397" s="74">
        <v>360</v>
      </c>
      <c r="K397" s="74">
        <v>322</v>
      </c>
      <c r="L397" s="74">
        <v>362</v>
      </c>
      <c r="M397" s="74">
        <v>329</v>
      </c>
      <c r="N397" s="76" cm="1">
        <f t="array" ref="N397">SUM((H397:L397)/5)</f>
        <v>392.20000000000005</v>
      </c>
      <c r="O397" s="74">
        <v>390</v>
      </c>
      <c r="P397" s="66"/>
      <c r="Q397" s="77">
        <v>49.308</v>
      </c>
      <c r="R397" s="77">
        <v>72.016000000000005</v>
      </c>
      <c r="S397" s="77">
        <v>0.441</v>
      </c>
      <c r="T397" s="77">
        <v>0.441</v>
      </c>
      <c r="U397" s="77">
        <f t="shared" si="46"/>
        <v>156</v>
      </c>
      <c r="V397" s="77">
        <f t="shared" si="47"/>
        <v>234</v>
      </c>
      <c r="W397" s="66"/>
      <c r="X397" s="77">
        <v>15.868</v>
      </c>
      <c r="Y397" s="77">
        <v>27.081939999999999</v>
      </c>
      <c r="Z397" s="79">
        <v>27.081939999999999</v>
      </c>
      <c r="AA397" s="80">
        <f t="shared" si="52"/>
        <v>44.685200999999999</v>
      </c>
      <c r="AB397" s="66"/>
      <c r="AC397" s="81">
        <v>365</v>
      </c>
      <c r="AD397" s="82">
        <f t="shared" si="48"/>
        <v>131.7893</v>
      </c>
      <c r="AE397" s="82">
        <f t="shared" si="49"/>
        <v>144.17600000000002</v>
      </c>
      <c r="AF397" s="82">
        <f t="shared" si="50"/>
        <v>42.25</v>
      </c>
      <c r="AG397" s="82">
        <f t="shared" si="50"/>
        <v>104.56</v>
      </c>
      <c r="AH397" s="114"/>
      <c r="AI397" s="114"/>
      <c r="AJ397" s="83">
        <f t="shared" si="51"/>
        <v>422.77530000000002</v>
      </c>
      <c r="AK397" s="82"/>
      <c r="AL397" s="84"/>
      <c r="AM397" s="66"/>
    </row>
    <row r="398" spans="3:39" ht="15.6" x14ac:dyDescent="0.3">
      <c r="C398" s="41" t="s">
        <v>683</v>
      </c>
      <c r="D398" s="41" t="s">
        <v>124</v>
      </c>
      <c r="E398" s="42" t="s">
        <v>88</v>
      </c>
      <c r="G398" s="66"/>
      <c r="H398" s="74">
        <v>213</v>
      </c>
      <c r="I398" s="74">
        <v>303</v>
      </c>
      <c r="J398" s="74">
        <v>181</v>
      </c>
      <c r="K398" s="74">
        <v>195</v>
      </c>
      <c r="L398" s="74">
        <v>245</v>
      </c>
      <c r="M398" s="74">
        <v>104</v>
      </c>
      <c r="N398" s="76" cm="1">
        <f t="array" ref="N398">SUM((H398:L398)/5)</f>
        <v>227.4</v>
      </c>
      <c r="O398" s="74">
        <v>220</v>
      </c>
      <c r="P398" s="66"/>
      <c r="Q398" s="77">
        <v>49.308</v>
      </c>
      <c r="R398" s="77">
        <v>72.016000000000005</v>
      </c>
      <c r="S398" s="77">
        <v>0.441</v>
      </c>
      <c r="T398" s="77">
        <v>0.441</v>
      </c>
      <c r="U398" s="77">
        <f t="shared" si="46"/>
        <v>88</v>
      </c>
      <c r="V398" s="77">
        <f t="shared" si="47"/>
        <v>132</v>
      </c>
      <c r="W398" s="66"/>
      <c r="X398" s="77">
        <v>15.868</v>
      </c>
      <c r="Y398" s="77">
        <v>27.083500000000001</v>
      </c>
      <c r="Z398" s="79">
        <v>27.083500000000001</v>
      </c>
      <c r="AA398" s="80">
        <f t="shared" si="52"/>
        <v>44.687775000000002</v>
      </c>
      <c r="AB398" s="66"/>
      <c r="AC398" s="81">
        <v>365</v>
      </c>
      <c r="AD398" s="82">
        <f t="shared" si="48"/>
        <v>131.7893</v>
      </c>
      <c r="AE398" s="82">
        <f t="shared" si="49"/>
        <v>144.17600000000002</v>
      </c>
      <c r="AF398" s="82">
        <f t="shared" si="50"/>
        <v>23.83</v>
      </c>
      <c r="AG398" s="82">
        <f t="shared" si="50"/>
        <v>58.99</v>
      </c>
      <c r="AH398" s="114"/>
      <c r="AI398" s="114"/>
      <c r="AJ398" s="83">
        <f t="shared" si="51"/>
        <v>358.78530000000001</v>
      </c>
      <c r="AK398" s="82"/>
      <c r="AL398" s="84"/>
      <c r="AM398" s="66"/>
    </row>
    <row r="399" spans="3:39" ht="30" x14ac:dyDescent="0.3">
      <c r="C399" s="41" t="s">
        <v>346</v>
      </c>
      <c r="D399" s="41" t="s">
        <v>124</v>
      </c>
      <c r="E399" s="42" t="s">
        <v>88</v>
      </c>
      <c r="G399" s="66"/>
      <c r="H399" s="74">
        <v>519</v>
      </c>
      <c r="I399" s="74">
        <v>532</v>
      </c>
      <c r="J399" s="74">
        <v>734</v>
      </c>
      <c r="K399" s="74">
        <v>735</v>
      </c>
      <c r="L399" s="74">
        <v>869</v>
      </c>
      <c r="M399" s="74">
        <v>305</v>
      </c>
      <c r="N399" s="76" cm="1">
        <f t="array" ref="N399">SUM((H399:L399)/5)</f>
        <v>677.8</v>
      </c>
      <c r="O399" s="74">
        <v>680</v>
      </c>
      <c r="P399" s="66"/>
      <c r="Q399" s="77">
        <v>50.334000000000003</v>
      </c>
      <c r="R399" s="77">
        <v>63.256999999999998</v>
      </c>
      <c r="S399" s="77">
        <v>0.441</v>
      </c>
      <c r="T399" s="77">
        <v>0.441</v>
      </c>
      <c r="U399" s="77">
        <f t="shared" si="46"/>
        <v>272</v>
      </c>
      <c r="V399" s="77">
        <f t="shared" si="47"/>
        <v>408</v>
      </c>
      <c r="W399" s="66"/>
      <c r="X399" s="77" t="s">
        <v>347</v>
      </c>
      <c r="Y399" s="77" t="s">
        <v>348</v>
      </c>
      <c r="Z399" s="79">
        <f>SUM(26.72457+25.09277)/2</f>
        <v>25.908670000000001</v>
      </c>
      <c r="AA399" s="80">
        <f t="shared" si="52"/>
        <v>42.749305500000006</v>
      </c>
      <c r="AB399" s="66"/>
      <c r="AC399" s="81">
        <v>365</v>
      </c>
      <c r="AD399" s="82">
        <f t="shared" si="48"/>
        <v>115.7603</v>
      </c>
      <c r="AE399" s="82">
        <f t="shared" si="49"/>
        <v>126.64049999999999</v>
      </c>
      <c r="AF399" s="82">
        <f t="shared" si="50"/>
        <v>70.47</v>
      </c>
      <c r="AG399" s="82">
        <f t="shared" si="50"/>
        <v>174.42</v>
      </c>
      <c r="AH399" s="114"/>
      <c r="AI399" s="114"/>
      <c r="AJ399" s="83">
        <f t="shared" si="51"/>
        <v>487.29079999999999</v>
      </c>
      <c r="AK399" s="82"/>
      <c r="AL399" s="84"/>
      <c r="AM399" s="66"/>
    </row>
    <row r="400" spans="3:39" ht="45" x14ac:dyDescent="0.3">
      <c r="C400" s="41" t="s">
        <v>346</v>
      </c>
      <c r="D400" s="41" t="s">
        <v>124</v>
      </c>
      <c r="E400" s="42" t="s">
        <v>88</v>
      </c>
      <c r="G400" s="66"/>
      <c r="H400" s="74">
        <v>771</v>
      </c>
      <c r="I400" s="74">
        <v>858</v>
      </c>
      <c r="J400" s="74">
        <v>1165</v>
      </c>
      <c r="K400" s="74">
        <v>1216</v>
      </c>
      <c r="L400" s="74">
        <v>1277</v>
      </c>
      <c r="M400" s="74">
        <v>592</v>
      </c>
      <c r="N400" s="76" cm="1">
        <f t="array" ref="N400">SUM((H400:L400)/5)</f>
        <v>1057.4000000000001</v>
      </c>
      <c r="O400" s="74">
        <v>1200</v>
      </c>
      <c r="P400" s="66"/>
      <c r="Q400" s="77">
        <v>50.334000000000003</v>
      </c>
      <c r="R400" s="77">
        <v>63.256999999999998</v>
      </c>
      <c r="S400" s="77">
        <v>0.441</v>
      </c>
      <c r="T400" s="77">
        <v>0.441</v>
      </c>
      <c r="U400" s="77">
        <f t="shared" si="46"/>
        <v>480</v>
      </c>
      <c r="V400" s="77">
        <f t="shared" si="47"/>
        <v>720</v>
      </c>
      <c r="W400" s="66"/>
      <c r="X400" s="77" t="s">
        <v>349</v>
      </c>
      <c r="Y400" s="77" t="s">
        <v>350</v>
      </c>
      <c r="Z400" s="79">
        <f>SUM(27.42746+24.99841+25.31696)/3</f>
        <v>25.914276666666666</v>
      </c>
      <c r="AA400" s="80">
        <f t="shared" si="52"/>
        <v>42.758556499999997</v>
      </c>
      <c r="AB400" s="66"/>
      <c r="AC400" s="81">
        <v>365</v>
      </c>
      <c r="AD400" s="82">
        <f t="shared" si="48"/>
        <v>115.7603</v>
      </c>
      <c r="AE400" s="82">
        <f t="shared" si="49"/>
        <v>126.64049999999999</v>
      </c>
      <c r="AF400" s="82">
        <f t="shared" si="50"/>
        <v>124.39</v>
      </c>
      <c r="AG400" s="82">
        <f t="shared" si="50"/>
        <v>307.86</v>
      </c>
      <c r="AH400" s="114"/>
      <c r="AI400" s="114"/>
      <c r="AJ400" s="83">
        <f t="shared" si="51"/>
        <v>674.6508</v>
      </c>
      <c r="AK400" s="82"/>
      <c r="AL400" s="84"/>
      <c r="AM400" s="66"/>
    </row>
    <row r="401" spans="3:39" ht="15.6" x14ac:dyDescent="0.3">
      <c r="C401" s="41" t="s">
        <v>351</v>
      </c>
      <c r="D401" s="41" t="s">
        <v>124</v>
      </c>
      <c r="E401" s="42" t="s">
        <v>88</v>
      </c>
      <c r="G401" s="66"/>
      <c r="H401" s="74">
        <v>105</v>
      </c>
      <c r="I401" s="74">
        <v>103</v>
      </c>
      <c r="J401" s="74">
        <v>108</v>
      </c>
      <c r="K401" s="74">
        <v>104</v>
      </c>
      <c r="L401" s="74">
        <v>103</v>
      </c>
      <c r="M401" s="74">
        <v>399</v>
      </c>
      <c r="N401" s="76" cm="1">
        <f t="array" ref="N401">SUM((H401:L401)/5)</f>
        <v>104.6</v>
      </c>
      <c r="O401" s="74">
        <v>105</v>
      </c>
      <c r="P401" s="66"/>
      <c r="Q401" s="77">
        <v>49.308</v>
      </c>
      <c r="R401" s="77">
        <v>72.016000000000005</v>
      </c>
      <c r="S401" s="77">
        <v>0.441</v>
      </c>
      <c r="T401" s="77">
        <v>0.441</v>
      </c>
      <c r="U401" s="77">
        <f t="shared" si="46"/>
        <v>42</v>
      </c>
      <c r="V401" s="77">
        <f t="shared" si="47"/>
        <v>63</v>
      </c>
      <c r="W401" s="66"/>
      <c r="X401" s="77">
        <v>15.868</v>
      </c>
      <c r="Y401" s="77">
        <v>27.082409999999999</v>
      </c>
      <c r="Z401" s="79">
        <v>27.082409999999999</v>
      </c>
      <c r="AA401" s="80">
        <f t="shared" si="52"/>
        <v>44.685976499999995</v>
      </c>
      <c r="AB401" s="66"/>
      <c r="AC401" s="81">
        <v>365</v>
      </c>
      <c r="AD401" s="82">
        <f t="shared" si="48"/>
        <v>131.7893</v>
      </c>
      <c r="AE401" s="82">
        <f t="shared" si="49"/>
        <v>144.17600000000002</v>
      </c>
      <c r="AF401" s="82">
        <f t="shared" si="50"/>
        <v>11.37</v>
      </c>
      <c r="AG401" s="82">
        <f t="shared" si="50"/>
        <v>28.15</v>
      </c>
      <c r="AH401" s="114"/>
      <c r="AI401" s="114"/>
      <c r="AJ401" s="83">
        <f t="shared" si="51"/>
        <v>315.4853</v>
      </c>
      <c r="AK401" s="82"/>
      <c r="AL401" s="84"/>
      <c r="AM401" s="66"/>
    </row>
    <row r="402" spans="3:39" ht="15.6" x14ac:dyDescent="0.3">
      <c r="C402" s="41" t="s">
        <v>684</v>
      </c>
      <c r="D402" s="41" t="s">
        <v>124</v>
      </c>
      <c r="E402" s="42" t="s">
        <v>88</v>
      </c>
      <c r="G402" s="66"/>
      <c r="H402" s="74">
        <v>426</v>
      </c>
      <c r="I402" s="74">
        <v>442</v>
      </c>
      <c r="J402" s="74">
        <v>448</v>
      </c>
      <c r="K402" s="74">
        <v>456</v>
      </c>
      <c r="L402" s="74">
        <v>365</v>
      </c>
      <c r="M402" s="74">
        <v>95</v>
      </c>
      <c r="N402" s="76" cm="1">
        <f t="array" ref="N402">SUM((H402:L402)/5)</f>
        <v>427.40000000000003</v>
      </c>
      <c r="O402" s="74">
        <v>430</v>
      </c>
      <c r="P402" s="66"/>
      <c r="Q402" s="77">
        <v>49.828000000000003</v>
      </c>
      <c r="R402" s="77">
        <v>63.256999999999998</v>
      </c>
      <c r="S402" s="77">
        <v>0.441</v>
      </c>
      <c r="T402" s="77">
        <v>0.441</v>
      </c>
      <c r="U402" s="77">
        <f t="shared" si="46"/>
        <v>172</v>
      </c>
      <c r="V402" s="77">
        <f t="shared" si="47"/>
        <v>258</v>
      </c>
      <c r="W402" s="66"/>
      <c r="X402" s="77">
        <v>15.061999999999999</v>
      </c>
      <c r="Y402" s="77">
        <v>26.505050000000001</v>
      </c>
      <c r="Z402" s="79">
        <v>26.505050000000001</v>
      </c>
      <c r="AA402" s="80">
        <f t="shared" si="52"/>
        <v>43.733332500000003</v>
      </c>
      <c r="AB402" s="66"/>
      <c r="AC402" s="81">
        <v>365</v>
      </c>
      <c r="AD402" s="82">
        <f t="shared" si="48"/>
        <v>115.7603</v>
      </c>
      <c r="AE402" s="82">
        <f t="shared" si="49"/>
        <v>126.64049999999999</v>
      </c>
      <c r="AF402" s="82">
        <f t="shared" si="50"/>
        <v>45.59</v>
      </c>
      <c r="AG402" s="82">
        <f t="shared" si="50"/>
        <v>112.83</v>
      </c>
      <c r="AH402" s="114"/>
      <c r="AI402" s="114"/>
      <c r="AJ402" s="83">
        <f t="shared" si="51"/>
        <v>400.82080000000002</v>
      </c>
      <c r="AK402" s="82"/>
      <c r="AL402" s="84"/>
      <c r="AM402" s="66"/>
    </row>
    <row r="403" spans="3:39" ht="15.6" x14ac:dyDescent="0.3">
      <c r="C403" s="41" t="s">
        <v>685</v>
      </c>
      <c r="D403" s="41" t="s">
        <v>124</v>
      </c>
      <c r="E403" s="42" t="s">
        <v>88</v>
      </c>
      <c r="G403" s="66"/>
      <c r="H403" s="74">
        <v>401</v>
      </c>
      <c r="I403" s="74">
        <v>351</v>
      </c>
      <c r="J403" s="74">
        <v>201</v>
      </c>
      <c r="K403" s="74">
        <v>733</v>
      </c>
      <c r="L403" s="74">
        <v>505</v>
      </c>
      <c r="M403" s="74">
        <v>20333</v>
      </c>
      <c r="N403" s="76" cm="1">
        <f t="array" ref="N403">SUM((H403:L403)/5)</f>
        <v>438.20000000000005</v>
      </c>
      <c r="O403" s="74">
        <v>800</v>
      </c>
      <c r="P403" s="66"/>
      <c r="Q403" s="77">
        <v>49.828000000000003</v>
      </c>
      <c r="R403" s="77">
        <v>63.256999999999998</v>
      </c>
      <c r="S403" s="77">
        <v>0.441</v>
      </c>
      <c r="T403" s="77">
        <v>0.441</v>
      </c>
      <c r="U403" s="77">
        <f t="shared" si="46"/>
        <v>320</v>
      </c>
      <c r="V403" s="77">
        <f t="shared" si="47"/>
        <v>480</v>
      </c>
      <c r="W403" s="66"/>
      <c r="X403" s="77">
        <v>15.061999999999999</v>
      </c>
      <c r="Y403" s="77">
        <v>26.50648</v>
      </c>
      <c r="Z403" s="79">
        <v>26.50648</v>
      </c>
      <c r="AA403" s="80">
        <f t="shared" si="52"/>
        <v>43.735692</v>
      </c>
      <c r="AB403" s="66"/>
      <c r="AC403" s="81">
        <v>365</v>
      </c>
      <c r="AD403" s="82">
        <f t="shared" si="48"/>
        <v>115.7603</v>
      </c>
      <c r="AE403" s="82">
        <f t="shared" si="49"/>
        <v>126.64049999999999</v>
      </c>
      <c r="AF403" s="82">
        <f t="shared" si="50"/>
        <v>84.82</v>
      </c>
      <c r="AG403" s="82">
        <f t="shared" si="50"/>
        <v>209.93</v>
      </c>
      <c r="AH403" s="114"/>
      <c r="AI403" s="114"/>
      <c r="AJ403" s="83">
        <f t="shared" si="51"/>
        <v>537.1508</v>
      </c>
      <c r="AK403" s="82"/>
      <c r="AL403" s="84"/>
      <c r="AM403" s="66"/>
    </row>
    <row r="404" spans="3:39" ht="15.6" x14ac:dyDescent="0.3">
      <c r="C404" s="41" t="s">
        <v>686</v>
      </c>
      <c r="D404" s="41" t="s">
        <v>124</v>
      </c>
      <c r="E404" s="42" t="s">
        <v>88</v>
      </c>
      <c r="G404" s="66"/>
      <c r="H404" s="74">
        <v>523</v>
      </c>
      <c r="I404" s="74">
        <v>746</v>
      </c>
      <c r="J404" s="74">
        <v>1024</v>
      </c>
      <c r="K404" s="74">
        <v>897</v>
      </c>
      <c r="L404" s="74">
        <v>844</v>
      </c>
      <c r="M404" s="74">
        <v>373</v>
      </c>
      <c r="N404" s="76" cm="1">
        <f t="array" ref="N404">SUM((H404:L404)/5)</f>
        <v>806.8</v>
      </c>
      <c r="O404" s="74">
        <v>850</v>
      </c>
      <c r="P404" s="66"/>
      <c r="Q404" s="77">
        <v>49.828000000000003</v>
      </c>
      <c r="R404" s="77">
        <v>63.256999999999998</v>
      </c>
      <c r="S404" s="77">
        <v>0.441</v>
      </c>
      <c r="T404" s="77">
        <v>0.441</v>
      </c>
      <c r="U404" s="77">
        <f t="shared" si="46"/>
        <v>340</v>
      </c>
      <c r="V404" s="77">
        <f t="shared" si="47"/>
        <v>510</v>
      </c>
      <c r="W404" s="66"/>
      <c r="X404" s="77">
        <v>15.061999999999999</v>
      </c>
      <c r="Y404" s="77">
        <v>26.506080000000001</v>
      </c>
      <c r="Z404" s="79">
        <v>26.506080000000001</v>
      </c>
      <c r="AA404" s="80">
        <f t="shared" si="52"/>
        <v>43.735032000000004</v>
      </c>
      <c r="AB404" s="66"/>
      <c r="AC404" s="81">
        <v>365</v>
      </c>
      <c r="AD404" s="82">
        <f t="shared" si="48"/>
        <v>115.7603</v>
      </c>
      <c r="AE404" s="82">
        <f t="shared" si="49"/>
        <v>126.64049999999999</v>
      </c>
      <c r="AF404" s="82">
        <f t="shared" si="50"/>
        <v>90.12</v>
      </c>
      <c r="AG404" s="82">
        <f t="shared" si="50"/>
        <v>223.05</v>
      </c>
      <c r="AH404" s="114"/>
      <c r="AI404" s="114"/>
      <c r="AJ404" s="83">
        <f t="shared" si="51"/>
        <v>555.57079999999996</v>
      </c>
      <c r="AK404" s="82"/>
      <c r="AL404" s="84"/>
      <c r="AM404" s="66"/>
    </row>
    <row r="405" spans="3:39" ht="15.6" x14ac:dyDescent="0.3">
      <c r="C405" s="41" t="s">
        <v>686</v>
      </c>
      <c r="D405" s="41" t="s">
        <v>124</v>
      </c>
      <c r="E405" s="42" t="s">
        <v>88</v>
      </c>
      <c r="G405" s="66"/>
      <c r="H405" s="74">
        <v>1091</v>
      </c>
      <c r="I405" s="74">
        <v>1246</v>
      </c>
      <c r="J405" s="74">
        <v>1202</v>
      </c>
      <c r="K405" s="74">
        <v>1147</v>
      </c>
      <c r="L405" s="74">
        <v>951</v>
      </c>
      <c r="M405" s="74">
        <v>525</v>
      </c>
      <c r="N405" s="76" cm="1">
        <f t="array" ref="N405">SUM((H405:L405)/5)</f>
        <v>1127.3999999999999</v>
      </c>
      <c r="O405" s="74">
        <v>1120</v>
      </c>
      <c r="P405" s="66"/>
      <c r="Q405" s="77">
        <v>49.828000000000003</v>
      </c>
      <c r="R405" s="77">
        <v>63.256999999999998</v>
      </c>
      <c r="S405" s="77">
        <v>0.441</v>
      </c>
      <c r="T405" s="77">
        <v>0.441</v>
      </c>
      <c r="U405" s="77">
        <f t="shared" si="46"/>
        <v>448</v>
      </c>
      <c r="V405" s="77">
        <f t="shared" si="47"/>
        <v>672</v>
      </c>
      <c r="W405" s="66"/>
      <c r="X405" s="77">
        <v>15.061999999999999</v>
      </c>
      <c r="Y405" s="77">
        <v>26.50656</v>
      </c>
      <c r="Z405" s="79">
        <v>26.50656</v>
      </c>
      <c r="AA405" s="80">
        <f t="shared" si="52"/>
        <v>43.735824000000001</v>
      </c>
      <c r="AB405" s="66"/>
      <c r="AC405" s="81">
        <v>365</v>
      </c>
      <c r="AD405" s="82">
        <f t="shared" si="48"/>
        <v>115.7603</v>
      </c>
      <c r="AE405" s="82">
        <f t="shared" si="49"/>
        <v>126.64049999999999</v>
      </c>
      <c r="AF405" s="82">
        <f t="shared" si="50"/>
        <v>118.75</v>
      </c>
      <c r="AG405" s="82">
        <f t="shared" si="50"/>
        <v>293.89999999999998</v>
      </c>
      <c r="AH405" s="114"/>
      <c r="AI405" s="114"/>
      <c r="AJ405" s="83">
        <f t="shared" si="51"/>
        <v>655.05079999999998</v>
      </c>
      <c r="AK405" s="82"/>
      <c r="AL405" s="84"/>
      <c r="AM405" s="66"/>
    </row>
    <row r="406" spans="3:39" ht="15.6" x14ac:dyDescent="0.3">
      <c r="C406" s="41" t="s">
        <v>687</v>
      </c>
      <c r="D406" s="41" t="s">
        <v>124</v>
      </c>
      <c r="E406" s="42" t="s">
        <v>88</v>
      </c>
      <c r="G406" s="66"/>
      <c r="H406" s="74">
        <v>686</v>
      </c>
      <c r="I406" s="74">
        <v>517</v>
      </c>
      <c r="J406" s="74">
        <v>373</v>
      </c>
      <c r="K406" s="74">
        <v>334</v>
      </c>
      <c r="L406" s="74">
        <v>305</v>
      </c>
      <c r="M406" s="74">
        <v>19</v>
      </c>
      <c r="N406" s="76" cm="1">
        <f t="array" ref="N406">SUM((H406:L406)/5)</f>
        <v>443</v>
      </c>
      <c r="O406" s="74">
        <v>440</v>
      </c>
      <c r="P406" s="66"/>
      <c r="Q406" s="77">
        <v>49.828000000000003</v>
      </c>
      <c r="R406" s="77">
        <v>63.256999999999998</v>
      </c>
      <c r="S406" s="77">
        <v>0.441</v>
      </c>
      <c r="T406" s="77">
        <v>0.441</v>
      </c>
      <c r="U406" s="77">
        <f t="shared" si="46"/>
        <v>176</v>
      </c>
      <c r="V406" s="77">
        <f t="shared" si="47"/>
        <v>264</v>
      </c>
      <c r="W406" s="66"/>
      <c r="X406" s="77">
        <v>15.061999999999999</v>
      </c>
      <c r="Y406" s="77">
        <v>26.505050000000001</v>
      </c>
      <c r="Z406" s="79">
        <v>26.505050000000001</v>
      </c>
      <c r="AA406" s="80">
        <f t="shared" si="52"/>
        <v>43.733332500000003</v>
      </c>
      <c r="AB406" s="66"/>
      <c r="AC406" s="81">
        <v>365</v>
      </c>
      <c r="AD406" s="82">
        <f t="shared" si="48"/>
        <v>115.7603</v>
      </c>
      <c r="AE406" s="82">
        <f t="shared" si="49"/>
        <v>126.64049999999999</v>
      </c>
      <c r="AF406" s="82">
        <f t="shared" si="50"/>
        <v>46.65</v>
      </c>
      <c r="AG406" s="82">
        <f t="shared" si="50"/>
        <v>115.46</v>
      </c>
      <c r="AH406" s="114"/>
      <c r="AI406" s="114"/>
      <c r="AJ406" s="83">
        <f t="shared" si="51"/>
        <v>404.51079999999996</v>
      </c>
      <c r="AK406" s="82"/>
      <c r="AL406" s="84"/>
      <c r="AM406" s="66"/>
    </row>
    <row r="407" spans="3:39" ht="15.6" x14ac:dyDescent="0.3">
      <c r="C407" s="41" t="s">
        <v>352</v>
      </c>
      <c r="D407" s="41" t="s">
        <v>124</v>
      </c>
      <c r="E407" s="42" t="s">
        <v>88</v>
      </c>
      <c r="G407" s="66"/>
      <c r="H407" s="74">
        <v>695</v>
      </c>
      <c r="I407" s="74">
        <v>542</v>
      </c>
      <c r="J407" s="74">
        <v>883</v>
      </c>
      <c r="K407" s="74">
        <v>1241</v>
      </c>
      <c r="L407" s="74">
        <v>1228</v>
      </c>
      <c r="M407" s="74">
        <v>1072</v>
      </c>
      <c r="N407" s="76" cm="1">
        <f t="array" ref="N407">SUM((H407:L407)/5)</f>
        <v>917.80000000000007</v>
      </c>
      <c r="O407" s="74">
        <v>1200</v>
      </c>
      <c r="P407" s="66"/>
      <c r="Q407" s="77">
        <v>49.308</v>
      </c>
      <c r="R407" s="77">
        <v>72.016000000000005</v>
      </c>
      <c r="S407" s="77">
        <v>0.441</v>
      </c>
      <c r="T407" s="77">
        <v>0.441</v>
      </c>
      <c r="U407" s="77">
        <f t="shared" si="46"/>
        <v>480</v>
      </c>
      <c r="V407" s="77">
        <f t="shared" si="47"/>
        <v>720</v>
      </c>
      <c r="W407" s="66"/>
      <c r="X407" s="77">
        <v>15.868</v>
      </c>
      <c r="Y407" s="77">
        <v>27.083020000000001</v>
      </c>
      <c r="Z407" s="79">
        <v>27.083020000000001</v>
      </c>
      <c r="AA407" s="80">
        <f t="shared" si="52"/>
        <v>44.686982999999998</v>
      </c>
      <c r="AB407" s="66"/>
      <c r="AC407" s="81">
        <v>365</v>
      </c>
      <c r="AD407" s="82">
        <f t="shared" si="48"/>
        <v>131.7893</v>
      </c>
      <c r="AE407" s="82">
        <f t="shared" si="49"/>
        <v>144.17600000000002</v>
      </c>
      <c r="AF407" s="82">
        <f t="shared" si="50"/>
        <v>130</v>
      </c>
      <c r="AG407" s="82">
        <f t="shared" si="50"/>
        <v>321.75</v>
      </c>
      <c r="AH407" s="114"/>
      <c r="AI407" s="114"/>
      <c r="AJ407" s="83">
        <f t="shared" si="51"/>
        <v>727.71530000000007</v>
      </c>
      <c r="AK407" s="82"/>
      <c r="AL407" s="84"/>
      <c r="AM407" s="66"/>
    </row>
    <row r="408" spans="3:39" ht="15.6" x14ac:dyDescent="0.3">
      <c r="C408" s="41" t="s">
        <v>688</v>
      </c>
      <c r="D408" s="41" t="s">
        <v>124</v>
      </c>
      <c r="E408" s="42" t="s">
        <v>88</v>
      </c>
      <c r="G408" s="66"/>
      <c r="H408" s="74">
        <v>0</v>
      </c>
      <c r="I408" s="74">
        <v>0</v>
      </c>
      <c r="J408" s="74">
        <v>2</v>
      </c>
      <c r="K408" s="74">
        <v>3</v>
      </c>
      <c r="L408" s="74">
        <v>9</v>
      </c>
      <c r="M408" s="74">
        <v>2</v>
      </c>
      <c r="N408" s="76" cm="1">
        <f t="array" ref="N408">SUM((H408:L408)/5)</f>
        <v>2.8</v>
      </c>
      <c r="O408" s="74">
        <v>10</v>
      </c>
      <c r="P408" s="66"/>
      <c r="Q408" s="77">
        <v>49.828000000000003</v>
      </c>
      <c r="R408" s="77">
        <v>63.256999999999998</v>
      </c>
      <c r="S408" s="77">
        <v>0.441</v>
      </c>
      <c r="T408" s="77">
        <v>0.441</v>
      </c>
      <c r="U408" s="77">
        <f t="shared" si="46"/>
        <v>4</v>
      </c>
      <c r="V408" s="77">
        <f t="shared" si="47"/>
        <v>6</v>
      </c>
      <c r="W408" s="66"/>
      <c r="X408" s="77">
        <v>15.061999999999999</v>
      </c>
      <c r="Y408" s="77">
        <v>26.56296</v>
      </c>
      <c r="Z408" s="79">
        <v>26.56296</v>
      </c>
      <c r="AA408" s="80">
        <f t="shared" si="52"/>
        <v>43.828884000000002</v>
      </c>
      <c r="AB408" s="66"/>
      <c r="AC408" s="81">
        <v>365</v>
      </c>
      <c r="AD408" s="82">
        <f t="shared" si="48"/>
        <v>115.7603</v>
      </c>
      <c r="AE408" s="82">
        <f t="shared" si="49"/>
        <v>126.64049999999999</v>
      </c>
      <c r="AF408" s="82">
        <f t="shared" si="50"/>
        <v>1.06</v>
      </c>
      <c r="AG408" s="82">
        <f t="shared" si="50"/>
        <v>2.63</v>
      </c>
      <c r="AH408" s="114"/>
      <c r="AI408" s="114"/>
      <c r="AJ408" s="83">
        <f t="shared" si="51"/>
        <v>246.0908</v>
      </c>
      <c r="AK408" s="82"/>
      <c r="AL408" s="84"/>
      <c r="AM408" s="66"/>
    </row>
    <row r="409" spans="3:39" ht="45" x14ac:dyDescent="0.3">
      <c r="C409" s="41" t="s">
        <v>689</v>
      </c>
      <c r="D409" s="41" t="s">
        <v>124</v>
      </c>
      <c r="E409" s="42" t="s">
        <v>88</v>
      </c>
      <c r="G409" s="66"/>
      <c r="H409" s="74">
        <v>2370</v>
      </c>
      <c r="I409" s="74">
        <v>2016</v>
      </c>
      <c r="J409" s="74">
        <v>1955</v>
      </c>
      <c r="K409" s="74">
        <v>1859</v>
      </c>
      <c r="L409" s="74">
        <v>1122</v>
      </c>
      <c r="M409" s="74">
        <v>517</v>
      </c>
      <c r="N409" s="76" cm="1">
        <f t="array" ref="N409">SUM((H409:L409)/5)</f>
        <v>1864.4</v>
      </c>
      <c r="O409" s="74">
        <v>1850</v>
      </c>
      <c r="P409" s="66"/>
      <c r="Q409" s="77">
        <v>50.334000000000003</v>
      </c>
      <c r="R409" s="77">
        <v>63.256999999999998</v>
      </c>
      <c r="S409" s="77">
        <v>0.441</v>
      </c>
      <c r="T409" s="77">
        <v>0.441</v>
      </c>
      <c r="U409" s="77">
        <f t="shared" si="46"/>
        <v>740</v>
      </c>
      <c r="V409" s="77">
        <f t="shared" si="47"/>
        <v>1110</v>
      </c>
      <c r="W409" s="66"/>
      <c r="X409" s="77" t="s">
        <v>349</v>
      </c>
      <c r="Y409" s="77" t="s">
        <v>353</v>
      </c>
      <c r="Z409" s="79">
        <f>SUM(27.32488+24.89528+25.21438)/3</f>
        <v>25.811513333333334</v>
      </c>
      <c r="AA409" s="80">
        <f t="shared" si="52"/>
        <v>42.588997000000006</v>
      </c>
      <c r="AB409" s="66"/>
      <c r="AC409" s="81">
        <v>365</v>
      </c>
      <c r="AD409" s="82">
        <f t="shared" si="48"/>
        <v>115.7603</v>
      </c>
      <c r="AE409" s="82">
        <f t="shared" si="49"/>
        <v>126.64049999999999</v>
      </c>
      <c r="AF409" s="82">
        <f t="shared" si="50"/>
        <v>191.01</v>
      </c>
      <c r="AG409" s="82">
        <f t="shared" si="50"/>
        <v>472.74</v>
      </c>
      <c r="AH409" s="114"/>
      <c r="AI409" s="114"/>
      <c r="AJ409" s="83">
        <f t="shared" si="51"/>
        <v>906.1508</v>
      </c>
      <c r="AK409" s="82"/>
      <c r="AL409" s="84"/>
      <c r="AM409" s="66"/>
    </row>
    <row r="410" spans="3:39" ht="15.6" x14ac:dyDescent="0.3">
      <c r="C410" s="41" t="s">
        <v>690</v>
      </c>
      <c r="D410" s="41" t="s">
        <v>124</v>
      </c>
      <c r="E410" s="42" t="s">
        <v>88</v>
      </c>
      <c r="G410" s="66"/>
      <c r="H410" s="74">
        <v>341</v>
      </c>
      <c r="I410" s="74">
        <v>324</v>
      </c>
      <c r="J410" s="74">
        <v>286</v>
      </c>
      <c r="K410" s="74">
        <v>417</v>
      </c>
      <c r="L410" s="74">
        <v>513</v>
      </c>
      <c r="M410" s="74">
        <v>192</v>
      </c>
      <c r="N410" s="76" cm="1">
        <f t="array" ref="N410">SUM((H410:L410)/5)</f>
        <v>376.20000000000005</v>
      </c>
      <c r="O410" s="74">
        <v>370</v>
      </c>
      <c r="P410" s="66"/>
      <c r="Q410" s="77">
        <v>49.308</v>
      </c>
      <c r="R410" s="77">
        <v>72.016000000000005</v>
      </c>
      <c r="S410" s="77">
        <v>0.441</v>
      </c>
      <c r="T410" s="77">
        <v>0.441</v>
      </c>
      <c r="U410" s="77">
        <f t="shared" si="46"/>
        <v>148</v>
      </c>
      <c r="V410" s="77">
        <f t="shared" si="47"/>
        <v>222</v>
      </c>
      <c r="W410" s="66"/>
      <c r="X410" s="77">
        <v>15.868</v>
      </c>
      <c r="Y410" s="77">
        <v>27.08343</v>
      </c>
      <c r="Z410" s="79">
        <v>27.08343</v>
      </c>
      <c r="AA410" s="80">
        <f t="shared" si="52"/>
        <v>44.687659499999995</v>
      </c>
      <c r="AB410" s="66"/>
      <c r="AC410" s="81">
        <v>365</v>
      </c>
      <c r="AD410" s="82">
        <f t="shared" si="48"/>
        <v>131.7893</v>
      </c>
      <c r="AE410" s="82">
        <f t="shared" si="49"/>
        <v>144.17600000000002</v>
      </c>
      <c r="AF410" s="82">
        <f t="shared" si="50"/>
        <v>40.08</v>
      </c>
      <c r="AG410" s="82">
        <f t="shared" si="50"/>
        <v>99.21</v>
      </c>
      <c r="AH410" s="114"/>
      <c r="AI410" s="114"/>
      <c r="AJ410" s="83">
        <f t="shared" si="51"/>
        <v>415.25529999999998</v>
      </c>
      <c r="AK410" s="82"/>
      <c r="AL410" s="84"/>
      <c r="AM410" s="66"/>
    </row>
    <row r="411" spans="3:39" ht="15.6" x14ac:dyDescent="0.3">
      <c r="C411" s="41" t="s">
        <v>690</v>
      </c>
      <c r="D411" s="41" t="s">
        <v>124</v>
      </c>
      <c r="E411" s="42" t="s">
        <v>88</v>
      </c>
      <c r="G411" s="66"/>
      <c r="H411" s="74">
        <v>163</v>
      </c>
      <c r="I411" s="74">
        <v>226</v>
      </c>
      <c r="J411" s="74">
        <v>138</v>
      </c>
      <c r="K411" s="74">
        <v>149</v>
      </c>
      <c r="L411" s="74">
        <v>164</v>
      </c>
      <c r="M411" s="74">
        <v>112</v>
      </c>
      <c r="N411" s="76" cm="1">
        <f t="array" ref="N411">SUM((H411:L411)/5)</f>
        <v>168</v>
      </c>
      <c r="O411" s="74">
        <v>160</v>
      </c>
      <c r="P411" s="66"/>
      <c r="Q411" s="77">
        <v>49.308</v>
      </c>
      <c r="R411" s="77">
        <v>72.016000000000005</v>
      </c>
      <c r="S411" s="77">
        <v>0.441</v>
      </c>
      <c r="T411" s="77">
        <v>0.441</v>
      </c>
      <c r="U411" s="77">
        <f t="shared" si="46"/>
        <v>64</v>
      </c>
      <c r="V411" s="77">
        <f t="shared" si="47"/>
        <v>96</v>
      </c>
      <c r="W411" s="66"/>
      <c r="X411" s="77">
        <v>15.868</v>
      </c>
      <c r="Y411" s="77">
        <v>27.08333</v>
      </c>
      <c r="Z411" s="79">
        <v>27.08333</v>
      </c>
      <c r="AA411" s="80">
        <f t="shared" si="52"/>
        <v>44.6874945</v>
      </c>
      <c r="AB411" s="66"/>
      <c r="AC411" s="81">
        <v>365</v>
      </c>
      <c r="AD411" s="82">
        <f t="shared" si="48"/>
        <v>131.7893</v>
      </c>
      <c r="AE411" s="82">
        <f t="shared" si="49"/>
        <v>144.17600000000002</v>
      </c>
      <c r="AF411" s="82">
        <f t="shared" si="50"/>
        <v>17.329999999999998</v>
      </c>
      <c r="AG411" s="82">
        <f t="shared" si="50"/>
        <v>42.9</v>
      </c>
      <c r="AH411" s="114"/>
      <c r="AI411" s="114"/>
      <c r="AJ411" s="83">
        <f t="shared" si="51"/>
        <v>336.19529999999997</v>
      </c>
      <c r="AK411" s="82"/>
      <c r="AL411" s="84"/>
      <c r="AM411" s="66"/>
    </row>
    <row r="412" spans="3:39" ht="45" x14ac:dyDescent="0.3">
      <c r="C412" s="41" t="s">
        <v>690</v>
      </c>
      <c r="D412" s="41" t="s">
        <v>124</v>
      </c>
      <c r="E412" s="42" t="s">
        <v>88</v>
      </c>
      <c r="G412" s="66"/>
      <c r="H412" s="74">
        <v>538</v>
      </c>
      <c r="I412" s="74">
        <v>532</v>
      </c>
      <c r="J412" s="74">
        <v>493</v>
      </c>
      <c r="K412" s="74">
        <v>500</v>
      </c>
      <c r="L412" s="74">
        <v>437</v>
      </c>
      <c r="M412" s="74">
        <v>225</v>
      </c>
      <c r="N412" s="76" cm="1">
        <f t="array" ref="N412">SUM((H412:L412)/5)</f>
        <v>500</v>
      </c>
      <c r="O412" s="74">
        <v>500</v>
      </c>
      <c r="P412" s="66"/>
      <c r="Q412" s="77">
        <v>50.334000000000003</v>
      </c>
      <c r="R412" s="77">
        <v>63.256999999999998</v>
      </c>
      <c r="S412" s="77">
        <v>0.441</v>
      </c>
      <c r="T412" s="77">
        <v>0.441</v>
      </c>
      <c r="U412" s="77">
        <f t="shared" si="46"/>
        <v>200</v>
      </c>
      <c r="V412" s="77">
        <f t="shared" si="47"/>
        <v>300</v>
      </c>
      <c r="W412" s="66"/>
      <c r="X412" s="77" t="s">
        <v>354</v>
      </c>
      <c r="Y412" s="77" t="s">
        <v>355</v>
      </c>
      <c r="Z412" s="79">
        <f>SUM(27.4387+25.00784+25.38307)/3</f>
        <v>25.943203333333333</v>
      </c>
      <c r="AA412" s="80">
        <f t="shared" si="52"/>
        <v>42.806285500000001</v>
      </c>
      <c r="AB412" s="66"/>
      <c r="AC412" s="81">
        <v>365</v>
      </c>
      <c r="AD412" s="82">
        <f t="shared" si="48"/>
        <v>115.7603</v>
      </c>
      <c r="AE412" s="82">
        <f t="shared" si="49"/>
        <v>126.64049999999999</v>
      </c>
      <c r="AF412" s="82">
        <f t="shared" si="50"/>
        <v>51.89</v>
      </c>
      <c r="AG412" s="82">
        <f t="shared" si="50"/>
        <v>128.41999999999999</v>
      </c>
      <c r="AH412" s="114"/>
      <c r="AI412" s="114"/>
      <c r="AJ412" s="83">
        <f t="shared" si="51"/>
        <v>422.71079999999995</v>
      </c>
      <c r="AK412" s="82"/>
      <c r="AL412" s="84"/>
      <c r="AM412" s="66"/>
    </row>
    <row r="413" spans="3:39" ht="45" x14ac:dyDescent="0.3">
      <c r="C413" s="41" t="s">
        <v>691</v>
      </c>
      <c r="D413" s="41" t="s">
        <v>124</v>
      </c>
      <c r="E413" s="42" t="s">
        <v>88</v>
      </c>
      <c r="G413" s="66"/>
      <c r="H413" s="74">
        <v>319</v>
      </c>
      <c r="I413" s="74">
        <v>349</v>
      </c>
      <c r="J413" s="74">
        <v>267</v>
      </c>
      <c r="K413" s="74">
        <v>294</v>
      </c>
      <c r="L413" s="74">
        <v>427</v>
      </c>
      <c r="M413" s="74">
        <v>172</v>
      </c>
      <c r="N413" s="76" cm="1">
        <f t="array" ref="N413">SUM((H413:L413)/5)</f>
        <v>331.20000000000005</v>
      </c>
      <c r="O413" s="74">
        <v>340</v>
      </c>
      <c r="P413" s="66"/>
      <c r="Q413" s="77">
        <v>50.334000000000003</v>
      </c>
      <c r="R413" s="77">
        <v>63.256999999999998</v>
      </c>
      <c r="S413" s="77">
        <v>0.441</v>
      </c>
      <c r="T413" s="77">
        <v>0.441</v>
      </c>
      <c r="U413" s="77">
        <f t="shared" si="46"/>
        <v>136</v>
      </c>
      <c r="V413" s="77">
        <f t="shared" si="47"/>
        <v>204</v>
      </c>
      <c r="W413" s="66"/>
      <c r="X413" s="77" t="s">
        <v>349</v>
      </c>
      <c r="Y413" s="77" t="s">
        <v>356</v>
      </c>
      <c r="Z413" s="79">
        <f>SUM(27.34039+24.91384+25.23082)/3</f>
        <v>25.82835</v>
      </c>
      <c r="AA413" s="80">
        <f t="shared" si="52"/>
        <v>42.616777499999998</v>
      </c>
      <c r="AB413" s="66"/>
      <c r="AC413" s="81">
        <v>365</v>
      </c>
      <c r="AD413" s="82">
        <f t="shared" si="48"/>
        <v>115.7603</v>
      </c>
      <c r="AE413" s="82">
        <f t="shared" si="49"/>
        <v>126.64049999999999</v>
      </c>
      <c r="AF413" s="82">
        <f t="shared" si="50"/>
        <v>35.130000000000003</v>
      </c>
      <c r="AG413" s="82">
        <f t="shared" si="50"/>
        <v>86.94</v>
      </c>
      <c r="AH413" s="114"/>
      <c r="AI413" s="114"/>
      <c r="AJ413" s="83">
        <f t="shared" si="51"/>
        <v>364.4708</v>
      </c>
      <c r="AK413" s="82"/>
      <c r="AL413" s="84"/>
      <c r="AM413" s="66"/>
    </row>
    <row r="414" spans="3:39" ht="15.6" x14ac:dyDescent="0.3">
      <c r="C414" s="41" t="s">
        <v>691</v>
      </c>
      <c r="D414" s="41" t="s">
        <v>124</v>
      </c>
      <c r="E414" s="42" t="s">
        <v>88</v>
      </c>
      <c r="G414" s="66"/>
      <c r="H414" s="74">
        <v>318</v>
      </c>
      <c r="I414" s="74">
        <v>262</v>
      </c>
      <c r="J414" s="74">
        <v>248</v>
      </c>
      <c r="K414" s="74">
        <v>310</v>
      </c>
      <c r="L414" s="74">
        <v>239</v>
      </c>
      <c r="M414" s="74">
        <v>309</v>
      </c>
      <c r="N414" s="76" cm="1">
        <f t="array" ref="N414">SUM((H414:L414)/5)</f>
        <v>275.39999999999998</v>
      </c>
      <c r="O414" s="74">
        <v>275</v>
      </c>
      <c r="P414" s="66"/>
      <c r="Q414" s="77">
        <v>49.828000000000003</v>
      </c>
      <c r="R414" s="77">
        <v>63.256999999999998</v>
      </c>
      <c r="S414" s="77">
        <v>0.441</v>
      </c>
      <c r="T414" s="77">
        <v>0.441</v>
      </c>
      <c r="U414" s="77">
        <f t="shared" si="46"/>
        <v>110</v>
      </c>
      <c r="V414" s="77">
        <f t="shared" si="47"/>
        <v>165</v>
      </c>
      <c r="W414" s="66"/>
      <c r="X414" s="77">
        <v>15.061999999999999</v>
      </c>
      <c r="Y414" s="77">
        <v>26.50583</v>
      </c>
      <c r="Z414" s="79">
        <v>26.50583</v>
      </c>
      <c r="AA414" s="80">
        <f t="shared" si="52"/>
        <v>43.734619500000001</v>
      </c>
      <c r="AB414" s="66"/>
      <c r="AC414" s="81">
        <v>365</v>
      </c>
      <c r="AD414" s="82">
        <f t="shared" si="48"/>
        <v>115.7603</v>
      </c>
      <c r="AE414" s="82">
        <f t="shared" si="49"/>
        <v>126.64049999999999</v>
      </c>
      <c r="AF414" s="82">
        <f t="shared" si="50"/>
        <v>29.16</v>
      </c>
      <c r="AG414" s="82">
        <f t="shared" si="50"/>
        <v>72.16</v>
      </c>
      <c r="AH414" s="114"/>
      <c r="AI414" s="114"/>
      <c r="AJ414" s="83">
        <f t="shared" si="51"/>
        <v>343.72080000000005</v>
      </c>
      <c r="AK414" s="82"/>
      <c r="AL414" s="84"/>
      <c r="AM414" s="66"/>
    </row>
    <row r="415" spans="3:39" ht="15.6" x14ac:dyDescent="0.3">
      <c r="C415" s="41" t="s">
        <v>357</v>
      </c>
      <c r="D415" s="41" t="s">
        <v>124</v>
      </c>
      <c r="E415" s="42" t="s">
        <v>88</v>
      </c>
      <c r="G415" s="66"/>
      <c r="H415" s="74">
        <v>242</v>
      </c>
      <c r="I415" s="74">
        <v>391</v>
      </c>
      <c r="J415" s="74">
        <v>643</v>
      </c>
      <c r="K415" s="74">
        <v>1072</v>
      </c>
      <c r="L415" s="74">
        <v>1181</v>
      </c>
      <c r="M415" s="74">
        <v>927</v>
      </c>
      <c r="N415" s="76" cm="1">
        <f t="array" ref="N415">SUM((H415:L415)/5)</f>
        <v>705.8</v>
      </c>
      <c r="O415" s="74">
        <v>1100</v>
      </c>
      <c r="P415" s="66"/>
      <c r="Q415" s="77">
        <v>49.308</v>
      </c>
      <c r="R415" s="77">
        <v>72.016000000000005</v>
      </c>
      <c r="S415" s="77">
        <v>0.441</v>
      </c>
      <c r="T415" s="77">
        <v>0.441</v>
      </c>
      <c r="U415" s="77">
        <f t="shared" si="46"/>
        <v>440</v>
      </c>
      <c r="V415" s="77">
        <f t="shared" si="47"/>
        <v>660</v>
      </c>
      <c r="W415" s="66"/>
      <c r="X415" s="77">
        <v>15.868</v>
      </c>
      <c r="Y415" s="77">
        <v>27.082740000000001</v>
      </c>
      <c r="Z415" s="79">
        <v>27.082740000000001</v>
      </c>
      <c r="AA415" s="80">
        <f t="shared" si="52"/>
        <v>44.686520999999999</v>
      </c>
      <c r="AB415" s="66"/>
      <c r="AC415" s="81">
        <v>365</v>
      </c>
      <c r="AD415" s="82">
        <f t="shared" si="48"/>
        <v>131.7893</v>
      </c>
      <c r="AE415" s="82">
        <f t="shared" si="49"/>
        <v>144.17600000000002</v>
      </c>
      <c r="AF415" s="82">
        <f t="shared" si="50"/>
        <v>119.16</v>
      </c>
      <c r="AG415" s="82">
        <f t="shared" si="50"/>
        <v>294.93</v>
      </c>
      <c r="AH415" s="114"/>
      <c r="AI415" s="114"/>
      <c r="AJ415" s="83">
        <f t="shared" si="51"/>
        <v>690.05529999999999</v>
      </c>
      <c r="AK415" s="82"/>
      <c r="AL415" s="84"/>
      <c r="AM415" s="66"/>
    </row>
    <row r="416" spans="3:39" ht="15.6" x14ac:dyDescent="0.3">
      <c r="C416" s="41" t="s">
        <v>692</v>
      </c>
      <c r="D416" s="41" t="s">
        <v>124</v>
      </c>
      <c r="E416" s="42" t="s">
        <v>88</v>
      </c>
      <c r="G416" s="66"/>
      <c r="H416" s="74">
        <v>328</v>
      </c>
      <c r="I416" s="74">
        <v>317</v>
      </c>
      <c r="J416" s="74">
        <v>286</v>
      </c>
      <c r="K416" s="74">
        <v>303</v>
      </c>
      <c r="L416" s="74">
        <v>152</v>
      </c>
      <c r="M416" s="74">
        <v>162</v>
      </c>
      <c r="N416" s="76" cm="1">
        <f t="array" ref="N416">SUM((H416:L416)/5)</f>
        <v>277.2</v>
      </c>
      <c r="O416" s="74">
        <v>300</v>
      </c>
      <c r="P416" s="66"/>
      <c r="Q416" s="77">
        <v>49.828000000000003</v>
      </c>
      <c r="R416" s="77">
        <v>63.256999999999998</v>
      </c>
      <c r="S416" s="77">
        <v>0.441</v>
      </c>
      <c r="T416" s="77">
        <v>0.441</v>
      </c>
      <c r="U416" s="77">
        <f t="shared" si="46"/>
        <v>120</v>
      </c>
      <c r="V416" s="77">
        <f t="shared" si="47"/>
        <v>180</v>
      </c>
      <c r="W416" s="66"/>
      <c r="X416" s="77">
        <v>15.061999999999999</v>
      </c>
      <c r="Y416" s="77">
        <v>26.506070000000001</v>
      </c>
      <c r="Z416" s="79">
        <v>26.506070000000001</v>
      </c>
      <c r="AA416" s="80">
        <f t="shared" si="52"/>
        <v>43.735015500000003</v>
      </c>
      <c r="AB416" s="66"/>
      <c r="AC416" s="81">
        <v>365</v>
      </c>
      <c r="AD416" s="82">
        <f t="shared" si="48"/>
        <v>115.7603</v>
      </c>
      <c r="AE416" s="82">
        <f t="shared" si="49"/>
        <v>126.64049999999999</v>
      </c>
      <c r="AF416" s="82">
        <f t="shared" si="50"/>
        <v>31.81</v>
      </c>
      <c r="AG416" s="82">
        <f t="shared" si="50"/>
        <v>78.72</v>
      </c>
      <c r="AH416" s="114"/>
      <c r="AI416" s="114"/>
      <c r="AJ416" s="83">
        <f t="shared" si="51"/>
        <v>352.93079999999998</v>
      </c>
      <c r="AK416" s="82"/>
      <c r="AL416" s="84"/>
      <c r="AM416" s="66"/>
    </row>
    <row r="417" spans="3:39" ht="15.6" x14ac:dyDescent="0.3">
      <c r="C417" s="41" t="s">
        <v>692</v>
      </c>
      <c r="D417" s="41" t="s">
        <v>124</v>
      </c>
      <c r="E417" s="42" t="s">
        <v>88</v>
      </c>
      <c r="G417" s="66"/>
      <c r="H417" s="74">
        <v>380</v>
      </c>
      <c r="I417" s="74">
        <v>360</v>
      </c>
      <c r="J417" s="74">
        <v>312</v>
      </c>
      <c r="K417" s="74">
        <v>368</v>
      </c>
      <c r="L417" s="74">
        <v>322</v>
      </c>
      <c r="M417" s="74">
        <v>174</v>
      </c>
      <c r="N417" s="76" cm="1">
        <f t="array" ref="N417">SUM((H417:L417)/5)</f>
        <v>348.4</v>
      </c>
      <c r="O417" s="74">
        <v>340</v>
      </c>
      <c r="P417" s="66"/>
      <c r="Q417" s="77">
        <v>49.828000000000003</v>
      </c>
      <c r="R417" s="77">
        <v>63.256999999999998</v>
      </c>
      <c r="S417" s="77">
        <v>0.441</v>
      </c>
      <c r="T417" s="77">
        <v>0.441</v>
      </c>
      <c r="U417" s="77">
        <f t="shared" si="46"/>
        <v>136</v>
      </c>
      <c r="V417" s="77">
        <f t="shared" si="47"/>
        <v>204</v>
      </c>
      <c r="W417" s="66"/>
      <c r="X417" s="77">
        <v>15.061999999999999</v>
      </c>
      <c r="Y417" s="77">
        <v>26.50704</v>
      </c>
      <c r="Z417" s="79">
        <v>26.50704</v>
      </c>
      <c r="AA417" s="80">
        <f t="shared" si="52"/>
        <v>43.736615999999998</v>
      </c>
      <c r="AB417" s="66"/>
      <c r="AC417" s="81">
        <v>365</v>
      </c>
      <c r="AD417" s="82">
        <f t="shared" si="48"/>
        <v>115.7603</v>
      </c>
      <c r="AE417" s="82">
        <f t="shared" si="49"/>
        <v>126.64049999999999</v>
      </c>
      <c r="AF417" s="82">
        <f t="shared" si="50"/>
        <v>36.049999999999997</v>
      </c>
      <c r="AG417" s="82">
        <f t="shared" si="50"/>
        <v>89.22</v>
      </c>
      <c r="AH417" s="114"/>
      <c r="AI417" s="114"/>
      <c r="AJ417" s="83">
        <f t="shared" si="51"/>
        <v>367.67079999999999</v>
      </c>
      <c r="AK417" s="82"/>
      <c r="AL417" s="84"/>
      <c r="AM417" s="66"/>
    </row>
    <row r="418" spans="3:39" ht="30" x14ac:dyDescent="0.3">
      <c r="C418" s="41" t="s">
        <v>358</v>
      </c>
      <c r="D418" s="41" t="s">
        <v>124</v>
      </c>
      <c r="E418" s="42" t="s">
        <v>88</v>
      </c>
      <c r="G418" s="66"/>
      <c r="H418" s="74">
        <v>1657</v>
      </c>
      <c r="I418" s="74">
        <v>1578</v>
      </c>
      <c r="J418" s="74">
        <v>1230</v>
      </c>
      <c r="K418" s="74">
        <v>1107</v>
      </c>
      <c r="L418" s="74">
        <v>928</v>
      </c>
      <c r="M418" s="74">
        <v>399</v>
      </c>
      <c r="N418" s="76" cm="1">
        <f t="array" ref="N418">SUM((H418:L418)/5)</f>
        <v>1300</v>
      </c>
      <c r="O418" s="74">
        <v>1300</v>
      </c>
      <c r="P418" s="66"/>
      <c r="Q418" s="77">
        <v>49.325000000000003</v>
      </c>
      <c r="R418" s="77">
        <v>72.016000000000005</v>
      </c>
      <c r="S418" s="77">
        <v>0.441</v>
      </c>
      <c r="T418" s="77">
        <v>0.441</v>
      </c>
      <c r="U418" s="77">
        <f t="shared" si="46"/>
        <v>520</v>
      </c>
      <c r="V418" s="77">
        <f t="shared" si="47"/>
        <v>780</v>
      </c>
      <c r="W418" s="66"/>
      <c r="X418" s="77" t="s">
        <v>359</v>
      </c>
      <c r="Y418" s="77" t="s">
        <v>360</v>
      </c>
      <c r="Z418" s="79">
        <f>SUM(27.16224+25.03809)/2</f>
        <v>26.100165000000001</v>
      </c>
      <c r="AA418" s="80">
        <f t="shared" si="52"/>
        <v>43.065272250000007</v>
      </c>
      <c r="AB418" s="66"/>
      <c r="AC418" s="81">
        <v>365</v>
      </c>
      <c r="AD418" s="82">
        <f t="shared" si="48"/>
        <v>131.7893</v>
      </c>
      <c r="AE418" s="82">
        <f t="shared" si="49"/>
        <v>144.17600000000002</v>
      </c>
      <c r="AF418" s="82">
        <f t="shared" si="50"/>
        <v>135.72</v>
      </c>
      <c r="AG418" s="82">
        <f t="shared" si="50"/>
        <v>335.91</v>
      </c>
      <c r="AH418" s="114"/>
      <c r="AI418" s="114"/>
      <c r="AJ418" s="83">
        <f t="shared" si="51"/>
        <v>747.59529999999995</v>
      </c>
      <c r="AK418" s="82"/>
      <c r="AL418" s="84"/>
      <c r="AM418" s="66"/>
    </row>
    <row r="419" spans="3:39" ht="45" x14ac:dyDescent="0.3">
      <c r="C419" s="41" t="s">
        <v>358</v>
      </c>
      <c r="D419" s="41" t="s">
        <v>124</v>
      </c>
      <c r="E419" s="42" t="s">
        <v>88</v>
      </c>
      <c r="G419" s="66"/>
      <c r="H419" s="74">
        <v>657</v>
      </c>
      <c r="I419" s="74">
        <v>502</v>
      </c>
      <c r="J419" s="74">
        <v>511</v>
      </c>
      <c r="K419" s="74">
        <v>492</v>
      </c>
      <c r="L419" s="74">
        <v>503</v>
      </c>
      <c r="M419" s="74">
        <v>301</v>
      </c>
      <c r="N419" s="76" cm="1">
        <f t="array" ref="N419">SUM((H419:L419)/5)</f>
        <v>533</v>
      </c>
      <c r="O419" s="74">
        <v>530</v>
      </c>
      <c r="P419" s="66"/>
      <c r="Q419" s="77">
        <v>50.334000000000003</v>
      </c>
      <c r="R419" s="77">
        <v>63.256999999999998</v>
      </c>
      <c r="S419" s="77">
        <v>0.441</v>
      </c>
      <c r="T419" s="77">
        <v>0.441</v>
      </c>
      <c r="U419" s="77">
        <f t="shared" si="46"/>
        <v>212</v>
      </c>
      <c r="V419" s="77">
        <f t="shared" si="47"/>
        <v>318</v>
      </c>
      <c r="W419" s="66"/>
      <c r="X419" s="77" t="s">
        <v>354</v>
      </c>
      <c r="Y419" s="77" t="s">
        <v>361</v>
      </c>
      <c r="Z419" s="79">
        <f>SUM(27.35252+24.92125+25.29341)/3</f>
        <v>25.855726666666669</v>
      </c>
      <c r="AA419" s="80">
        <f t="shared" si="52"/>
        <v>42.661949000000007</v>
      </c>
      <c r="AB419" s="66"/>
      <c r="AC419" s="81">
        <v>365</v>
      </c>
      <c r="AD419" s="82">
        <f t="shared" si="48"/>
        <v>115.7603</v>
      </c>
      <c r="AE419" s="82">
        <f t="shared" si="49"/>
        <v>126.64049999999999</v>
      </c>
      <c r="AF419" s="82">
        <f t="shared" si="50"/>
        <v>54.81</v>
      </c>
      <c r="AG419" s="82">
        <f t="shared" si="50"/>
        <v>135.66</v>
      </c>
      <c r="AH419" s="114"/>
      <c r="AI419" s="114"/>
      <c r="AJ419" s="83">
        <f t="shared" si="51"/>
        <v>432.87080000000003</v>
      </c>
      <c r="AK419" s="82"/>
      <c r="AL419" s="84"/>
      <c r="AM419" s="66"/>
    </row>
    <row r="420" spans="3:39" ht="45" x14ac:dyDescent="0.3">
      <c r="C420" s="41" t="s">
        <v>358</v>
      </c>
      <c r="D420" s="41" t="s">
        <v>124</v>
      </c>
      <c r="E420" s="42" t="s">
        <v>88</v>
      </c>
      <c r="G420" s="66"/>
      <c r="H420" s="74">
        <v>1490</v>
      </c>
      <c r="I420" s="74">
        <v>1169</v>
      </c>
      <c r="J420" s="74">
        <v>1184</v>
      </c>
      <c r="K420" s="74">
        <v>1064</v>
      </c>
      <c r="L420" s="74">
        <v>1350</v>
      </c>
      <c r="M420" s="74">
        <v>541</v>
      </c>
      <c r="N420" s="76" cm="1">
        <f t="array" ref="N420">SUM((H420:L420)/5)</f>
        <v>1251.3999999999999</v>
      </c>
      <c r="O420" s="74">
        <v>1250</v>
      </c>
      <c r="P420" s="66"/>
      <c r="Q420" s="77">
        <v>50.334000000000003</v>
      </c>
      <c r="R420" s="77">
        <v>63.256999999999998</v>
      </c>
      <c r="S420" s="77">
        <v>0.441</v>
      </c>
      <c r="T420" s="77">
        <v>0.441</v>
      </c>
      <c r="U420" s="77">
        <f t="shared" si="46"/>
        <v>500</v>
      </c>
      <c r="V420" s="77">
        <f t="shared" si="47"/>
        <v>750</v>
      </c>
      <c r="W420" s="66"/>
      <c r="X420" s="77" t="s">
        <v>354</v>
      </c>
      <c r="Y420" s="77" t="s">
        <v>362</v>
      </c>
      <c r="Z420" s="79">
        <f>SUM(27.47435+25.04184+25.41704)/3</f>
        <v>25.977743333333336</v>
      </c>
      <c r="AA420" s="80">
        <f t="shared" si="52"/>
        <v>42.863276500000005</v>
      </c>
      <c r="AB420" s="66"/>
      <c r="AC420" s="81">
        <v>365</v>
      </c>
      <c r="AD420" s="82">
        <f t="shared" si="48"/>
        <v>115.7603</v>
      </c>
      <c r="AE420" s="82">
        <f t="shared" si="49"/>
        <v>126.64049999999999</v>
      </c>
      <c r="AF420" s="82">
        <f t="shared" si="50"/>
        <v>129.88999999999999</v>
      </c>
      <c r="AG420" s="82">
        <f t="shared" si="50"/>
        <v>321.47000000000003</v>
      </c>
      <c r="AH420" s="114"/>
      <c r="AI420" s="114"/>
      <c r="AJ420" s="83">
        <f t="shared" si="51"/>
        <v>693.76080000000002</v>
      </c>
      <c r="AK420" s="82"/>
      <c r="AL420" s="84"/>
      <c r="AM420" s="66"/>
    </row>
    <row r="421" spans="3:39" ht="30" x14ac:dyDescent="0.3">
      <c r="C421" s="41" t="s">
        <v>363</v>
      </c>
      <c r="D421" s="41" t="s">
        <v>124</v>
      </c>
      <c r="E421" s="42" t="s">
        <v>88</v>
      </c>
      <c r="G421" s="66"/>
      <c r="H421" s="74">
        <v>419</v>
      </c>
      <c r="I421" s="74">
        <v>823</v>
      </c>
      <c r="J421" s="74">
        <v>854</v>
      </c>
      <c r="K421" s="74">
        <v>1044</v>
      </c>
      <c r="L421" s="74">
        <v>1281</v>
      </c>
      <c r="M421" s="74">
        <v>3625</v>
      </c>
      <c r="N421" s="76" cm="1">
        <f t="array" ref="N421">SUM((H421:L421)/5)</f>
        <v>884.2</v>
      </c>
      <c r="O421" s="74">
        <v>1100</v>
      </c>
      <c r="P421" s="66"/>
      <c r="Q421" s="77">
        <v>50.334000000000003</v>
      </c>
      <c r="R421" s="77">
        <v>63.256999999999998</v>
      </c>
      <c r="S421" s="77">
        <v>0.441</v>
      </c>
      <c r="T421" s="77">
        <v>0.441</v>
      </c>
      <c r="U421" s="77">
        <f t="shared" si="46"/>
        <v>440</v>
      </c>
      <c r="V421" s="77">
        <f t="shared" si="47"/>
        <v>660</v>
      </c>
      <c r="W421" s="66"/>
      <c r="X421" s="77" t="s">
        <v>364</v>
      </c>
      <c r="Y421" s="77" t="s">
        <v>365</v>
      </c>
      <c r="Z421" s="79">
        <f>SUM(26.75706+25.27578)/2</f>
        <v>26.01642</v>
      </c>
      <c r="AA421" s="80">
        <f t="shared" si="52"/>
        <v>42.927092999999999</v>
      </c>
      <c r="AB421" s="66"/>
      <c r="AC421" s="81">
        <v>365</v>
      </c>
      <c r="AD421" s="82">
        <f t="shared" si="48"/>
        <v>115.7603</v>
      </c>
      <c r="AE421" s="82">
        <f t="shared" si="49"/>
        <v>126.64049999999999</v>
      </c>
      <c r="AF421" s="82">
        <f t="shared" si="50"/>
        <v>114.47</v>
      </c>
      <c r="AG421" s="82">
        <f t="shared" si="50"/>
        <v>283.32</v>
      </c>
      <c r="AH421" s="114"/>
      <c r="AI421" s="114"/>
      <c r="AJ421" s="83">
        <f t="shared" si="51"/>
        <v>640.19080000000008</v>
      </c>
      <c r="AK421" s="82"/>
      <c r="AL421" s="84"/>
      <c r="AM421" s="66"/>
    </row>
    <row r="422" spans="3:39" ht="45" x14ac:dyDescent="0.3">
      <c r="C422" s="92" t="s">
        <v>366</v>
      </c>
      <c r="D422" s="41" t="s">
        <v>124</v>
      </c>
      <c r="E422" s="42" t="s">
        <v>88</v>
      </c>
      <c r="G422" s="66"/>
      <c r="H422" s="74">
        <v>150027</v>
      </c>
      <c r="I422" s="74">
        <v>64949</v>
      </c>
      <c r="J422" s="74">
        <v>148887</v>
      </c>
      <c r="K422" s="74">
        <v>106437</v>
      </c>
      <c r="L422" s="74">
        <v>131616</v>
      </c>
      <c r="M422" s="74">
        <v>70713</v>
      </c>
      <c r="N422" s="76" cm="1">
        <f t="array" ref="N422">SUM((H422:L422)/5)</f>
        <v>120383.2</v>
      </c>
      <c r="O422" s="74">
        <v>120000</v>
      </c>
      <c r="P422" s="66"/>
      <c r="Q422" s="77">
        <v>132.286</v>
      </c>
      <c r="R422" s="77">
        <v>303.38200000000001</v>
      </c>
      <c r="S422" s="77">
        <v>0.441</v>
      </c>
      <c r="T422" s="77">
        <v>0.441</v>
      </c>
      <c r="U422" s="77">
        <f t="shared" si="46"/>
        <v>48000</v>
      </c>
      <c r="V422" s="77">
        <f t="shared" si="47"/>
        <v>72000</v>
      </c>
      <c r="W422" s="66"/>
      <c r="X422" s="77" t="s">
        <v>367</v>
      </c>
      <c r="Y422" s="77" t="s">
        <v>368</v>
      </c>
      <c r="Z422" s="79">
        <f>SUM(27.32663+24.89706+25.21619)/3</f>
        <v>25.813293333333334</v>
      </c>
      <c r="AA422" s="80">
        <f t="shared" si="52"/>
        <v>42.591934000000002</v>
      </c>
      <c r="AB422" s="66"/>
      <c r="AC422" s="81">
        <v>365</v>
      </c>
      <c r="AD422" s="82">
        <f t="shared" si="48"/>
        <v>555.18910000000005</v>
      </c>
      <c r="AE422" s="82">
        <f t="shared" si="49"/>
        <v>607.37080000000003</v>
      </c>
      <c r="AF422" s="82">
        <f t="shared" si="50"/>
        <v>12390.38</v>
      </c>
      <c r="AG422" s="82">
        <f t="shared" si="50"/>
        <v>30666.19</v>
      </c>
      <c r="AH422" s="114"/>
      <c r="AI422" s="114"/>
      <c r="AJ422" s="83">
        <f t="shared" si="51"/>
        <v>44219.1299</v>
      </c>
      <c r="AK422" s="82"/>
      <c r="AL422" s="84"/>
      <c r="AM422" s="66"/>
    </row>
    <row r="423" spans="3:39" ht="45" x14ac:dyDescent="0.3">
      <c r="C423" s="41" t="s">
        <v>693</v>
      </c>
      <c r="D423" s="41" t="s">
        <v>124</v>
      </c>
      <c r="E423" s="42" t="s">
        <v>88</v>
      </c>
      <c r="G423" s="66"/>
      <c r="H423" s="74">
        <v>5195</v>
      </c>
      <c r="I423" s="74">
        <v>5115</v>
      </c>
      <c r="J423" s="74">
        <v>4992</v>
      </c>
      <c r="K423" s="74">
        <v>5116</v>
      </c>
      <c r="L423" s="74">
        <v>3783</v>
      </c>
      <c r="M423" s="74">
        <v>2557</v>
      </c>
      <c r="N423" s="76" cm="1">
        <f t="array" ref="N423">SUM((H423:L423)/5)</f>
        <v>4840.2000000000007</v>
      </c>
      <c r="O423" s="74">
        <v>4840</v>
      </c>
      <c r="P423" s="66"/>
      <c r="Q423" s="77">
        <v>59.098999999999997</v>
      </c>
      <c r="R423" s="77">
        <v>88.853999999999999</v>
      </c>
      <c r="S423" s="77">
        <v>0.441</v>
      </c>
      <c r="T423" s="77">
        <v>0.441</v>
      </c>
      <c r="U423" s="77">
        <f t="shared" si="46"/>
        <v>1936</v>
      </c>
      <c r="V423" s="77">
        <f t="shared" si="47"/>
        <v>2904</v>
      </c>
      <c r="W423" s="66"/>
      <c r="X423" s="77" t="s">
        <v>369</v>
      </c>
      <c r="Y423" s="77" t="s">
        <v>370</v>
      </c>
      <c r="Z423" s="79">
        <f>SUM(27.48403+25.05439+25.37349)/3</f>
        <v>25.970636666666667</v>
      </c>
      <c r="AA423" s="80">
        <f t="shared" si="52"/>
        <v>42.851550500000002</v>
      </c>
      <c r="AB423" s="66"/>
      <c r="AC423" s="81">
        <v>365</v>
      </c>
      <c r="AD423" s="82">
        <f t="shared" si="48"/>
        <v>162.6028</v>
      </c>
      <c r="AE423" s="82">
        <f t="shared" si="49"/>
        <v>177.88569999999999</v>
      </c>
      <c r="AF423" s="82">
        <f t="shared" si="50"/>
        <v>502.79</v>
      </c>
      <c r="AG423" s="82">
        <f t="shared" si="50"/>
        <v>1244.4100000000001</v>
      </c>
      <c r="AH423" s="114"/>
      <c r="AI423" s="114"/>
      <c r="AJ423" s="83">
        <f t="shared" si="51"/>
        <v>2087.6885000000002</v>
      </c>
      <c r="AK423" s="82"/>
      <c r="AL423" s="84"/>
      <c r="AM423" s="66"/>
    </row>
    <row r="424" spans="3:39" ht="45" x14ac:dyDescent="0.3">
      <c r="C424" s="41" t="s">
        <v>694</v>
      </c>
      <c r="D424" s="41" t="s">
        <v>124</v>
      </c>
      <c r="E424" s="42" t="s">
        <v>88</v>
      </c>
      <c r="G424" s="66"/>
      <c r="H424" s="74">
        <v>4101</v>
      </c>
      <c r="I424" s="74">
        <v>4094</v>
      </c>
      <c r="J424" s="74">
        <v>4030</v>
      </c>
      <c r="K424" s="74">
        <v>4039</v>
      </c>
      <c r="L424" s="74">
        <v>4031</v>
      </c>
      <c r="M424" s="74">
        <v>1982</v>
      </c>
      <c r="N424" s="76" cm="1">
        <f t="array" ref="N424">SUM((H424:L424)/5)</f>
        <v>4059</v>
      </c>
      <c r="O424" s="74">
        <v>4060</v>
      </c>
      <c r="P424" s="66"/>
      <c r="Q424" s="77">
        <v>59.098999999999997</v>
      </c>
      <c r="R424" s="77">
        <v>88.853999999999999</v>
      </c>
      <c r="S424" s="77">
        <v>0.441</v>
      </c>
      <c r="T424" s="77">
        <v>0.441</v>
      </c>
      <c r="U424" s="77">
        <f t="shared" si="46"/>
        <v>1624</v>
      </c>
      <c r="V424" s="77">
        <f t="shared" si="47"/>
        <v>2436</v>
      </c>
      <c r="W424" s="66"/>
      <c r="X424" s="77" t="s">
        <v>369</v>
      </c>
      <c r="Y424" s="77" t="s">
        <v>371</v>
      </c>
      <c r="Z424" s="79">
        <f>SUM(27.47909+25.04972+25.36893)/3</f>
        <v>25.965913333333333</v>
      </c>
      <c r="AA424" s="80">
        <f t="shared" si="52"/>
        <v>42.843756999999997</v>
      </c>
      <c r="AB424" s="66"/>
      <c r="AC424" s="81">
        <v>365</v>
      </c>
      <c r="AD424" s="82">
        <f t="shared" si="48"/>
        <v>162.6028</v>
      </c>
      <c r="AE424" s="82">
        <f t="shared" si="49"/>
        <v>177.88569999999999</v>
      </c>
      <c r="AF424" s="82">
        <f t="shared" si="50"/>
        <v>421.69</v>
      </c>
      <c r="AG424" s="82">
        <f t="shared" si="50"/>
        <v>1043.67</v>
      </c>
      <c r="AH424" s="114"/>
      <c r="AI424" s="114"/>
      <c r="AJ424" s="83">
        <f t="shared" si="51"/>
        <v>1805.8485000000001</v>
      </c>
      <c r="AK424" s="82"/>
      <c r="AL424" s="84"/>
      <c r="AM424" s="66"/>
    </row>
    <row r="425" spans="3:39" ht="45" x14ac:dyDescent="0.3">
      <c r="C425" s="41" t="s">
        <v>695</v>
      </c>
      <c r="D425" s="41" t="s">
        <v>124</v>
      </c>
      <c r="E425" s="42" t="s">
        <v>88</v>
      </c>
      <c r="G425" s="66"/>
      <c r="H425" s="74">
        <v>5436</v>
      </c>
      <c r="I425" s="74">
        <v>5657</v>
      </c>
      <c r="J425" s="74">
        <v>5516</v>
      </c>
      <c r="K425" s="74">
        <v>5582</v>
      </c>
      <c r="L425" s="74">
        <v>4132</v>
      </c>
      <c r="M425" s="74">
        <v>2712</v>
      </c>
      <c r="N425" s="76" cm="1">
        <f t="array" ref="N425">SUM((H425:L425)/5)</f>
        <v>5264.6</v>
      </c>
      <c r="O425" s="74">
        <v>5300</v>
      </c>
      <c r="P425" s="66"/>
      <c r="Q425" s="77">
        <v>59.098999999999997</v>
      </c>
      <c r="R425" s="77">
        <v>88.853999999999999</v>
      </c>
      <c r="S425" s="77">
        <v>0.441</v>
      </c>
      <c r="T425" s="77">
        <v>0.441</v>
      </c>
      <c r="U425" s="77">
        <f t="shared" si="46"/>
        <v>2120</v>
      </c>
      <c r="V425" s="77">
        <f t="shared" si="47"/>
        <v>3180</v>
      </c>
      <c r="W425" s="66"/>
      <c r="X425" s="77" t="s">
        <v>369</v>
      </c>
      <c r="Y425" s="77" t="s">
        <v>372</v>
      </c>
      <c r="Z425" s="79">
        <f>SUM(27.48184+25.05241+25.3717)/3</f>
        <v>25.96865</v>
      </c>
      <c r="AA425" s="80">
        <f t="shared" si="52"/>
        <v>42.8482725</v>
      </c>
      <c r="AB425" s="66"/>
      <c r="AC425" s="81">
        <v>365</v>
      </c>
      <c r="AD425" s="82">
        <f t="shared" si="48"/>
        <v>162.6028</v>
      </c>
      <c r="AE425" s="82">
        <f t="shared" si="49"/>
        <v>177.88569999999999</v>
      </c>
      <c r="AF425" s="82">
        <f t="shared" si="50"/>
        <v>550.54</v>
      </c>
      <c r="AG425" s="82">
        <f t="shared" si="50"/>
        <v>1362.58</v>
      </c>
      <c r="AH425" s="114"/>
      <c r="AI425" s="114"/>
      <c r="AJ425" s="83">
        <f t="shared" si="51"/>
        <v>2253.6084999999998</v>
      </c>
      <c r="AK425" s="82"/>
      <c r="AL425" s="84"/>
      <c r="AM425" s="66"/>
    </row>
    <row r="426" spans="3:39" ht="45" x14ac:dyDescent="0.3">
      <c r="C426" s="41" t="s">
        <v>696</v>
      </c>
      <c r="D426" s="41" t="s">
        <v>124</v>
      </c>
      <c r="E426" s="42" t="s">
        <v>88</v>
      </c>
      <c r="G426" s="66"/>
      <c r="H426" s="74">
        <v>6569</v>
      </c>
      <c r="I426" s="74">
        <v>6208</v>
      </c>
      <c r="J426" s="74">
        <v>7319</v>
      </c>
      <c r="K426" s="74">
        <v>8178</v>
      </c>
      <c r="L426" s="74">
        <v>5443</v>
      </c>
      <c r="M426" s="74">
        <v>3381</v>
      </c>
      <c r="N426" s="76" cm="1">
        <f t="array" ref="N426">SUM((H426:L426)/5)</f>
        <v>6743.4</v>
      </c>
      <c r="O426" s="74">
        <v>6800</v>
      </c>
      <c r="P426" s="66"/>
      <c r="Q426" s="77">
        <v>59.098999999999997</v>
      </c>
      <c r="R426" s="77">
        <v>88.853999999999999</v>
      </c>
      <c r="S426" s="77">
        <v>0.441</v>
      </c>
      <c r="T426" s="77">
        <v>0.441</v>
      </c>
      <c r="U426" s="77">
        <f t="shared" si="46"/>
        <v>2720</v>
      </c>
      <c r="V426" s="77">
        <f t="shared" si="47"/>
        <v>4080</v>
      </c>
      <c r="W426" s="66"/>
      <c r="X426" s="77" t="s">
        <v>367</v>
      </c>
      <c r="Y426" s="77" t="s">
        <v>373</v>
      </c>
      <c r="Z426" s="79">
        <f>SUM(27.47283+25.04344+25.36276)/3</f>
        <v>25.959676666666667</v>
      </c>
      <c r="AA426" s="80">
        <f t="shared" si="52"/>
        <v>42.8334665</v>
      </c>
      <c r="AB426" s="66"/>
      <c r="AC426" s="81">
        <v>365</v>
      </c>
      <c r="AD426" s="82">
        <f t="shared" si="48"/>
        <v>162.6028</v>
      </c>
      <c r="AE426" s="82">
        <f t="shared" si="49"/>
        <v>177.88569999999999</v>
      </c>
      <c r="AF426" s="82">
        <f t="shared" si="50"/>
        <v>706.1</v>
      </c>
      <c r="AG426" s="82">
        <f t="shared" si="50"/>
        <v>1747.61</v>
      </c>
      <c r="AH426" s="114"/>
      <c r="AI426" s="114"/>
      <c r="AJ426" s="83">
        <f t="shared" si="51"/>
        <v>2794.1985</v>
      </c>
      <c r="AK426" s="82"/>
      <c r="AL426" s="84"/>
      <c r="AM426" s="66"/>
    </row>
    <row r="427" spans="3:39" ht="90" x14ac:dyDescent="0.3">
      <c r="C427" s="41" t="s">
        <v>694</v>
      </c>
      <c r="D427" s="41" t="s">
        <v>124</v>
      </c>
      <c r="E427" s="42" t="s">
        <v>88</v>
      </c>
      <c r="G427" s="66"/>
      <c r="H427" s="74">
        <v>5363</v>
      </c>
      <c r="I427" s="74">
        <v>5542</v>
      </c>
      <c r="J427" s="74">
        <v>5680</v>
      </c>
      <c r="K427" s="74">
        <v>5628</v>
      </c>
      <c r="L427" s="74">
        <v>4128</v>
      </c>
      <c r="M427" s="74">
        <v>2916</v>
      </c>
      <c r="N427" s="76" cm="1">
        <f t="array" ref="N427">SUM((H427:L427)/5)</f>
        <v>5268.2000000000007</v>
      </c>
      <c r="O427" s="74">
        <v>5300</v>
      </c>
      <c r="P427" s="66"/>
      <c r="Q427" s="77">
        <v>59.098999999999997</v>
      </c>
      <c r="R427" s="77">
        <v>88.853999999999999</v>
      </c>
      <c r="S427" s="77">
        <v>0.441</v>
      </c>
      <c r="T427" s="77">
        <v>0.441</v>
      </c>
      <c r="U427" s="77">
        <f t="shared" si="46"/>
        <v>2120</v>
      </c>
      <c r="V427" s="77">
        <f t="shared" si="47"/>
        <v>3180</v>
      </c>
      <c r="W427" s="66"/>
      <c r="X427" s="77" t="s">
        <v>374</v>
      </c>
      <c r="Y427" s="77" t="s">
        <v>375</v>
      </c>
      <c r="Z427" s="79">
        <f>SUM(27.48517+25.05569+25.37478)/3</f>
        <v>25.971879999999999</v>
      </c>
      <c r="AA427" s="80">
        <f t="shared" si="52"/>
        <v>42.853601999999995</v>
      </c>
      <c r="AB427" s="66"/>
      <c r="AC427" s="81">
        <v>365</v>
      </c>
      <c r="AD427" s="82">
        <f t="shared" si="48"/>
        <v>162.6028</v>
      </c>
      <c r="AE427" s="82">
        <f t="shared" si="49"/>
        <v>177.88569999999999</v>
      </c>
      <c r="AF427" s="82">
        <f t="shared" si="50"/>
        <v>550.6</v>
      </c>
      <c r="AG427" s="82">
        <f t="shared" si="50"/>
        <v>1362.74</v>
      </c>
      <c r="AH427" s="114"/>
      <c r="AI427" s="114"/>
      <c r="AJ427" s="83">
        <f t="shared" si="51"/>
        <v>2253.8285000000001</v>
      </c>
      <c r="AK427" s="82"/>
      <c r="AL427" s="84"/>
      <c r="AM427" s="66"/>
    </row>
    <row r="428" spans="3:39" ht="90" x14ac:dyDescent="0.3">
      <c r="C428" s="41" t="s">
        <v>696</v>
      </c>
      <c r="D428" s="41" t="s">
        <v>124</v>
      </c>
      <c r="E428" s="42" t="s">
        <v>88</v>
      </c>
      <c r="G428" s="66"/>
      <c r="H428" s="74">
        <v>5943</v>
      </c>
      <c r="I428" s="74">
        <v>6073</v>
      </c>
      <c r="J428" s="74">
        <v>5866</v>
      </c>
      <c r="K428" s="74">
        <v>5185</v>
      </c>
      <c r="L428" s="74">
        <v>3920</v>
      </c>
      <c r="M428" s="74">
        <v>2651</v>
      </c>
      <c r="N428" s="76" cm="1">
        <f t="array" ref="N428">SUM((H428:L428)/5)</f>
        <v>5397.4</v>
      </c>
      <c r="O428" s="74">
        <v>5390</v>
      </c>
      <c r="P428" s="66"/>
      <c r="Q428" s="77">
        <v>59.098999999999997</v>
      </c>
      <c r="R428" s="77">
        <v>88.853999999999999</v>
      </c>
      <c r="S428" s="77">
        <v>0.441</v>
      </c>
      <c r="T428" s="77">
        <v>0.441</v>
      </c>
      <c r="U428" s="77">
        <f t="shared" si="46"/>
        <v>2156</v>
      </c>
      <c r="V428" s="77">
        <f t="shared" si="47"/>
        <v>3234</v>
      </c>
      <c r="W428" s="66"/>
      <c r="X428" s="77" t="s">
        <v>376</v>
      </c>
      <c r="Y428" s="77" t="s">
        <v>377</v>
      </c>
      <c r="Z428" s="79">
        <f>SUM(27.48324+25.05385+25.37314)/3</f>
        <v>25.970076666666667</v>
      </c>
      <c r="AA428" s="80">
        <f t="shared" si="52"/>
        <v>42.850626500000004</v>
      </c>
      <c r="AB428" s="66"/>
      <c r="AC428" s="81">
        <v>365</v>
      </c>
      <c r="AD428" s="82">
        <f t="shared" si="48"/>
        <v>162.6028</v>
      </c>
      <c r="AE428" s="82">
        <f t="shared" si="49"/>
        <v>177.88569999999999</v>
      </c>
      <c r="AF428" s="82">
        <f t="shared" si="50"/>
        <v>559.91</v>
      </c>
      <c r="AG428" s="82">
        <f t="shared" si="50"/>
        <v>1385.79</v>
      </c>
      <c r="AH428" s="114"/>
      <c r="AI428" s="114"/>
      <c r="AJ428" s="83">
        <f t="shared" si="51"/>
        <v>2286.1885000000002</v>
      </c>
      <c r="AK428" s="82"/>
      <c r="AL428" s="84"/>
      <c r="AM428" s="66"/>
    </row>
    <row r="429" spans="3:39" ht="15.6" x14ac:dyDescent="0.3">
      <c r="C429" s="41" t="s">
        <v>697</v>
      </c>
      <c r="D429" s="41" t="s">
        <v>124</v>
      </c>
      <c r="E429" s="42" t="s">
        <v>88</v>
      </c>
      <c r="G429" s="66"/>
      <c r="H429" s="74">
        <v>3467</v>
      </c>
      <c r="I429" s="74">
        <v>3351</v>
      </c>
      <c r="J429" s="74">
        <v>3258</v>
      </c>
      <c r="K429" s="74">
        <v>3170</v>
      </c>
      <c r="L429" s="74">
        <v>2473</v>
      </c>
      <c r="M429" s="74">
        <v>1533</v>
      </c>
      <c r="N429" s="76" cm="1">
        <f t="array" ref="N429">SUM((H429:L429)/5)</f>
        <v>3143.7999999999997</v>
      </c>
      <c r="O429" s="74">
        <v>3140</v>
      </c>
      <c r="P429" s="66"/>
      <c r="Q429" s="77">
        <v>49.828000000000003</v>
      </c>
      <c r="R429" s="77">
        <v>63.256999999999998</v>
      </c>
      <c r="S429" s="77">
        <v>0.441</v>
      </c>
      <c r="T429" s="77">
        <v>0.441</v>
      </c>
      <c r="U429" s="77">
        <f t="shared" si="46"/>
        <v>1256</v>
      </c>
      <c r="V429" s="77">
        <f t="shared" si="47"/>
        <v>1884</v>
      </c>
      <c r="W429" s="66"/>
      <c r="X429" s="77">
        <v>15.061999999999999</v>
      </c>
      <c r="Y429" s="77">
        <v>26.506209999999999</v>
      </c>
      <c r="Z429" s="79">
        <v>26.506209999999999</v>
      </c>
      <c r="AA429" s="80">
        <f t="shared" si="52"/>
        <v>43.735246500000002</v>
      </c>
      <c r="AB429" s="66"/>
      <c r="AC429" s="81">
        <v>365</v>
      </c>
      <c r="AD429" s="82">
        <f t="shared" si="48"/>
        <v>115.7603</v>
      </c>
      <c r="AE429" s="82">
        <f t="shared" si="49"/>
        <v>126.64049999999999</v>
      </c>
      <c r="AF429" s="82">
        <f t="shared" si="50"/>
        <v>332.92</v>
      </c>
      <c r="AG429" s="82">
        <f t="shared" si="50"/>
        <v>823.97</v>
      </c>
      <c r="AH429" s="114"/>
      <c r="AI429" s="114"/>
      <c r="AJ429" s="83">
        <f t="shared" si="51"/>
        <v>1399.2908</v>
      </c>
      <c r="AK429" s="82"/>
      <c r="AL429" s="84"/>
      <c r="AM429" s="66"/>
    </row>
    <row r="430" spans="3:39" ht="90" x14ac:dyDescent="0.3">
      <c r="C430" s="41" t="s">
        <v>698</v>
      </c>
      <c r="D430" s="41" t="s">
        <v>124</v>
      </c>
      <c r="E430" s="42" t="s">
        <v>88</v>
      </c>
      <c r="G430" s="66"/>
      <c r="H430" s="74">
        <v>3048</v>
      </c>
      <c r="I430" s="74">
        <v>2589</v>
      </c>
      <c r="J430" s="74">
        <v>2365</v>
      </c>
      <c r="K430" s="74">
        <v>2329</v>
      </c>
      <c r="L430" s="74">
        <v>2224</v>
      </c>
      <c r="M430" s="74">
        <v>111</v>
      </c>
      <c r="N430" s="76" cm="1">
        <f t="array" ref="N430">SUM((H430:L430)/5)</f>
        <v>2511.0000000000005</v>
      </c>
      <c r="O430" s="74">
        <v>2500</v>
      </c>
      <c r="P430" s="66"/>
      <c r="Q430" s="77">
        <v>50.334000000000003</v>
      </c>
      <c r="R430" s="77">
        <v>63.256999999999998</v>
      </c>
      <c r="S430" s="77">
        <v>0.441</v>
      </c>
      <c r="T430" s="77">
        <v>0.441</v>
      </c>
      <c r="U430" s="77">
        <f t="shared" si="46"/>
        <v>1000</v>
      </c>
      <c r="V430" s="77">
        <f t="shared" si="47"/>
        <v>1500</v>
      </c>
      <c r="W430" s="66"/>
      <c r="X430" s="77" t="s">
        <v>220</v>
      </c>
      <c r="Y430" s="77" t="s">
        <v>378</v>
      </c>
      <c r="Z430" s="79">
        <f>SUM(27.47328+25.04396+25.36365)/3</f>
        <v>25.960296666666665</v>
      </c>
      <c r="AA430" s="80">
        <f t="shared" si="52"/>
        <v>42.834489499999997</v>
      </c>
      <c r="AB430" s="66"/>
      <c r="AC430" s="81">
        <v>365</v>
      </c>
      <c r="AD430" s="82">
        <f t="shared" si="48"/>
        <v>115.7603</v>
      </c>
      <c r="AE430" s="82">
        <f t="shared" si="49"/>
        <v>126.64049999999999</v>
      </c>
      <c r="AF430" s="82">
        <f t="shared" si="50"/>
        <v>259.60000000000002</v>
      </c>
      <c r="AG430" s="82">
        <f t="shared" si="50"/>
        <v>642.52</v>
      </c>
      <c r="AH430" s="114"/>
      <c r="AI430" s="114"/>
      <c r="AJ430" s="83">
        <f t="shared" si="51"/>
        <v>1144.5208</v>
      </c>
      <c r="AK430" s="82"/>
      <c r="AL430" s="84"/>
      <c r="AM430" s="66"/>
    </row>
    <row r="431" spans="3:39" ht="90" x14ac:dyDescent="0.3">
      <c r="C431" s="41" t="s">
        <v>699</v>
      </c>
      <c r="D431" s="41" t="s">
        <v>124</v>
      </c>
      <c r="E431" s="42" t="s">
        <v>88</v>
      </c>
      <c r="G431" s="66"/>
      <c r="H431" s="74">
        <v>4486</v>
      </c>
      <c r="I431" s="74">
        <v>3830</v>
      </c>
      <c r="J431" s="74">
        <v>5446</v>
      </c>
      <c r="K431" s="74">
        <v>5226</v>
      </c>
      <c r="L431" s="74">
        <v>3913</v>
      </c>
      <c r="M431" s="74">
        <v>1971</v>
      </c>
      <c r="N431" s="76" cm="1">
        <f t="array" ref="N431">SUM((H431:L431)/5)</f>
        <v>4580.2000000000007</v>
      </c>
      <c r="O431" s="74">
        <v>4580</v>
      </c>
      <c r="P431" s="66"/>
      <c r="Q431" s="77">
        <v>59.098999999999997</v>
      </c>
      <c r="R431" s="77">
        <v>88.853999999999999</v>
      </c>
      <c r="S431" s="77">
        <v>0.441</v>
      </c>
      <c r="T431" s="77">
        <v>0.441</v>
      </c>
      <c r="U431" s="77">
        <f t="shared" si="46"/>
        <v>1832</v>
      </c>
      <c r="V431" s="77">
        <f t="shared" si="47"/>
        <v>2748</v>
      </c>
      <c r="W431" s="66"/>
      <c r="X431" s="77" t="s">
        <v>376</v>
      </c>
      <c r="Y431" s="77" t="s">
        <v>379</v>
      </c>
      <c r="Z431" s="79">
        <f>SUM(27.48301+25.0536+25.37268)/3</f>
        <v>25.969763333333333</v>
      </c>
      <c r="AA431" s="80">
        <f t="shared" si="52"/>
        <v>42.850109500000002</v>
      </c>
      <c r="AB431" s="66"/>
      <c r="AC431" s="81">
        <v>365</v>
      </c>
      <c r="AD431" s="82">
        <f t="shared" si="48"/>
        <v>162.6028</v>
      </c>
      <c r="AE431" s="82">
        <f t="shared" si="49"/>
        <v>177.88569999999999</v>
      </c>
      <c r="AF431" s="82">
        <f t="shared" si="50"/>
        <v>475.77</v>
      </c>
      <c r="AG431" s="82">
        <f t="shared" si="50"/>
        <v>1177.52</v>
      </c>
      <c r="AH431" s="114"/>
      <c r="AI431" s="114"/>
      <c r="AJ431" s="83">
        <f t="shared" si="51"/>
        <v>1993.7784999999999</v>
      </c>
      <c r="AK431" s="82"/>
      <c r="AL431" s="84"/>
      <c r="AM431" s="66"/>
    </row>
    <row r="432" spans="3:39" ht="90" x14ac:dyDescent="0.3">
      <c r="C432" s="41" t="s">
        <v>699</v>
      </c>
      <c r="D432" s="41" t="s">
        <v>124</v>
      </c>
      <c r="E432" s="42" t="s">
        <v>88</v>
      </c>
      <c r="G432" s="66"/>
      <c r="H432" s="74">
        <v>5441</v>
      </c>
      <c r="I432" s="74">
        <v>5649</v>
      </c>
      <c r="J432" s="74">
        <v>5528</v>
      </c>
      <c r="K432" s="74">
        <v>5661</v>
      </c>
      <c r="L432" s="74">
        <v>4371</v>
      </c>
      <c r="M432" s="74">
        <v>294</v>
      </c>
      <c r="N432" s="76" cm="1">
        <f t="array" ref="N432">SUM((H432:L432)/5)</f>
        <v>5330</v>
      </c>
      <c r="O432" s="74">
        <v>5330</v>
      </c>
      <c r="P432" s="66"/>
      <c r="Q432" s="77">
        <v>132.286</v>
      </c>
      <c r="R432" s="77">
        <v>303.38200000000001</v>
      </c>
      <c r="S432" s="77">
        <v>0.441</v>
      </c>
      <c r="T432" s="77">
        <v>0.441</v>
      </c>
      <c r="U432" s="77">
        <f t="shared" si="46"/>
        <v>2132</v>
      </c>
      <c r="V432" s="77">
        <f t="shared" si="47"/>
        <v>3198</v>
      </c>
      <c r="W432" s="66"/>
      <c r="X432" s="77" t="s">
        <v>376</v>
      </c>
      <c r="Y432" s="77" t="s">
        <v>380</v>
      </c>
      <c r="Z432" s="79">
        <f>SUM(27.48351+25.05391+25.37289)/3</f>
        <v>25.970103333333331</v>
      </c>
      <c r="AA432" s="80">
        <f t="shared" si="52"/>
        <v>42.850670499999993</v>
      </c>
      <c r="AB432" s="66"/>
      <c r="AC432" s="81">
        <v>365</v>
      </c>
      <c r="AD432" s="82">
        <f t="shared" si="48"/>
        <v>555.18910000000005</v>
      </c>
      <c r="AE432" s="82">
        <f t="shared" si="49"/>
        <v>607.37080000000003</v>
      </c>
      <c r="AF432" s="82">
        <f t="shared" si="50"/>
        <v>553.67999999999995</v>
      </c>
      <c r="AG432" s="82">
        <f t="shared" si="50"/>
        <v>1370.36</v>
      </c>
      <c r="AH432" s="114"/>
      <c r="AI432" s="114"/>
      <c r="AJ432" s="83">
        <f t="shared" si="51"/>
        <v>3086.5999000000002</v>
      </c>
      <c r="AK432" s="82"/>
      <c r="AL432" s="84"/>
      <c r="AM432" s="66"/>
    </row>
    <row r="433" spans="3:39" ht="90" x14ac:dyDescent="0.3">
      <c r="C433" s="41" t="s">
        <v>700</v>
      </c>
      <c r="D433" s="41" t="s">
        <v>124</v>
      </c>
      <c r="E433" s="42" t="s">
        <v>88</v>
      </c>
      <c r="G433" s="66"/>
      <c r="H433" s="74">
        <v>2663</v>
      </c>
      <c r="I433" s="74">
        <v>3645</v>
      </c>
      <c r="J433" s="74">
        <v>11869</v>
      </c>
      <c r="K433" s="74">
        <v>8700</v>
      </c>
      <c r="L433" s="74">
        <v>4108</v>
      </c>
      <c r="M433" s="74">
        <v>2537</v>
      </c>
      <c r="N433" s="76" cm="1">
        <f t="array" ref="N433">SUM((H433:L433)/5)</f>
        <v>6197</v>
      </c>
      <c r="O433" s="74">
        <v>6180</v>
      </c>
      <c r="P433" s="66"/>
      <c r="Q433" s="77">
        <v>75.238</v>
      </c>
      <c r="R433" s="77">
        <v>135.40899999999999</v>
      </c>
      <c r="S433" s="77">
        <v>0.441</v>
      </c>
      <c r="T433" s="77">
        <v>0.441</v>
      </c>
      <c r="U433" s="77">
        <f t="shared" si="46"/>
        <v>2472</v>
      </c>
      <c r="V433" s="77">
        <f t="shared" si="47"/>
        <v>3708</v>
      </c>
      <c r="W433" s="66"/>
      <c r="X433" s="77" t="s">
        <v>381</v>
      </c>
      <c r="Y433" s="77" t="s">
        <v>382</v>
      </c>
      <c r="Z433" s="79">
        <f>SUM(27.65534+25.22568+25.54466)/3</f>
        <v>26.141893333333332</v>
      </c>
      <c r="AA433" s="80">
        <f t="shared" si="52"/>
        <v>43.134124</v>
      </c>
      <c r="AB433" s="66"/>
      <c r="AC433" s="81">
        <v>365</v>
      </c>
      <c r="AD433" s="82">
        <f t="shared" si="48"/>
        <v>247.79849999999999</v>
      </c>
      <c r="AE433" s="82">
        <f t="shared" si="49"/>
        <v>271.08879999999999</v>
      </c>
      <c r="AF433" s="82">
        <f t="shared" si="50"/>
        <v>646.23</v>
      </c>
      <c r="AG433" s="82">
        <f t="shared" si="50"/>
        <v>1599.41</v>
      </c>
      <c r="AH433" s="114"/>
      <c r="AI433" s="114"/>
      <c r="AJ433" s="83">
        <f t="shared" si="51"/>
        <v>2764.5272999999997</v>
      </c>
      <c r="AK433" s="82"/>
      <c r="AL433" s="84"/>
      <c r="AM433" s="66"/>
    </row>
    <row r="434" spans="3:39" ht="90" x14ac:dyDescent="0.3">
      <c r="C434" s="41" t="s">
        <v>700</v>
      </c>
      <c r="D434" s="41" t="s">
        <v>124</v>
      </c>
      <c r="E434" s="42" t="s">
        <v>88</v>
      </c>
      <c r="G434" s="66"/>
      <c r="H434" s="74">
        <v>4174</v>
      </c>
      <c r="I434" s="74">
        <v>4369</v>
      </c>
      <c r="J434" s="74">
        <v>4059</v>
      </c>
      <c r="K434" s="74">
        <v>3472</v>
      </c>
      <c r="L434" s="74">
        <v>2800</v>
      </c>
      <c r="M434" s="74">
        <v>1884</v>
      </c>
      <c r="N434" s="76" cm="1">
        <f t="array" ref="N434">SUM((H434:L434)/5)</f>
        <v>3774.7999999999997</v>
      </c>
      <c r="O434" s="74">
        <v>3775</v>
      </c>
      <c r="P434" s="66"/>
      <c r="Q434" s="77">
        <v>59.098999999999997</v>
      </c>
      <c r="R434" s="77">
        <v>88.853999999999999</v>
      </c>
      <c r="S434" s="77">
        <v>0.441</v>
      </c>
      <c r="T434" s="77">
        <v>0.441</v>
      </c>
      <c r="U434" s="77">
        <f t="shared" ref="U434:U454" si="53">IF(E434="Gas",O434*R429,O434*$R$4)</f>
        <v>1510</v>
      </c>
      <c r="V434" s="77">
        <f t="shared" ref="V434:V454" si="54">IF(E434="Gas",O434*T429,O434*$T$4)</f>
        <v>2265</v>
      </c>
      <c r="W434" s="66"/>
      <c r="X434" s="77" t="s">
        <v>376</v>
      </c>
      <c r="Y434" s="77" t="s">
        <v>383</v>
      </c>
      <c r="Z434" s="79">
        <f>SUM(27.47848+25.04882+25.36768)/3</f>
        <v>25.964993333333336</v>
      </c>
      <c r="AA434" s="80">
        <f t="shared" si="52"/>
        <v>42.842239000000006</v>
      </c>
      <c r="AB434" s="66"/>
      <c r="AC434" s="81">
        <v>365</v>
      </c>
      <c r="AD434" s="82">
        <f t="shared" ref="AD434:AD454" si="55">ROUND(R434*183,2)/100</f>
        <v>162.6028</v>
      </c>
      <c r="AE434" s="82">
        <f t="shared" ref="AE434:AE454" si="56">ROUND((R434+R434*$AE$4)*(365-183),2)/100</f>
        <v>177.88569999999999</v>
      </c>
      <c r="AF434" s="82">
        <f t="shared" ref="AF434:AG454" si="57">ROUND((U434*Z434)/100,2)</f>
        <v>392.07</v>
      </c>
      <c r="AG434" s="82">
        <f t="shared" si="57"/>
        <v>970.38</v>
      </c>
      <c r="AH434" s="114"/>
      <c r="AI434" s="114"/>
      <c r="AJ434" s="83">
        <f t="shared" ref="AJ434:AJ454" si="58">SUM(AD434:AG434)</f>
        <v>1702.9385</v>
      </c>
      <c r="AK434" s="82"/>
      <c r="AL434" s="84"/>
      <c r="AM434" s="66"/>
    </row>
    <row r="435" spans="3:39" ht="75" x14ac:dyDescent="0.3">
      <c r="C435" s="41" t="s">
        <v>700</v>
      </c>
      <c r="D435" s="41" t="s">
        <v>124</v>
      </c>
      <c r="E435" s="42" t="s">
        <v>88</v>
      </c>
      <c r="G435" s="66"/>
      <c r="H435" s="74">
        <v>7415</v>
      </c>
      <c r="I435" s="74">
        <v>7609</v>
      </c>
      <c r="J435" s="74">
        <v>8517</v>
      </c>
      <c r="K435" s="74">
        <v>8494</v>
      </c>
      <c r="L435" s="74">
        <v>6589</v>
      </c>
      <c r="M435" s="74">
        <v>4274</v>
      </c>
      <c r="N435" s="76" cm="1">
        <f t="array" ref="N435">SUM((H435:L435)/5)</f>
        <v>7724.8000000000011</v>
      </c>
      <c r="O435" s="74">
        <v>7725</v>
      </c>
      <c r="P435" s="66"/>
      <c r="Q435" s="77">
        <v>59.098999999999997</v>
      </c>
      <c r="R435" s="77">
        <v>88.853999999999999</v>
      </c>
      <c r="S435" s="77">
        <v>0.441</v>
      </c>
      <c r="T435" s="77">
        <v>0.441</v>
      </c>
      <c r="U435" s="77">
        <f t="shared" si="53"/>
        <v>3090</v>
      </c>
      <c r="V435" s="77">
        <f t="shared" si="54"/>
        <v>4635</v>
      </c>
      <c r="W435" s="66"/>
      <c r="X435" s="77" t="s">
        <v>376</v>
      </c>
      <c r="Y435" s="77" t="s">
        <v>384</v>
      </c>
      <c r="Z435" s="79">
        <f>SUM(27.4775+25.04815+25.36726)/3</f>
        <v>25.964303333333334</v>
      </c>
      <c r="AA435" s="80">
        <f t="shared" si="52"/>
        <v>42.841100499999996</v>
      </c>
      <c r="AB435" s="66"/>
      <c r="AC435" s="81">
        <v>365</v>
      </c>
      <c r="AD435" s="82">
        <f t="shared" si="55"/>
        <v>162.6028</v>
      </c>
      <c r="AE435" s="82">
        <f t="shared" si="56"/>
        <v>177.88569999999999</v>
      </c>
      <c r="AF435" s="82">
        <f t="shared" si="57"/>
        <v>802.3</v>
      </c>
      <c r="AG435" s="82">
        <f t="shared" si="57"/>
        <v>1985.69</v>
      </c>
      <c r="AH435" s="114"/>
      <c r="AI435" s="114"/>
      <c r="AJ435" s="83">
        <f t="shared" si="58"/>
        <v>3128.4785000000002</v>
      </c>
      <c r="AK435" s="82"/>
      <c r="AL435" s="84"/>
      <c r="AM435" s="66"/>
    </row>
    <row r="436" spans="3:39" ht="60" x14ac:dyDescent="0.3">
      <c r="C436" s="41" t="s">
        <v>701</v>
      </c>
      <c r="D436" s="41" t="s">
        <v>124</v>
      </c>
      <c r="E436" s="42" t="s">
        <v>88</v>
      </c>
      <c r="G436" s="66"/>
      <c r="H436" s="74">
        <v>12638</v>
      </c>
      <c r="I436" s="74">
        <v>12203</v>
      </c>
      <c r="J436" s="74">
        <v>8826</v>
      </c>
      <c r="K436" s="74">
        <v>11924</v>
      </c>
      <c r="L436" s="74">
        <v>8404</v>
      </c>
      <c r="M436" s="74">
        <v>4805</v>
      </c>
      <c r="N436" s="76" cm="1">
        <f t="array" ref="N436">SUM((H436:L436)/5)</f>
        <v>10799</v>
      </c>
      <c r="O436" s="74">
        <v>10800</v>
      </c>
      <c r="P436" s="66"/>
      <c r="Q436" s="77">
        <v>59.098999999999997</v>
      </c>
      <c r="R436" s="77">
        <v>88.853999999999999</v>
      </c>
      <c r="S436" s="77">
        <v>0.441</v>
      </c>
      <c r="T436" s="77">
        <v>0.441</v>
      </c>
      <c r="U436" s="77">
        <f t="shared" si="53"/>
        <v>4320</v>
      </c>
      <c r="V436" s="77">
        <f t="shared" si="54"/>
        <v>6480</v>
      </c>
      <c r="W436" s="66"/>
      <c r="X436" s="77" t="s">
        <v>386</v>
      </c>
      <c r="Y436" s="77" t="s">
        <v>387</v>
      </c>
      <c r="Z436" s="79">
        <f>SUM(26.73933+25.10818)/2</f>
        <v>25.923755</v>
      </c>
      <c r="AA436" s="80">
        <f t="shared" si="52"/>
        <v>42.774195750000004</v>
      </c>
      <c r="AB436" s="66"/>
      <c r="AC436" s="81">
        <v>365</v>
      </c>
      <c r="AD436" s="82">
        <f t="shared" si="55"/>
        <v>162.6028</v>
      </c>
      <c r="AE436" s="82">
        <f t="shared" si="56"/>
        <v>177.88569999999999</v>
      </c>
      <c r="AF436" s="82">
        <f t="shared" si="57"/>
        <v>1119.9100000000001</v>
      </c>
      <c r="AG436" s="82">
        <f t="shared" si="57"/>
        <v>2771.77</v>
      </c>
      <c r="AH436" s="114"/>
      <c r="AI436" s="114"/>
      <c r="AJ436" s="83">
        <f t="shared" si="58"/>
        <v>4232.1684999999998</v>
      </c>
      <c r="AK436" s="82"/>
      <c r="AL436" s="84"/>
      <c r="AM436" s="66"/>
    </row>
    <row r="437" spans="3:39" ht="60" x14ac:dyDescent="0.3">
      <c r="C437" s="41" t="s">
        <v>702</v>
      </c>
      <c r="D437" s="41" t="s">
        <v>124</v>
      </c>
      <c r="E437" s="42" t="s">
        <v>88</v>
      </c>
      <c r="G437" s="66"/>
      <c r="H437" s="74">
        <v>13882</v>
      </c>
      <c r="I437" s="74">
        <v>15673</v>
      </c>
      <c r="J437" s="74">
        <v>11585</v>
      </c>
      <c r="K437" s="74">
        <v>18608</v>
      </c>
      <c r="L437" s="74">
        <v>12153</v>
      </c>
      <c r="M437" s="74">
        <v>7807</v>
      </c>
      <c r="N437" s="76" cm="1">
        <f t="array" ref="N437">SUM((H437:L437)/5)</f>
        <v>14380.2</v>
      </c>
      <c r="O437" s="74">
        <v>14380</v>
      </c>
      <c r="P437" s="66"/>
      <c r="Q437" s="77">
        <v>75.235799999999998</v>
      </c>
      <c r="R437" s="77">
        <v>135.40899999999999</v>
      </c>
      <c r="S437" s="77">
        <v>0.441</v>
      </c>
      <c r="T437" s="77">
        <v>0.441</v>
      </c>
      <c r="U437" s="77">
        <f t="shared" si="53"/>
        <v>5752</v>
      </c>
      <c r="V437" s="77">
        <f t="shared" si="54"/>
        <v>8628</v>
      </c>
      <c r="W437" s="66"/>
      <c r="X437" s="77" t="s">
        <v>386</v>
      </c>
      <c r="Y437" s="77" t="s">
        <v>388</v>
      </c>
      <c r="Z437" s="79">
        <f>SUM(26.73538+25.10428)/2</f>
        <v>25.919829999999997</v>
      </c>
      <c r="AA437" s="80">
        <f t="shared" si="52"/>
        <v>42.767719499999998</v>
      </c>
      <c r="AB437" s="66"/>
      <c r="AC437" s="81">
        <v>365</v>
      </c>
      <c r="AD437" s="82">
        <f t="shared" si="55"/>
        <v>247.79849999999999</v>
      </c>
      <c r="AE437" s="82">
        <f t="shared" si="56"/>
        <v>271.08879999999999</v>
      </c>
      <c r="AF437" s="82">
        <f t="shared" si="57"/>
        <v>1490.91</v>
      </c>
      <c r="AG437" s="82">
        <f t="shared" si="57"/>
        <v>3690</v>
      </c>
      <c r="AH437" s="114"/>
      <c r="AI437" s="114"/>
      <c r="AJ437" s="83">
        <f t="shared" si="58"/>
        <v>5699.7973000000002</v>
      </c>
      <c r="AK437" s="82"/>
      <c r="AL437" s="84"/>
      <c r="AM437" s="66"/>
    </row>
    <row r="438" spans="3:39" ht="90" x14ac:dyDescent="0.3">
      <c r="C438" s="41" t="s">
        <v>703</v>
      </c>
      <c r="D438" s="41" t="s">
        <v>124</v>
      </c>
      <c r="E438" s="42" t="s">
        <v>88</v>
      </c>
      <c r="G438" s="66"/>
      <c r="H438" s="74">
        <v>13696</v>
      </c>
      <c r="I438" s="74">
        <v>11074</v>
      </c>
      <c r="J438" s="74">
        <v>8240</v>
      </c>
      <c r="K438" s="74">
        <v>12237</v>
      </c>
      <c r="L438" s="74">
        <v>8736</v>
      </c>
      <c r="M438" s="74">
        <v>543</v>
      </c>
      <c r="N438" s="76" cm="1">
        <f t="array" ref="N438">SUM((H438:L438)/5)</f>
        <v>10796.6</v>
      </c>
      <c r="O438" s="74">
        <v>10800</v>
      </c>
      <c r="P438" s="66"/>
      <c r="Q438" s="77">
        <v>59.098999999999997</v>
      </c>
      <c r="R438" s="77">
        <v>88.853999999999999</v>
      </c>
      <c r="S438" s="77">
        <v>0.441</v>
      </c>
      <c r="T438" s="77">
        <v>0.441</v>
      </c>
      <c r="U438" s="77">
        <f t="shared" si="53"/>
        <v>4320</v>
      </c>
      <c r="V438" s="77">
        <f t="shared" si="54"/>
        <v>6480</v>
      </c>
      <c r="W438" s="66"/>
      <c r="X438" s="77" t="s">
        <v>376</v>
      </c>
      <c r="Y438" s="77" t="s">
        <v>389</v>
      </c>
      <c r="Z438" s="79">
        <f>SUM(27.47094+25.004148+25.36054)/3</f>
        <v>25.945209333333334</v>
      </c>
      <c r="AA438" s="80">
        <f t="shared" si="52"/>
        <v>42.809595400000006</v>
      </c>
      <c r="AB438" s="66"/>
      <c r="AC438" s="81">
        <v>365</v>
      </c>
      <c r="AD438" s="82">
        <f t="shared" si="55"/>
        <v>162.6028</v>
      </c>
      <c r="AE438" s="82">
        <f t="shared" si="56"/>
        <v>177.88569999999999</v>
      </c>
      <c r="AF438" s="82">
        <f t="shared" si="57"/>
        <v>1120.83</v>
      </c>
      <c r="AG438" s="82">
        <f t="shared" si="57"/>
        <v>2774.06</v>
      </c>
      <c r="AH438" s="114"/>
      <c r="AI438" s="114"/>
      <c r="AJ438" s="83">
        <f t="shared" si="58"/>
        <v>4235.3784999999998</v>
      </c>
      <c r="AK438" s="82"/>
      <c r="AL438" s="84"/>
      <c r="AM438" s="66"/>
    </row>
    <row r="439" spans="3:39" ht="90" x14ac:dyDescent="0.3">
      <c r="C439" s="41" t="s">
        <v>704</v>
      </c>
      <c r="D439" s="41" t="s">
        <v>124</v>
      </c>
      <c r="E439" s="42" t="s">
        <v>88</v>
      </c>
      <c r="G439" s="66"/>
      <c r="H439" s="74">
        <v>9922</v>
      </c>
      <c r="I439" s="74">
        <v>8057</v>
      </c>
      <c r="J439" s="74">
        <v>7827</v>
      </c>
      <c r="K439" s="74">
        <v>56069</v>
      </c>
      <c r="L439" s="74">
        <v>12846</v>
      </c>
      <c r="M439" s="74">
        <v>7582</v>
      </c>
      <c r="N439" s="76" cm="1">
        <f t="array" ref="N439">SUM((H439:L439)/5)</f>
        <v>18944.2</v>
      </c>
      <c r="O439" s="74">
        <v>19000</v>
      </c>
      <c r="P439" s="66"/>
      <c r="Q439" s="77">
        <v>59.098999999999997</v>
      </c>
      <c r="R439" s="77">
        <v>88.853999999999999</v>
      </c>
      <c r="S439" s="77">
        <v>0.441</v>
      </c>
      <c r="T439" s="77">
        <v>0.441</v>
      </c>
      <c r="U439" s="77">
        <f t="shared" si="53"/>
        <v>7600</v>
      </c>
      <c r="V439" s="77">
        <f t="shared" si="54"/>
        <v>11400</v>
      </c>
      <c r="W439" s="66"/>
      <c r="X439" s="77" t="s">
        <v>376</v>
      </c>
      <c r="Y439" s="77" t="s">
        <v>390</v>
      </c>
      <c r="Z439" s="79">
        <f>SUM(27.66333+25.23374+25.5528)/3</f>
        <v>26.149956666666668</v>
      </c>
      <c r="AA439" s="80">
        <f t="shared" si="52"/>
        <v>43.147428500000004</v>
      </c>
      <c r="AB439" s="66"/>
      <c r="AC439" s="81">
        <v>365</v>
      </c>
      <c r="AD439" s="82">
        <f t="shared" si="55"/>
        <v>162.6028</v>
      </c>
      <c r="AE439" s="82">
        <f t="shared" si="56"/>
        <v>177.88569999999999</v>
      </c>
      <c r="AF439" s="82">
        <f t="shared" si="57"/>
        <v>1987.4</v>
      </c>
      <c r="AG439" s="82">
        <f t="shared" si="57"/>
        <v>4918.8100000000004</v>
      </c>
      <c r="AH439" s="114"/>
      <c r="AI439" s="114"/>
      <c r="AJ439" s="83">
        <f t="shared" si="58"/>
        <v>7246.6985000000004</v>
      </c>
      <c r="AK439" s="82"/>
      <c r="AL439" s="84"/>
      <c r="AM439" s="66"/>
    </row>
    <row r="440" spans="3:39" ht="90" x14ac:dyDescent="0.3">
      <c r="C440" s="41" t="s">
        <v>703</v>
      </c>
      <c r="D440" s="41" t="s">
        <v>124</v>
      </c>
      <c r="E440" s="42" t="s">
        <v>88</v>
      </c>
      <c r="G440" s="66"/>
      <c r="H440" s="74">
        <v>10195</v>
      </c>
      <c r="I440" s="74">
        <v>8971</v>
      </c>
      <c r="J440" s="74">
        <v>5389</v>
      </c>
      <c r="K440" s="74">
        <v>5116</v>
      </c>
      <c r="L440" s="74">
        <v>5891</v>
      </c>
      <c r="M440" s="74">
        <v>3154</v>
      </c>
      <c r="N440" s="76" cm="1">
        <f t="array" ref="N440">SUM((H440:L440)/5)</f>
        <v>7112.4</v>
      </c>
      <c r="O440" s="74">
        <v>7100</v>
      </c>
      <c r="P440" s="66"/>
      <c r="Q440" s="77">
        <v>59.098999999999997</v>
      </c>
      <c r="R440" s="77">
        <v>88.853999999999999</v>
      </c>
      <c r="S440" s="77">
        <v>0.441</v>
      </c>
      <c r="T440" s="77">
        <v>0.441</v>
      </c>
      <c r="U440" s="77">
        <f t="shared" si="53"/>
        <v>2840</v>
      </c>
      <c r="V440" s="77">
        <f t="shared" si="54"/>
        <v>4260</v>
      </c>
      <c r="W440" s="66"/>
      <c r="X440" s="77" t="s">
        <v>376</v>
      </c>
      <c r="Y440" s="77" t="s">
        <v>391</v>
      </c>
      <c r="Z440" s="79">
        <f>SUM(27.45196+25.02242+25.34148)/3</f>
        <v>25.93862</v>
      </c>
      <c r="AA440" s="80">
        <f t="shared" si="52"/>
        <v>42.798723000000003</v>
      </c>
      <c r="AB440" s="66"/>
      <c r="AC440" s="81">
        <v>365</v>
      </c>
      <c r="AD440" s="82">
        <f t="shared" si="55"/>
        <v>162.6028</v>
      </c>
      <c r="AE440" s="82">
        <f t="shared" si="56"/>
        <v>177.88569999999999</v>
      </c>
      <c r="AF440" s="82">
        <f t="shared" si="57"/>
        <v>736.66</v>
      </c>
      <c r="AG440" s="82">
        <f t="shared" si="57"/>
        <v>1823.23</v>
      </c>
      <c r="AH440" s="114"/>
      <c r="AI440" s="114"/>
      <c r="AJ440" s="83">
        <f t="shared" si="58"/>
        <v>2900.3784999999998</v>
      </c>
      <c r="AK440" s="82"/>
      <c r="AL440" s="84"/>
      <c r="AM440" s="66"/>
    </row>
    <row r="441" spans="3:39" ht="90" x14ac:dyDescent="0.3">
      <c r="C441" s="41" t="s">
        <v>703</v>
      </c>
      <c r="D441" s="41" t="s">
        <v>124</v>
      </c>
      <c r="E441" s="42" t="s">
        <v>88</v>
      </c>
      <c r="G441" s="66"/>
      <c r="H441" s="74">
        <v>11699</v>
      </c>
      <c r="I441" s="74">
        <v>10574</v>
      </c>
      <c r="J441" s="74">
        <v>5676</v>
      </c>
      <c r="K441" s="74">
        <v>949</v>
      </c>
      <c r="L441" s="74">
        <v>3083</v>
      </c>
      <c r="M441" s="74">
        <v>2309</v>
      </c>
      <c r="N441" s="76" cm="1">
        <f t="array" ref="N441">SUM((H441:L441)/5)</f>
        <v>6396.2000000000007</v>
      </c>
      <c r="O441" s="74">
        <v>6300</v>
      </c>
      <c r="P441" s="66"/>
      <c r="Q441" s="77">
        <v>59.098999999999997</v>
      </c>
      <c r="R441" s="77">
        <v>88.853999999999999</v>
      </c>
      <c r="S441" s="77">
        <v>0.441</v>
      </c>
      <c r="T441" s="77">
        <v>0.441</v>
      </c>
      <c r="U441" s="77">
        <f t="shared" si="53"/>
        <v>2520</v>
      </c>
      <c r="V441" s="77">
        <f t="shared" si="54"/>
        <v>3780</v>
      </c>
      <c r="W441" s="66"/>
      <c r="X441" s="77" t="s">
        <v>376</v>
      </c>
      <c r="Y441" s="77" t="s">
        <v>392</v>
      </c>
      <c r="Z441" s="79">
        <f>SUM(27.47851+25.04875+25.36784)/3</f>
        <v>25.965033333333334</v>
      </c>
      <c r="AA441" s="80">
        <f t="shared" si="52"/>
        <v>42.842305000000003</v>
      </c>
      <c r="AB441" s="66"/>
      <c r="AC441" s="81">
        <v>365</v>
      </c>
      <c r="AD441" s="82">
        <f t="shared" si="55"/>
        <v>162.6028</v>
      </c>
      <c r="AE441" s="82">
        <f t="shared" si="56"/>
        <v>177.88569999999999</v>
      </c>
      <c r="AF441" s="82">
        <f t="shared" si="57"/>
        <v>654.32000000000005</v>
      </c>
      <c r="AG441" s="82">
        <f t="shared" si="57"/>
        <v>1619.44</v>
      </c>
      <c r="AH441" s="114"/>
      <c r="AI441" s="114"/>
      <c r="AJ441" s="83">
        <f t="shared" si="58"/>
        <v>2614.2485000000001</v>
      </c>
      <c r="AK441" s="82"/>
      <c r="AL441" s="84"/>
      <c r="AM441" s="66"/>
    </row>
    <row r="442" spans="3:39" ht="90" x14ac:dyDescent="0.3">
      <c r="C442" s="41" t="s">
        <v>705</v>
      </c>
      <c r="D442" s="41" t="s">
        <v>124</v>
      </c>
      <c r="E442" s="42" t="s">
        <v>88</v>
      </c>
      <c r="G442" s="66"/>
      <c r="H442" s="74">
        <v>13635</v>
      </c>
      <c r="I442" s="74">
        <v>14036</v>
      </c>
      <c r="J442" s="74">
        <v>12761</v>
      </c>
      <c r="K442" s="74">
        <v>15240</v>
      </c>
      <c r="L442" s="74">
        <v>10531</v>
      </c>
      <c r="M442" s="74">
        <v>3778</v>
      </c>
      <c r="N442" s="76" cm="1">
        <f t="array" ref="N442">SUM((H442:L442)/5)</f>
        <v>13240.599999999999</v>
      </c>
      <c r="O442" s="74">
        <v>13240</v>
      </c>
      <c r="P442" s="66"/>
      <c r="Q442" s="77">
        <v>72.234999999999999</v>
      </c>
      <c r="R442" s="77">
        <v>135.40899999999999</v>
      </c>
      <c r="S442" s="77">
        <v>0.441</v>
      </c>
      <c r="T442" s="77">
        <v>0.441</v>
      </c>
      <c r="U442" s="77">
        <f t="shared" si="53"/>
        <v>5296</v>
      </c>
      <c r="V442" s="77">
        <f t="shared" si="54"/>
        <v>7944</v>
      </c>
      <c r="W442" s="66"/>
      <c r="X442" s="77" t="s">
        <v>376</v>
      </c>
      <c r="Y442" s="77" t="s">
        <v>393</v>
      </c>
      <c r="Z442" s="79">
        <f>SUM(27.4641+25.03459+25.35369)/3</f>
        <v>25.950793333333333</v>
      </c>
      <c r="AA442" s="80">
        <f t="shared" si="52"/>
        <v>42.818809000000002</v>
      </c>
      <c r="AB442" s="66"/>
      <c r="AC442" s="81">
        <v>365</v>
      </c>
      <c r="AD442" s="82">
        <f t="shared" si="55"/>
        <v>247.79849999999999</v>
      </c>
      <c r="AE442" s="82">
        <f t="shared" si="56"/>
        <v>271.08879999999999</v>
      </c>
      <c r="AF442" s="82">
        <f t="shared" si="57"/>
        <v>1374.35</v>
      </c>
      <c r="AG442" s="82">
        <f t="shared" si="57"/>
        <v>3401.53</v>
      </c>
      <c r="AH442" s="114"/>
      <c r="AI442" s="114"/>
      <c r="AJ442" s="83">
        <f t="shared" si="58"/>
        <v>5294.7672999999995</v>
      </c>
      <c r="AK442" s="82"/>
      <c r="AL442" s="84"/>
      <c r="AM442" s="66"/>
    </row>
    <row r="443" spans="3:39" ht="90" x14ac:dyDescent="0.3">
      <c r="C443" s="41" t="s">
        <v>706</v>
      </c>
      <c r="D443" s="41" t="s">
        <v>124</v>
      </c>
      <c r="E443" s="42" t="s">
        <v>88</v>
      </c>
      <c r="G443" s="66"/>
      <c r="H443" s="74">
        <v>15980</v>
      </c>
      <c r="I443" s="74">
        <v>14722</v>
      </c>
      <c r="J443" s="74">
        <v>9977</v>
      </c>
      <c r="K443" s="74">
        <v>10153</v>
      </c>
      <c r="L443" s="74">
        <v>6088</v>
      </c>
      <c r="M443" s="74">
        <v>309</v>
      </c>
      <c r="N443" s="76" cm="1">
        <f t="array" ref="N443">SUM((H443:L443)/5)</f>
        <v>11384</v>
      </c>
      <c r="O443" s="74">
        <v>11000</v>
      </c>
      <c r="P443" s="66"/>
      <c r="Q443" s="77">
        <v>59.098999999999997</v>
      </c>
      <c r="R443" s="77">
        <v>88.853999999999999</v>
      </c>
      <c r="S443" s="77">
        <v>0.441</v>
      </c>
      <c r="T443" s="77">
        <v>0.441</v>
      </c>
      <c r="U443" s="77">
        <f t="shared" si="53"/>
        <v>4400</v>
      </c>
      <c r="V443" s="77">
        <f t="shared" si="54"/>
        <v>6600</v>
      </c>
      <c r="W443" s="66"/>
      <c r="X443" s="77" t="s">
        <v>376</v>
      </c>
      <c r="Y443" s="77" t="s">
        <v>394</v>
      </c>
      <c r="Z443" s="79">
        <f>SUM(27.45653+25.02686+25.34587)/3</f>
        <v>25.94308666666667</v>
      </c>
      <c r="AA443" s="80">
        <f t="shared" si="52"/>
        <v>42.806093000000004</v>
      </c>
      <c r="AB443" s="66"/>
      <c r="AC443" s="81">
        <v>365</v>
      </c>
      <c r="AD443" s="82">
        <f t="shared" si="55"/>
        <v>162.6028</v>
      </c>
      <c r="AE443" s="82">
        <f t="shared" si="56"/>
        <v>177.88569999999999</v>
      </c>
      <c r="AF443" s="82">
        <f t="shared" si="57"/>
        <v>1141.5</v>
      </c>
      <c r="AG443" s="82">
        <f t="shared" si="57"/>
        <v>2825.2</v>
      </c>
      <c r="AH443" s="114"/>
      <c r="AI443" s="114"/>
      <c r="AJ443" s="83">
        <f t="shared" si="58"/>
        <v>4307.1885000000002</v>
      </c>
      <c r="AK443" s="82"/>
      <c r="AL443" s="84"/>
      <c r="AM443" s="66"/>
    </row>
    <row r="444" spans="3:39" ht="60" x14ac:dyDescent="0.3">
      <c r="C444" s="41" t="s">
        <v>703</v>
      </c>
      <c r="D444" s="41" t="s">
        <v>124</v>
      </c>
      <c r="E444" s="42" t="s">
        <v>88</v>
      </c>
      <c r="G444" s="66"/>
      <c r="H444" s="74">
        <v>11332</v>
      </c>
      <c r="I444" s="74">
        <v>11741</v>
      </c>
      <c r="J444" s="74">
        <v>6540</v>
      </c>
      <c r="K444" s="74">
        <v>6416</v>
      </c>
      <c r="L444" s="74">
        <v>5281</v>
      </c>
      <c r="M444" s="74">
        <v>3314</v>
      </c>
      <c r="N444" s="76" cm="1">
        <f t="array" ref="N444">SUM((H444:L444)/5)</f>
        <v>8262</v>
      </c>
      <c r="O444" s="74">
        <v>8200</v>
      </c>
      <c r="P444" s="66"/>
      <c r="Q444" s="77">
        <v>59.098999999999997</v>
      </c>
      <c r="R444" s="77">
        <v>88.853999999999999</v>
      </c>
      <c r="S444" s="77">
        <v>0.441</v>
      </c>
      <c r="T444" s="77">
        <v>0.441</v>
      </c>
      <c r="U444" s="77">
        <f t="shared" si="53"/>
        <v>3280</v>
      </c>
      <c r="V444" s="77">
        <f t="shared" si="54"/>
        <v>4920</v>
      </c>
      <c r="W444" s="66"/>
      <c r="X444" s="77" t="s">
        <v>386</v>
      </c>
      <c r="Y444" s="77" t="s">
        <v>395</v>
      </c>
      <c r="Z444" s="79">
        <f>SUM(26.71722+25.08606)/2</f>
        <v>25.90164</v>
      </c>
      <c r="AA444" s="80">
        <f t="shared" si="52"/>
        <v>42.737706000000003</v>
      </c>
      <c r="AB444" s="66"/>
      <c r="AC444" s="81">
        <v>365</v>
      </c>
      <c r="AD444" s="82">
        <f t="shared" si="55"/>
        <v>162.6028</v>
      </c>
      <c r="AE444" s="82">
        <f t="shared" si="56"/>
        <v>177.88569999999999</v>
      </c>
      <c r="AF444" s="82">
        <f t="shared" si="57"/>
        <v>849.57</v>
      </c>
      <c r="AG444" s="82">
        <f t="shared" si="57"/>
        <v>2102.6999999999998</v>
      </c>
      <c r="AH444" s="114"/>
      <c r="AI444" s="114"/>
      <c r="AJ444" s="83">
        <f t="shared" si="58"/>
        <v>3292.7584999999999</v>
      </c>
      <c r="AK444" s="82"/>
      <c r="AL444" s="84"/>
      <c r="AM444" s="66"/>
    </row>
    <row r="445" spans="3:39" ht="90" x14ac:dyDescent="0.3">
      <c r="C445" s="41" t="s">
        <v>703</v>
      </c>
      <c r="D445" s="41" t="s">
        <v>124</v>
      </c>
      <c r="E445" s="42" t="s">
        <v>88</v>
      </c>
      <c r="G445" s="66"/>
      <c r="H445" s="74">
        <v>11669</v>
      </c>
      <c r="I445" s="74">
        <v>11585</v>
      </c>
      <c r="J445" s="74">
        <v>8263</v>
      </c>
      <c r="K445" s="74">
        <v>8905</v>
      </c>
      <c r="L445" s="74">
        <v>6775</v>
      </c>
      <c r="M445" s="74">
        <v>4422</v>
      </c>
      <c r="N445" s="76" cm="1">
        <f t="array" ref="N445">SUM((H445:L445)/5)</f>
        <v>9439.4</v>
      </c>
      <c r="O445" s="74">
        <v>9400</v>
      </c>
      <c r="P445" s="66"/>
      <c r="Q445" s="77">
        <v>59.098999999999997</v>
      </c>
      <c r="R445" s="77">
        <v>88.853999999999999</v>
      </c>
      <c r="S445" s="77">
        <v>0.441</v>
      </c>
      <c r="T445" s="77">
        <v>0.441</v>
      </c>
      <c r="U445" s="77">
        <f t="shared" si="53"/>
        <v>3760</v>
      </c>
      <c r="V445" s="77">
        <f t="shared" si="54"/>
        <v>5640</v>
      </c>
      <c r="W445" s="66"/>
      <c r="X445" s="77" t="s">
        <v>376</v>
      </c>
      <c r="Y445" s="77" t="s">
        <v>396</v>
      </c>
      <c r="Z445" s="79">
        <f>SUM(27.48835+25.05867+25.37786)/3</f>
        <v>25.974959999999999</v>
      </c>
      <c r="AA445" s="80">
        <f t="shared" si="52"/>
        <v>42.858683999999997</v>
      </c>
      <c r="AB445" s="66"/>
      <c r="AC445" s="81">
        <v>365</v>
      </c>
      <c r="AD445" s="82">
        <f t="shared" si="55"/>
        <v>162.6028</v>
      </c>
      <c r="AE445" s="82">
        <f t="shared" si="56"/>
        <v>177.88569999999999</v>
      </c>
      <c r="AF445" s="82">
        <f t="shared" si="57"/>
        <v>976.66</v>
      </c>
      <c r="AG445" s="82">
        <f t="shared" si="57"/>
        <v>2417.23</v>
      </c>
      <c r="AH445" s="114"/>
      <c r="AI445" s="114"/>
      <c r="AJ445" s="83">
        <f t="shared" si="58"/>
        <v>3734.3784999999998</v>
      </c>
      <c r="AK445" s="82"/>
      <c r="AL445" s="84"/>
      <c r="AM445" s="66"/>
    </row>
    <row r="446" spans="3:39" ht="90" x14ac:dyDescent="0.3">
      <c r="C446" s="41" t="s">
        <v>705</v>
      </c>
      <c r="D446" s="41" t="s">
        <v>124</v>
      </c>
      <c r="E446" s="42" t="s">
        <v>88</v>
      </c>
      <c r="G446" s="66"/>
      <c r="H446" s="74">
        <v>16659</v>
      </c>
      <c r="I446" s="74">
        <v>18630</v>
      </c>
      <c r="J446" s="74">
        <v>16698</v>
      </c>
      <c r="K446" s="74">
        <v>20595</v>
      </c>
      <c r="L446" s="74">
        <v>14997</v>
      </c>
      <c r="M446" s="74">
        <v>10501</v>
      </c>
      <c r="N446" s="76" cm="1">
        <f t="array" ref="N446">SUM((H446:L446)/5)</f>
        <v>17515.8</v>
      </c>
      <c r="O446" s="74">
        <v>17500</v>
      </c>
      <c r="P446" s="66"/>
      <c r="Q446" s="77">
        <v>132.286</v>
      </c>
      <c r="R446" s="77">
        <v>303.38200000000001</v>
      </c>
      <c r="S446" s="77">
        <v>0.441</v>
      </c>
      <c r="T446" s="77">
        <v>0.441</v>
      </c>
      <c r="U446" s="77">
        <f t="shared" si="53"/>
        <v>7000</v>
      </c>
      <c r="V446" s="77">
        <f t="shared" si="54"/>
        <v>10500</v>
      </c>
      <c r="W446" s="66"/>
      <c r="X446" s="77" t="s">
        <v>376</v>
      </c>
      <c r="Y446" s="77" t="s">
        <v>397</v>
      </c>
      <c r="Z446" s="79">
        <f>SUM(27.47187+25.04235+25.36151)/3</f>
        <v>25.958576666666662</v>
      </c>
      <c r="AA446" s="80">
        <f t="shared" si="52"/>
        <v>42.831651499999992</v>
      </c>
      <c r="AB446" s="66"/>
      <c r="AC446" s="81">
        <v>365</v>
      </c>
      <c r="AD446" s="82">
        <f t="shared" si="55"/>
        <v>555.18910000000005</v>
      </c>
      <c r="AE446" s="82">
        <f t="shared" si="56"/>
        <v>607.37080000000003</v>
      </c>
      <c r="AF446" s="82">
        <f t="shared" si="57"/>
        <v>1817.1</v>
      </c>
      <c r="AG446" s="82">
        <f t="shared" si="57"/>
        <v>4497.32</v>
      </c>
      <c r="AH446" s="114"/>
      <c r="AI446" s="114"/>
      <c r="AJ446" s="83">
        <f t="shared" si="58"/>
        <v>7476.9799000000003</v>
      </c>
      <c r="AK446" s="82"/>
      <c r="AL446" s="84"/>
      <c r="AM446" s="66"/>
    </row>
    <row r="447" spans="3:39" ht="15.6" x14ac:dyDescent="0.3">
      <c r="C447" s="41" t="s">
        <v>707</v>
      </c>
      <c r="D447" s="41" t="s">
        <v>124</v>
      </c>
      <c r="E447" s="42" t="s">
        <v>88</v>
      </c>
      <c r="G447" s="66"/>
      <c r="H447" s="74">
        <v>7592</v>
      </c>
      <c r="I447" s="74">
        <v>6970</v>
      </c>
      <c r="J447" s="74">
        <v>6807</v>
      </c>
      <c r="K447" s="74">
        <v>6749</v>
      </c>
      <c r="L447" s="74">
        <v>4993</v>
      </c>
      <c r="M447" s="74">
        <v>3361</v>
      </c>
      <c r="N447" s="76" cm="1">
        <f t="array" ref="N447">SUM((H447:L447)/5)</f>
        <v>6622.2000000000007</v>
      </c>
      <c r="O447" s="74">
        <v>6620</v>
      </c>
      <c r="P447" s="66"/>
      <c r="Q447" s="77">
        <v>58.593000000000004</v>
      </c>
      <c r="R447" s="77">
        <v>88.853999999999999</v>
      </c>
      <c r="S447" s="77">
        <v>0.441</v>
      </c>
      <c r="T447" s="77">
        <v>0.441</v>
      </c>
      <c r="U447" s="77">
        <f t="shared" si="53"/>
        <v>2648</v>
      </c>
      <c r="V447" s="77">
        <f t="shared" si="54"/>
        <v>3972</v>
      </c>
      <c r="W447" s="66"/>
      <c r="X447" s="77">
        <v>15.061999999999999</v>
      </c>
      <c r="Y447" s="77">
        <v>26.50628</v>
      </c>
      <c r="Z447" s="79">
        <v>26.50628</v>
      </c>
      <c r="AA447" s="80">
        <f t="shared" si="52"/>
        <v>43.735362000000002</v>
      </c>
      <c r="AB447" s="66"/>
      <c r="AC447" s="81">
        <v>365</v>
      </c>
      <c r="AD447" s="82">
        <f t="shared" si="55"/>
        <v>162.6028</v>
      </c>
      <c r="AE447" s="82">
        <f t="shared" si="56"/>
        <v>177.88569999999999</v>
      </c>
      <c r="AF447" s="82">
        <f t="shared" si="57"/>
        <v>701.89</v>
      </c>
      <c r="AG447" s="82">
        <f t="shared" si="57"/>
        <v>1737.17</v>
      </c>
      <c r="AH447" s="114"/>
      <c r="AI447" s="114"/>
      <c r="AJ447" s="83">
        <f t="shared" si="58"/>
        <v>2779.5484999999999</v>
      </c>
      <c r="AK447" s="82"/>
      <c r="AL447" s="84"/>
      <c r="AM447" s="66"/>
    </row>
    <row r="448" spans="3:39" ht="90" x14ac:dyDescent="0.3">
      <c r="C448" s="41" t="s">
        <v>707</v>
      </c>
      <c r="D448" s="41" t="s">
        <v>124</v>
      </c>
      <c r="E448" s="42" t="s">
        <v>88</v>
      </c>
      <c r="G448" s="66"/>
      <c r="H448" s="74">
        <v>5054</v>
      </c>
      <c r="I448" s="74">
        <v>5100</v>
      </c>
      <c r="J448" s="74">
        <v>4987</v>
      </c>
      <c r="K448" s="74">
        <v>4982</v>
      </c>
      <c r="L448" s="74">
        <v>3721</v>
      </c>
      <c r="M448" s="74">
        <v>2358</v>
      </c>
      <c r="N448" s="76" cm="1">
        <f t="array" ref="N448">SUM((H448:L448)/5)</f>
        <v>4768.8</v>
      </c>
      <c r="O448" s="74">
        <v>4760</v>
      </c>
      <c r="P448" s="66"/>
      <c r="Q448" s="77">
        <v>59.098999999999997</v>
      </c>
      <c r="R448" s="77">
        <v>88.853999999999999</v>
      </c>
      <c r="S448" s="77">
        <v>0.441</v>
      </c>
      <c r="T448" s="77">
        <v>0.441</v>
      </c>
      <c r="U448" s="77">
        <f t="shared" si="53"/>
        <v>1904</v>
      </c>
      <c r="V448" s="77">
        <f t="shared" si="54"/>
        <v>2856</v>
      </c>
      <c r="W448" s="66"/>
      <c r="X448" s="77" t="s">
        <v>376</v>
      </c>
      <c r="Y448" s="77" t="s">
        <v>398</v>
      </c>
      <c r="Z448" s="79">
        <f>SUM(27.47589+25.046312+25.36527)/3</f>
        <v>25.962490666666667</v>
      </c>
      <c r="AA448" s="80">
        <f t="shared" si="52"/>
        <v>42.838109600000003</v>
      </c>
      <c r="AB448" s="66"/>
      <c r="AC448" s="81">
        <v>365</v>
      </c>
      <c r="AD448" s="82">
        <f t="shared" si="55"/>
        <v>162.6028</v>
      </c>
      <c r="AE448" s="82">
        <f t="shared" si="56"/>
        <v>177.88569999999999</v>
      </c>
      <c r="AF448" s="82">
        <f t="shared" si="57"/>
        <v>494.33</v>
      </c>
      <c r="AG448" s="82">
        <f t="shared" si="57"/>
        <v>1223.46</v>
      </c>
      <c r="AH448" s="114"/>
      <c r="AI448" s="114"/>
      <c r="AJ448" s="83">
        <f t="shared" si="58"/>
        <v>2058.2784999999999</v>
      </c>
      <c r="AK448" s="82"/>
      <c r="AL448" s="84"/>
      <c r="AM448" s="66"/>
    </row>
    <row r="449" spans="1:39" ht="90" x14ac:dyDescent="0.3">
      <c r="C449" s="41" t="s">
        <v>707</v>
      </c>
      <c r="D449" s="41" t="s">
        <v>124</v>
      </c>
      <c r="E449" s="42" t="s">
        <v>88</v>
      </c>
      <c r="G449" s="66"/>
      <c r="H449" s="74">
        <v>4485</v>
      </c>
      <c r="I449" s="74">
        <v>4346</v>
      </c>
      <c r="J449" s="74">
        <v>4266</v>
      </c>
      <c r="K449" s="74">
        <v>4372</v>
      </c>
      <c r="L449" s="74">
        <v>3522</v>
      </c>
      <c r="M449" s="74">
        <v>299</v>
      </c>
      <c r="N449" s="76" cm="1">
        <f t="array" ref="N449">SUM((H449:L449)/5)</f>
        <v>4198.2</v>
      </c>
      <c r="O449" s="74">
        <v>4200</v>
      </c>
      <c r="P449" s="66"/>
      <c r="Q449" s="77">
        <v>59.098999999999997</v>
      </c>
      <c r="R449" s="77">
        <v>88.853999999999999</v>
      </c>
      <c r="S449" s="77">
        <v>0.441</v>
      </c>
      <c r="T449" s="77">
        <v>0.441</v>
      </c>
      <c r="U449" s="77">
        <f t="shared" si="53"/>
        <v>1680</v>
      </c>
      <c r="V449" s="77">
        <f t="shared" si="54"/>
        <v>2520</v>
      </c>
      <c r="W449" s="66"/>
      <c r="X449" s="77" t="s">
        <v>399</v>
      </c>
      <c r="Y449" s="77" t="s">
        <v>400</v>
      </c>
      <c r="Z449" s="79">
        <f>SUM(27.51536+25.08565+25.40491)/3</f>
        <v>26.001973333333336</v>
      </c>
      <c r="AA449" s="80">
        <f t="shared" si="52"/>
        <v>42.903256000000006</v>
      </c>
      <c r="AB449" s="66"/>
      <c r="AC449" s="81">
        <v>365</v>
      </c>
      <c r="AD449" s="82">
        <f t="shared" si="55"/>
        <v>162.6028</v>
      </c>
      <c r="AE449" s="82">
        <f t="shared" si="56"/>
        <v>177.88569999999999</v>
      </c>
      <c r="AF449" s="82">
        <f t="shared" si="57"/>
        <v>436.83</v>
      </c>
      <c r="AG449" s="82">
        <f t="shared" si="57"/>
        <v>1081.1600000000001</v>
      </c>
      <c r="AH449" s="114"/>
      <c r="AI449" s="114"/>
      <c r="AJ449" s="83">
        <f t="shared" si="58"/>
        <v>1858.4785000000002</v>
      </c>
      <c r="AK449" s="82"/>
      <c r="AL449" s="84"/>
      <c r="AM449" s="66"/>
    </row>
    <row r="450" spans="1:39" ht="90" x14ac:dyDescent="0.3">
      <c r="C450" s="41" t="s">
        <v>708</v>
      </c>
      <c r="D450" s="41" t="s">
        <v>124</v>
      </c>
      <c r="E450" s="42" t="s">
        <v>88</v>
      </c>
      <c r="G450" s="66"/>
      <c r="H450" s="74">
        <v>4362</v>
      </c>
      <c r="I450" s="74">
        <v>4462</v>
      </c>
      <c r="J450" s="74">
        <v>4570</v>
      </c>
      <c r="K450" s="74">
        <v>4575</v>
      </c>
      <c r="L450" s="74">
        <v>3403</v>
      </c>
      <c r="M450" s="74">
        <v>2181</v>
      </c>
      <c r="N450" s="76" cm="1">
        <f t="array" ref="N450">SUM((H450:L450)/5)</f>
        <v>4274.4000000000005</v>
      </c>
      <c r="O450" s="74">
        <v>4200</v>
      </c>
      <c r="P450" s="66"/>
      <c r="Q450" s="77">
        <v>59.098999999999997</v>
      </c>
      <c r="R450" s="77">
        <v>88.853999999999999</v>
      </c>
      <c r="S450" s="77">
        <v>0.441</v>
      </c>
      <c r="T450" s="77">
        <v>0.441</v>
      </c>
      <c r="U450" s="77">
        <f t="shared" si="53"/>
        <v>1680</v>
      </c>
      <c r="V450" s="77">
        <f t="shared" si="54"/>
        <v>2520</v>
      </c>
      <c r="W450" s="66"/>
      <c r="X450" s="77" t="s">
        <v>376</v>
      </c>
      <c r="Y450" s="77" t="s">
        <v>401</v>
      </c>
      <c r="Z450" s="79">
        <f>SUM(27.47267+25.0432+25.36215)/3</f>
        <v>25.959339999999997</v>
      </c>
      <c r="AA450" s="80">
        <f t="shared" si="52"/>
        <v>42.832910999999996</v>
      </c>
      <c r="AB450" s="66"/>
      <c r="AC450" s="81">
        <v>365</v>
      </c>
      <c r="AD450" s="82">
        <f t="shared" si="55"/>
        <v>162.6028</v>
      </c>
      <c r="AE450" s="82">
        <f t="shared" si="56"/>
        <v>177.88569999999999</v>
      </c>
      <c r="AF450" s="82">
        <f t="shared" si="57"/>
        <v>436.12</v>
      </c>
      <c r="AG450" s="82">
        <f t="shared" si="57"/>
        <v>1079.3900000000001</v>
      </c>
      <c r="AH450" s="114"/>
      <c r="AI450" s="114"/>
      <c r="AJ450" s="83">
        <f t="shared" si="58"/>
        <v>1855.9985000000001</v>
      </c>
      <c r="AK450" s="82"/>
      <c r="AL450" s="84"/>
      <c r="AM450" s="66"/>
    </row>
    <row r="451" spans="1:39" ht="90" x14ac:dyDescent="0.3">
      <c r="C451" s="41" t="s">
        <v>709</v>
      </c>
      <c r="D451" s="41" t="s">
        <v>124</v>
      </c>
      <c r="E451" s="42" t="s">
        <v>88</v>
      </c>
      <c r="G451" s="66"/>
      <c r="H451" s="74">
        <v>5762</v>
      </c>
      <c r="I451" s="74">
        <v>5953</v>
      </c>
      <c r="J451" s="74">
        <v>5529</v>
      </c>
      <c r="K451" s="74">
        <v>5097</v>
      </c>
      <c r="L451" s="74">
        <v>3967</v>
      </c>
      <c r="M451" s="74">
        <v>2694</v>
      </c>
      <c r="N451" s="76" cm="1">
        <f t="array" ref="N451">SUM((H451:L451)/5)</f>
        <v>5261.5999999999995</v>
      </c>
      <c r="O451" s="74">
        <v>5260</v>
      </c>
      <c r="P451" s="66"/>
      <c r="Q451" s="77">
        <v>59.098999999999997</v>
      </c>
      <c r="R451" s="77">
        <v>88.853999999999999</v>
      </c>
      <c r="S451" s="77">
        <v>0.441</v>
      </c>
      <c r="T451" s="77">
        <v>0.441</v>
      </c>
      <c r="U451" s="77">
        <f t="shared" si="53"/>
        <v>2104</v>
      </c>
      <c r="V451" s="77">
        <f t="shared" si="54"/>
        <v>3156</v>
      </c>
      <c r="W451" s="66"/>
      <c r="X451" s="77" t="s">
        <v>402</v>
      </c>
      <c r="Y451" s="77" t="s">
        <v>403</v>
      </c>
      <c r="Z451" s="79">
        <f>SUM(27.47112+25.0395+25.41417)/3</f>
        <v>25.974930000000001</v>
      </c>
      <c r="AA451" s="80">
        <f t="shared" si="52"/>
        <v>42.858634500000001</v>
      </c>
      <c r="AB451" s="66"/>
      <c r="AC451" s="81">
        <v>365</v>
      </c>
      <c r="AD451" s="82">
        <f t="shared" si="55"/>
        <v>162.6028</v>
      </c>
      <c r="AE451" s="82">
        <f t="shared" si="56"/>
        <v>177.88569999999999</v>
      </c>
      <c r="AF451" s="82">
        <f t="shared" si="57"/>
        <v>546.51</v>
      </c>
      <c r="AG451" s="82">
        <f t="shared" si="57"/>
        <v>1352.62</v>
      </c>
      <c r="AH451" s="114"/>
      <c r="AI451" s="114"/>
      <c r="AJ451" s="83">
        <f t="shared" si="58"/>
        <v>2239.6184999999996</v>
      </c>
      <c r="AK451" s="82"/>
      <c r="AL451" s="84"/>
      <c r="AM451" s="66"/>
    </row>
    <row r="452" spans="1:39" ht="15.6" x14ac:dyDescent="0.3">
      <c r="C452" s="41" t="s">
        <v>710</v>
      </c>
      <c r="D452" s="41" t="s">
        <v>124</v>
      </c>
      <c r="E452" s="42" t="s">
        <v>88</v>
      </c>
      <c r="G452" s="66"/>
      <c r="H452" s="74">
        <v>580</v>
      </c>
      <c r="I452" s="74">
        <v>781</v>
      </c>
      <c r="J452" s="74">
        <v>974</v>
      </c>
      <c r="K452" s="74">
        <v>1050</v>
      </c>
      <c r="L452" s="74">
        <v>970</v>
      </c>
      <c r="M452" s="74">
        <v>355</v>
      </c>
      <c r="N452" s="76" cm="1">
        <f t="array" ref="N452">SUM((H452:L452)/5)</f>
        <v>871</v>
      </c>
      <c r="O452" s="74">
        <v>870</v>
      </c>
      <c r="P452" s="66"/>
      <c r="Q452" s="77">
        <v>59.828000000000003</v>
      </c>
      <c r="R452" s="77">
        <v>63.256999999999998</v>
      </c>
      <c r="S452" s="77">
        <v>0.441</v>
      </c>
      <c r="T452" s="77">
        <v>0.441</v>
      </c>
      <c r="U452" s="77">
        <f t="shared" si="53"/>
        <v>348</v>
      </c>
      <c r="V452" s="77">
        <f t="shared" si="54"/>
        <v>522</v>
      </c>
      <c r="W452" s="66"/>
      <c r="X452" s="77">
        <v>15.061999999999999</v>
      </c>
      <c r="Y452" s="77">
        <v>26.50648</v>
      </c>
      <c r="Z452" s="79">
        <v>26.50648</v>
      </c>
      <c r="AA452" s="80">
        <f t="shared" ref="AA452:AA454" si="59">SUM(Z452+Z452*$AA$4)</f>
        <v>43.735692</v>
      </c>
      <c r="AB452" s="66"/>
      <c r="AC452" s="81">
        <v>365</v>
      </c>
      <c r="AD452" s="82">
        <f t="shared" si="55"/>
        <v>115.7603</v>
      </c>
      <c r="AE452" s="82">
        <f t="shared" si="56"/>
        <v>126.64049999999999</v>
      </c>
      <c r="AF452" s="82">
        <f t="shared" si="57"/>
        <v>92.24</v>
      </c>
      <c r="AG452" s="82">
        <f t="shared" si="57"/>
        <v>228.3</v>
      </c>
      <c r="AH452" s="114"/>
      <c r="AI452" s="114"/>
      <c r="AJ452" s="83">
        <f t="shared" si="58"/>
        <v>562.94080000000008</v>
      </c>
      <c r="AK452" s="82"/>
      <c r="AL452" s="84"/>
      <c r="AM452" s="66"/>
    </row>
    <row r="453" spans="1:39" ht="15.6" x14ac:dyDescent="0.3">
      <c r="C453" s="41" t="s">
        <v>404</v>
      </c>
      <c r="D453" s="41" t="s">
        <v>124</v>
      </c>
      <c r="E453" s="42" t="s">
        <v>88</v>
      </c>
      <c r="G453" s="66"/>
      <c r="H453" s="74">
        <v>575</v>
      </c>
      <c r="I453" s="74">
        <v>496</v>
      </c>
      <c r="J453" s="74">
        <v>465</v>
      </c>
      <c r="K453" s="74">
        <v>468</v>
      </c>
      <c r="L453" s="74">
        <v>560</v>
      </c>
      <c r="M453" s="74">
        <v>138</v>
      </c>
      <c r="N453" s="76" cm="1">
        <f t="array" ref="N453">SUM((H453:L453)/5)</f>
        <v>512.79999999999995</v>
      </c>
      <c r="O453" s="74">
        <v>520</v>
      </c>
      <c r="P453" s="66"/>
      <c r="Q453" s="77">
        <v>49.828000000000003</v>
      </c>
      <c r="R453" s="77">
        <v>63.256999999999998</v>
      </c>
      <c r="S453" s="77">
        <v>0.441</v>
      </c>
      <c r="T453" s="77">
        <v>0.441</v>
      </c>
      <c r="U453" s="77">
        <f t="shared" si="53"/>
        <v>208</v>
      </c>
      <c r="V453" s="77">
        <f t="shared" si="54"/>
        <v>312</v>
      </c>
      <c r="W453" s="66"/>
      <c r="X453" s="77">
        <v>15.061999999999999</v>
      </c>
      <c r="Y453" s="77">
        <v>26.50694</v>
      </c>
      <c r="Z453" s="79">
        <v>26.50694</v>
      </c>
      <c r="AA453" s="80">
        <f t="shared" si="59"/>
        <v>43.736451000000002</v>
      </c>
      <c r="AB453" s="66"/>
      <c r="AC453" s="81">
        <v>365</v>
      </c>
      <c r="AD453" s="82">
        <f t="shared" si="55"/>
        <v>115.7603</v>
      </c>
      <c r="AE453" s="82">
        <f t="shared" si="56"/>
        <v>126.64049999999999</v>
      </c>
      <c r="AF453" s="82">
        <f t="shared" si="57"/>
        <v>55.13</v>
      </c>
      <c r="AG453" s="82">
        <f t="shared" si="57"/>
        <v>136.46</v>
      </c>
      <c r="AH453" s="114"/>
      <c r="AI453" s="114"/>
      <c r="AJ453" s="83">
        <f t="shared" si="58"/>
        <v>433.99080000000004</v>
      </c>
      <c r="AK453" s="82"/>
      <c r="AL453" s="84"/>
      <c r="AM453" s="66"/>
    </row>
    <row r="454" spans="1:39" ht="90" x14ac:dyDescent="0.3">
      <c r="C454" s="41" t="s">
        <v>405</v>
      </c>
      <c r="D454" s="41" t="s">
        <v>124</v>
      </c>
      <c r="E454" s="42" t="s">
        <v>88</v>
      </c>
      <c r="G454" s="66"/>
      <c r="H454" s="74">
        <v>446</v>
      </c>
      <c r="I454" s="74">
        <v>327</v>
      </c>
      <c r="J454" s="74">
        <v>575</v>
      </c>
      <c r="K454" s="74">
        <v>792</v>
      </c>
      <c r="L454" s="74">
        <v>772</v>
      </c>
      <c r="M454" s="74">
        <v>484</v>
      </c>
      <c r="N454" s="76" cm="1">
        <f t="array" ref="N454">SUM((H454:L454)/5)</f>
        <v>582.4</v>
      </c>
      <c r="O454" s="74">
        <v>780</v>
      </c>
      <c r="P454" s="66"/>
      <c r="Q454" s="77">
        <v>50.334000000000003</v>
      </c>
      <c r="R454" s="77">
        <v>63.256999999999998</v>
      </c>
      <c r="S454" s="77">
        <v>0.441</v>
      </c>
      <c r="T454" s="77">
        <v>0.441</v>
      </c>
      <c r="U454" s="77">
        <f t="shared" si="53"/>
        <v>312</v>
      </c>
      <c r="V454" s="77">
        <f t="shared" si="54"/>
        <v>468</v>
      </c>
      <c r="W454" s="66"/>
      <c r="X454" s="77" t="s">
        <v>220</v>
      </c>
      <c r="Y454" s="77" t="s">
        <v>406</v>
      </c>
      <c r="Z454" s="79">
        <f>SUM(27.44744+25.01855+25.33631)/3</f>
        <v>25.934100000000001</v>
      </c>
      <c r="AA454" s="80">
        <f t="shared" si="59"/>
        <v>42.791265000000003</v>
      </c>
      <c r="AB454" s="66"/>
      <c r="AC454" s="81">
        <v>365</v>
      </c>
      <c r="AD454" s="82">
        <f t="shared" si="55"/>
        <v>115.7603</v>
      </c>
      <c r="AE454" s="82">
        <f t="shared" si="56"/>
        <v>126.64049999999999</v>
      </c>
      <c r="AF454" s="82">
        <f t="shared" si="57"/>
        <v>80.91</v>
      </c>
      <c r="AG454" s="82">
        <f t="shared" si="57"/>
        <v>200.26</v>
      </c>
      <c r="AH454" s="114"/>
      <c r="AI454" s="114"/>
      <c r="AJ454" s="83">
        <f t="shared" si="58"/>
        <v>523.57079999999996</v>
      </c>
      <c r="AK454" s="82"/>
      <c r="AL454" s="84"/>
      <c r="AM454" s="66"/>
    </row>
    <row r="455" spans="1:39" ht="15.6" x14ac:dyDescent="0.3">
      <c r="A455" s="92"/>
      <c r="B455" s="88"/>
      <c r="D455" s="85"/>
      <c r="E455" s="42"/>
      <c r="G455" s="66"/>
      <c r="H455" s="74"/>
      <c r="I455" s="74"/>
      <c r="J455" s="74"/>
      <c r="K455" s="74"/>
      <c r="L455" s="74"/>
      <c r="M455" s="74"/>
      <c r="N455" s="76"/>
      <c r="O455" s="74"/>
      <c r="P455" s="66"/>
      <c r="Q455" s="77"/>
      <c r="R455" s="77"/>
      <c r="S455" s="77"/>
      <c r="T455" s="77"/>
      <c r="U455" s="77"/>
      <c r="V455" s="77"/>
      <c r="W455" s="66"/>
      <c r="X455" s="77"/>
      <c r="Y455" s="77"/>
      <c r="Z455" s="79"/>
      <c r="AA455" s="80"/>
      <c r="AB455" s="66"/>
      <c r="AC455" s="81"/>
      <c r="AD455" s="82"/>
      <c r="AE455" s="82"/>
      <c r="AF455" s="82"/>
      <c r="AG455" s="82"/>
      <c r="AH455" s="114"/>
      <c r="AI455" s="114"/>
      <c r="AJ455" s="83"/>
      <c r="AK455" s="82"/>
      <c r="AL455" s="84"/>
      <c r="AM455" s="66"/>
    </row>
    <row r="456" spans="1:39" ht="15.6" x14ac:dyDescent="0.3">
      <c r="A456" s="92"/>
      <c r="B456" s="88"/>
      <c r="D456" s="85"/>
      <c r="E456" s="42"/>
      <c r="G456" s="66"/>
      <c r="H456" s="74"/>
      <c r="I456" s="74"/>
      <c r="J456" s="74"/>
      <c r="K456" s="74"/>
      <c r="L456" s="74"/>
      <c r="M456" s="74"/>
      <c r="N456" s="76"/>
      <c r="O456" s="74"/>
      <c r="P456" s="66"/>
      <c r="Q456" s="77"/>
      <c r="R456" s="77"/>
      <c r="S456" s="77"/>
      <c r="T456" s="77"/>
      <c r="U456" s="77"/>
      <c r="V456" s="77"/>
      <c r="W456" s="66"/>
      <c r="X456" s="77"/>
      <c r="Y456" s="77"/>
      <c r="Z456" s="79"/>
      <c r="AA456" s="80"/>
      <c r="AB456" s="66"/>
      <c r="AC456" s="81"/>
      <c r="AD456" s="82"/>
      <c r="AE456" s="82"/>
      <c r="AF456" s="82"/>
      <c r="AG456" s="82"/>
      <c r="AH456" s="114"/>
      <c r="AI456" s="114"/>
      <c r="AJ456" s="83"/>
      <c r="AK456" s="82"/>
      <c r="AL456" s="84"/>
      <c r="AM456" s="66"/>
    </row>
    <row r="457" spans="1:39" ht="15.6" x14ac:dyDescent="0.3">
      <c r="B457" s="88"/>
      <c r="C457" s="41" t="s">
        <v>711</v>
      </c>
      <c r="D457" s="41" t="s">
        <v>124</v>
      </c>
      <c r="E457" s="42" t="s">
        <v>88</v>
      </c>
      <c r="G457" s="66"/>
      <c r="H457" s="74">
        <v>0</v>
      </c>
      <c r="I457" s="74">
        <v>0</v>
      </c>
      <c r="J457" s="74">
        <v>0</v>
      </c>
      <c r="K457" s="74">
        <v>0</v>
      </c>
      <c r="L457" s="74">
        <v>0</v>
      </c>
      <c r="M457" s="74">
        <v>0</v>
      </c>
      <c r="N457" s="76" cm="1">
        <f t="array" ref="N457">SUM((H457:L457)/5)</f>
        <v>0</v>
      </c>
      <c r="O457" s="74">
        <v>0</v>
      </c>
      <c r="P457" s="66"/>
      <c r="Q457" s="77">
        <v>200</v>
      </c>
      <c r="R457" s="77">
        <v>200</v>
      </c>
      <c r="S457" s="77">
        <v>0.441</v>
      </c>
      <c r="T457" s="77">
        <v>0.441</v>
      </c>
      <c r="U457" s="77">
        <f t="shared" ref="U457" si="60">IF(E457="Gas",O457*R452,O457*$R$4)</f>
        <v>0</v>
      </c>
      <c r="V457" s="77">
        <f t="shared" ref="V457" si="61">IF(E457="Gas",O457*T452,O457*$T$4)</f>
        <v>0</v>
      </c>
      <c r="W457" s="66"/>
      <c r="X457" s="77">
        <v>73.930000000000007</v>
      </c>
      <c r="Y457" s="77">
        <v>73.930000000000007</v>
      </c>
      <c r="Z457" s="79">
        <v>73.930000000000007</v>
      </c>
      <c r="AA457" s="80">
        <f t="shared" ref="AA457" si="62">SUM(Z457+Z457*$AA$4)</f>
        <v>121.98450000000001</v>
      </c>
      <c r="AB457" s="66"/>
      <c r="AC457" s="81">
        <v>365</v>
      </c>
      <c r="AD457" s="82">
        <f t="shared" ref="AD457" si="63">ROUND(R457*183,2)/100</f>
        <v>366</v>
      </c>
      <c r="AE457" s="82">
        <f t="shared" ref="AE457" si="64">ROUND((R457+R457*$AE$4)*(365-183),2)/100</f>
        <v>400.4</v>
      </c>
      <c r="AF457" s="82">
        <f t="shared" ref="AF457:AG457" si="65">ROUND((U457*Z457)/100,2)</f>
        <v>0</v>
      </c>
      <c r="AG457" s="82">
        <f t="shared" si="65"/>
        <v>0</v>
      </c>
      <c r="AH457" s="114"/>
      <c r="AI457" s="114"/>
      <c r="AJ457" s="83">
        <f t="shared" ref="AJ457" si="66">SUM(AD457:AG457)</f>
        <v>766.4</v>
      </c>
      <c r="AK457" s="82"/>
      <c r="AL457" s="84"/>
      <c r="AM457" s="66"/>
    </row>
    <row r="458" spans="1:39" ht="15.6" x14ac:dyDescent="0.3">
      <c r="A458" s="92"/>
      <c r="B458" s="88"/>
      <c r="D458" s="85"/>
      <c r="E458" s="42"/>
      <c r="G458" s="66"/>
      <c r="H458" s="74"/>
      <c r="I458" s="74"/>
      <c r="J458" s="74"/>
      <c r="K458" s="74"/>
      <c r="L458" s="74"/>
      <c r="M458" s="74"/>
      <c r="N458" s="76"/>
      <c r="O458" s="74"/>
      <c r="P458" s="66"/>
      <c r="Q458" s="77"/>
      <c r="R458" s="89"/>
      <c r="S458" s="77"/>
      <c r="T458" s="77"/>
      <c r="U458" s="77"/>
      <c r="V458" s="77"/>
      <c r="W458" s="66"/>
      <c r="X458" s="77"/>
      <c r="Y458" s="89"/>
      <c r="Z458" s="90"/>
      <c r="AA458" s="80"/>
      <c r="AB458" s="66"/>
      <c r="AC458" s="81"/>
      <c r="AD458" s="82"/>
      <c r="AE458" s="82"/>
      <c r="AF458" s="82"/>
      <c r="AG458" s="82"/>
      <c r="AH458" s="114"/>
      <c r="AI458" s="114"/>
      <c r="AJ458" s="83"/>
      <c r="AK458" s="82"/>
      <c r="AL458" s="84"/>
      <c r="AM458" s="66"/>
    </row>
    <row r="459" spans="1:39" ht="45" x14ac:dyDescent="0.3">
      <c r="B459" s="93"/>
      <c r="C459" s="94" t="s">
        <v>407</v>
      </c>
      <c r="D459" s="41" t="s">
        <v>408</v>
      </c>
      <c r="E459" s="42" t="s">
        <v>88</v>
      </c>
      <c r="G459" s="66"/>
      <c r="H459" s="74">
        <v>123490</v>
      </c>
      <c r="I459" s="74">
        <v>109696</v>
      </c>
      <c r="J459" s="74">
        <v>139196</v>
      </c>
      <c r="K459" s="74">
        <v>127894</v>
      </c>
      <c r="L459" s="74">
        <v>100193</v>
      </c>
      <c r="M459" s="74">
        <v>62711</v>
      </c>
      <c r="N459" s="76" cm="1">
        <f t="array" ref="N459">SUM((H459:L459)/5)</f>
        <v>120093.79999999999</v>
      </c>
      <c r="O459" s="74">
        <v>120000</v>
      </c>
      <c r="P459" s="66"/>
      <c r="Q459" s="77">
        <v>132.286</v>
      </c>
      <c r="R459" s="77">
        <v>303.38200000000001</v>
      </c>
      <c r="S459" s="77">
        <v>0.441</v>
      </c>
      <c r="T459" s="77">
        <v>0.441</v>
      </c>
      <c r="U459" s="77">
        <f t="shared" ref="U459:U487" si="67">IF(E459="Gas",O459*R454,O459*$R$4)</f>
        <v>48000</v>
      </c>
      <c r="V459" s="77">
        <f t="shared" ref="V459:V487" si="68">IF(E459="Gas",O459*T454,O459*$T$4)</f>
        <v>72000</v>
      </c>
      <c r="W459" s="66"/>
      <c r="X459" s="77" t="s">
        <v>409</v>
      </c>
      <c r="Y459" s="77" t="s">
        <v>410</v>
      </c>
      <c r="Z459" s="79">
        <f>SUM(27.50774+25.08529+25.45069)/3</f>
        <v>26.014573333333335</v>
      </c>
      <c r="AA459" s="80">
        <f t="shared" ref="AA459:AA487" si="69">SUM(Z459+Z459*$AA$4)</f>
        <v>42.924046000000004</v>
      </c>
      <c r="AB459" s="66"/>
      <c r="AC459" s="81">
        <v>365</v>
      </c>
      <c r="AD459" s="82">
        <f t="shared" ref="AD459:AD487" si="70">ROUND(R459*183,2)/100</f>
        <v>555.18910000000005</v>
      </c>
      <c r="AE459" s="82">
        <f t="shared" ref="AE459:AE487" si="71">ROUND((R459+R459*$AE$4)*(365-183),2)/100</f>
        <v>607.37080000000003</v>
      </c>
      <c r="AF459" s="82">
        <f t="shared" ref="AF459:AG487" si="72">ROUND((U459*Z459)/100,2)</f>
        <v>12487</v>
      </c>
      <c r="AG459" s="82">
        <f t="shared" si="72"/>
        <v>30905.31</v>
      </c>
      <c r="AH459" s="114"/>
      <c r="AI459" s="114"/>
      <c r="AJ459" s="83">
        <f t="shared" ref="AJ459:AJ487" si="73">SUM(AD459:AG459)</f>
        <v>44554.869900000005</v>
      </c>
      <c r="AK459" s="82"/>
      <c r="AL459" s="84"/>
      <c r="AM459" s="66"/>
    </row>
    <row r="460" spans="1:39" ht="45" x14ac:dyDescent="0.3">
      <c r="B460" s="93"/>
      <c r="C460" s="94" t="s">
        <v>407</v>
      </c>
      <c r="D460" s="41" t="s">
        <v>408</v>
      </c>
      <c r="E460" s="42" t="s">
        <v>88</v>
      </c>
      <c r="G460" s="66"/>
      <c r="H460" s="74">
        <v>2467</v>
      </c>
      <c r="I460" s="74">
        <v>2362</v>
      </c>
      <c r="J460" s="74">
        <v>2526</v>
      </c>
      <c r="K460" s="74">
        <v>2508</v>
      </c>
      <c r="L460" s="74">
        <v>2511</v>
      </c>
      <c r="M460" s="74">
        <v>1793</v>
      </c>
      <c r="N460" s="76" cm="1">
        <f t="array" ref="N460">SUM((H460:L460)/5)</f>
        <v>2474.7999999999997</v>
      </c>
      <c r="O460" s="74">
        <v>2475</v>
      </c>
      <c r="P460" s="66"/>
      <c r="Q460" s="77">
        <v>50.334000000000003</v>
      </c>
      <c r="R460" s="77">
        <v>60.256999999999998</v>
      </c>
      <c r="S460" s="77">
        <v>0.441</v>
      </c>
      <c r="T460" s="77">
        <v>0.441</v>
      </c>
      <c r="U460" s="77">
        <f t="shared" si="67"/>
        <v>990</v>
      </c>
      <c r="V460" s="77">
        <f t="shared" si="68"/>
        <v>1485</v>
      </c>
      <c r="W460" s="66"/>
      <c r="X460" s="77" t="s">
        <v>349</v>
      </c>
      <c r="Y460" s="77" t="s">
        <v>411</v>
      </c>
      <c r="Z460" s="79">
        <f>SUM(27.48554+25.05646+25.37577)/3</f>
        <v>25.97259</v>
      </c>
      <c r="AA460" s="80">
        <f t="shared" si="69"/>
        <v>42.8547735</v>
      </c>
      <c r="AB460" s="66"/>
      <c r="AC460" s="81">
        <v>365</v>
      </c>
      <c r="AD460" s="82">
        <f t="shared" si="70"/>
        <v>110.27030000000001</v>
      </c>
      <c r="AE460" s="82">
        <f t="shared" si="71"/>
        <v>120.6345</v>
      </c>
      <c r="AF460" s="82">
        <f t="shared" si="72"/>
        <v>257.13</v>
      </c>
      <c r="AG460" s="82">
        <f t="shared" si="72"/>
        <v>636.39</v>
      </c>
      <c r="AH460" s="114"/>
      <c r="AI460" s="114"/>
      <c r="AJ460" s="83">
        <f t="shared" si="73"/>
        <v>1124.4248</v>
      </c>
      <c r="AK460" s="82"/>
      <c r="AL460" s="84"/>
      <c r="AM460" s="66"/>
    </row>
    <row r="461" spans="1:39" ht="30" x14ac:dyDescent="0.3">
      <c r="C461" s="94" t="s">
        <v>412</v>
      </c>
      <c r="D461" s="41" t="s">
        <v>408</v>
      </c>
      <c r="E461" s="42" t="s">
        <v>88</v>
      </c>
      <c r="G461" s="66"/>
      <c r="H461" s="74">
        <v>72213</v>
      </c>
      <c r="I461" s="74">
        <v>72399</v>
      </c>
      <c r="J461" s="74">
        <v>73757</v>
      </c>
      <c r="K461" s="74">
        <v>73558</v>
      </c>
      <c r="L461" s="74">
        <v>76129</v>
      </c>
      <c r="M461" s="74">
        <v>47251</v>
      </c>
      <c r="N461" s="76" cm="1">
        <f t="array" ref="N461">SUM((H461:L461)/5)</f>
        <v>73611.199999999997</v>
      </c>
      <c r="O461" s="74">
        <v>73400</v>
      </c>
      <c r="P461" s="66"/>
      <c r="Q461" s="77">
        <v>132.286</v>
      </c>
      <c r="R461" s="77">
        <v>303.38200000000001</v>
      </c>
      <c r="S461" s="77">
        <v>0.441</v>
      </c>
      <c r="T461" s="77">
        <v>0.441</v>
      </c>
      <c r="U461" s="77">
        <f t="shared" si="67"/>
        <v>29360</v>
      </c>
      <c r="V461" s="77">
        <f t="shared" si="68"/>
        <v>44040</v>
      </c>
      <c r="W461" s="66"/>
      <c r="X461" s="77" t="s">
        <v>413</v>
      </c>
      <c r="Y461" s="77" t="s">
        <v>414</v>
      </c>
      <c r="Z461" s="79">
        <f>SUM(26.7591+25.12799)/2</f>
        <v>25.943545</v>
      </c>
      <c r="AA461" s="80">
        <f t="shared" si="69"/>
        <v>42.806849249999999</v>
      </c>
      <c r="AB461" s="66"/>
      <c r="AC461" s="81">
        <v>365</v>
      </c>
      <c r="AD461" s="82">
        <f t="shared" si="70"/>
        <v>555.18910000000005</v>
      </c>
      <c r="AE461" s="82">
        <f t="shared" si="71"/>
        <v>607.37080000000003</v>
      </c>
      <c r="AF461" s="82">
        <f t="shared" si="72"/>
        <v>7617.02</v>
      </c>
      <c r="AG461" s="82">
        <f t="shared" si="72"/>
        <v>18852.14</v>
      </c>
      <c r="AH461" s="114"/>
      <c r="AI461" s="114"/>
      <c r="AJ461" s="83">
        <f t="shared" si="73"/>
        <v>27631.7199</v>
      </c>
      <c r="AK461" s="82"/>
      <c r="AL461" s="84"/>
      <c r="AM461" s="66"/>
    </row>
    <row r="462" spans="1:39" ht="45" x14ac:dyDescent="0.3">
      <c r="C462" s="94" t="s">
        <v>415</v>
      </c>
      <c r="D462" s="41" t="s">
        <v>408</v>
      </c>
      <c r="E462" s="42" t="s">
        <v>88</v>
      </c>
      <c r="G462" s="66"/>
      <c r="H462" s="74">
        <v>42610</v>
      </c>
      <c r="I462" s="74">
        <v>32186</v>
      </c>
      <c r="J462" s="74">
        <v>31800</v>
      </c>
      <c r="K462" s="74">
        <v>30016</v>
      </c>
      <c r="L462" s="74">
        <v>30539</v>
      </c>
      <c r="M462" s="74">
        <v>19854</v>
      </c>
      <c r="N462" s="76" cm="1">
        <f t="array" ref="N462">SUM((H462:L462)/5)</f>
        <v>33430.200000000004</v>
      </c>
      <c r="O462" s="74">
        <v>33430</v>
      </c>
      <c r="P462" s="66"/>
      <c r="Q462" s="77">
        <v>132.286</v>
      </c>
      <c r="R462" s="77">
        <v>303.38200000000001</v>
      </c>
      <c r="S462" s="77">
        <v>0.441</v>
      </c>
      <c r="T462" s="77">
        <v>0.441</v>
      </c>
      <c r="U462" s="77">
        <f t="shared" si="67"/>
        <v>13372</v>
      </c>
      <c r="V462" s="77">
        <f t="shared" si="68"/>
        <v>20058</v>
      </c>
      <c r="W462" s="66"/>
      <c r="X462" s="77" t="s">
        <v>409</v>
      </c>
      <c r="Y462" s="77" t="s">
        <v>416</v>
      </c>
      <c r="Z462" s="79">
        <f>SUM(27.50875+25.08632+25.45169)/3</f>
        <v>26.015586666666668</v>
      </c>
      <c r="AA462" s="80">
        <f t="shared" si="69"/>
        <v>42.925718000000003</v>
      </c>
      <c r="AB462" s="66"/>
      <c r="AC462" s="81">
        <v>365</v>
      </c>
      <c r="AD462" s="82">
        <f t="shared" si="70"/>
        <v>555.18910000000005</v>
      </c>
      <c r="AE462" s="82">
        <f t="shared" si="71"/>
        <v>607.37080000000003</v>
      </c>
      <c r="AF462" s="82">
        <f t="shared" si="72"/>
        <v>3478.8</v>
      </c>
      <c r="AG462" s="82">
        <f t="shared" si="72"/>
        <v>8610.0400000000009</v>
      </c>
      <c r="AH462" s="114"/>
      <c r="AI462" s="114"/>
      <c r="AJ462" s="83">
        <f t="shared" si="73"/>
        <v>13251.3999</v>
      </c>
      <c r="AK462" s="82"/>
      <c r="AL462" s="84"/>
      <c r="AM462" s="66"/>
    </row>
    <row r="463" spans="1:39" ht="30" x14ac:dyDescent="0.3">
      <c r="C463" s="94" t="s">
        <v>417</v>
      </c>
      <c r="D463" s="41" t="s">
        <v>408</v>
      </c>
      <c r="E463" s="42" t="s">
        <v>88</v>
      </c>
      <c r="G463" s="66"/>
      <c r="H463" s="74">
        <v>4540</v>
      </c>
      <c r="I463" s="74">
        <v>4545</v>
      </c>
      <c r="J463" s="74">
        <v>4079</v>
      </c>
      <c r="K463" s="74">
        <v>2271</v>
      </c>
      <c r="L463" s="74">
        <v>600</v>
      </c>
      <c r="M463" s="74">
        <v>96</v>
      </c>
      <c r="N463" s="76" cm="1">
        <f t="array" ref="N463">SUM((H463:L463)/5)</f>
        <v>3207</v>
      </c>
      <c r="O463" s="74">
        <v>3200</v>
      </c>
      <c r="P463" s="66"/>
      <c r="Q463" s="77">
        <v>49.325000000000003</v>
      </c>
      <c r="R463" s="77">
        <v>72.016000000000005</v>
      </c>
      <c r="S463" s="77">
        <v>0.441</v>
      </c>
      <c r="T463" s="77">
        <v>0.441</v>
      </c>
      <c r="U463" s="77">
        <f t="shared" si="67"/>
        <v>1280</v>
      </c>
      <c r="V463" s="77">
        <f t="shared" si="68"/>
        <v>1920</v>
      </c>
      <c r="W463" s="66"/>
      <c r="X463" s="77" t="s">
        <v>418</v>
      </c>
      <c r="Y463" s="77" t="s">
        <v>419</v>
      </c>
      <c r="Z463" s="79">
        <f>SUM(27.23471+25.11052)/2</f>
        <v>26.172615</v>
      </c>
      <c r="AA463" s="80">
        <f t="shared" si="69"/>
        <v>43.184814750000001</v>
      </c>
      <c r="AB463" s="66"/>
      <c r="AC463" s="81">
        <v>365</v>
      </c>
      <c r="AD463" s="82">
        <f t="shared" si="70"/>
        <v>131.7893</v>
      </c>
      <c r="AE463" s="82">
        <f t="shared" si="71"/>
        <v>144.17600000000002</v>
      </c>
      <c r="AF463" s="82">
        <f t="shared" si="72"/>
        <v>335.01</v>
      </c>
      <c r="AG463" s="82">
        <f t="shared" si="72"/>
        <v>829.15</v>
      </c>
      <c r="AH463" s="114"/>
      <c r="AI463" s="114"/>
      <c r="AJ463" s="83">
        <f t="shared" si="73"/>
        <v>1440.1253000000002</v>
      </c>
      <c r="AK463" s="82"/>
      <c r="AL463" s="84"/>
      <c r="AM463" s="66"/>
    </row>
    <row r="464" spans="1:39" ht="45" x14ac:dyDescent="0.3">
      <c r="C464" s="94" t="s">
        <v>417</v>
      </c>
      <c r="D464" s="41" t="s">
        <v>408</v>
      </c>
      <c r="E464" s="42" t="s">
        <v>88</v>
      </c>
      <c r="G464" s="66"/>
      <c r="H464" s="74">
        <v>16081</v>
      </c>
      <c r="I464" s="74">
        <v>13527</v>
      </c>
      <c r="J464" s="74">
        <v>12209</v>
      </c>
      <c r="K464" s="74">
        <v>11769</v>
      </c>
      <c r="L464" s="74">
        <v>12871</v>
      </c>
      <c r="M464" s="74">
        <v>6199</v>
      </c>
      <c r="N464" s="76" cm="1">
        <f t="array" ref="N464">SUM((H464:L464)/5)</f>
        <v>13291.400000000001</v>
      </c>
      <c r="O464" s="74">
        <v>13290</v>
      </c>
      <c r="P464" s="66"/>
      <c r="Q464" s="77">
        <v>75.238</v>
      </c>
      <c r="R464" s="77">
        <v>135.40899999999999</v>
      </c>
      <c r="S464" s="77">
        <v>0.441</v>
      </c>
      <c r="T464" s="77">
        <v>0.441</v>
      </c>
      <c r="U464" s="77">
        <f t="shared" si="67"/>
        <v>5316</v>
      </c>
      <c r="V464" s="77">
        <f t="shared" si="68"/>
        <v>7974</v>
      </c>
      <c r="W464" s="66"/>
      <c r="X464" s="77" t="s">
        <v>369</v>
      </c>
      <c r="Y464" s="77" t="s">
        <v>420</v>
      </c>
      <c r="Z464" s="79">
        <f>SUM(27.54696+25.1175+25.43675)/3</f>
        <v>26.033736666666666</v>
      </c>
      <c r="AA464" s="80">
        <f t="shared" si="69"/>
        <v>42.955665499999995</v>
      </c>
      <c r="AB464" s="66"/>
      <c r="AC464" s="81">
        <v>365</v>
      </c>
      <c r="AD464" s="82">
        <f t="shared" si="70"/>
        <v>247.79849999999999</v>
      </c>
      <c r="AE464" s="82">
        <f t="shared" si="71"/>
        <v>271.08879999999999</v>
      </c>
      <c r="AF464" s="82">
        <f t="shared" si="72"/>
        <v>1383.95</v>
      </c>
      <c r="AG464" s="82">
        <f t="shared" si="72"/>
        <v>3425.28</v>
      </c>
      <c r="AH464" s="114"/>
      <c r="AI464" s="114"/>
      <c r="AJ464" s="83">
        <f t="shared" si="73"/>
        <v>5328.1172999999999</v>
      </c>
      <c r="AK464" s="82"/>
      <c r="AL464" s="84"/>
      <c r="AM464" s="66"/>
    </row>
    <row r="465" spans="3:39" ht="15.6" x14ac:dyDescent="0.3">
      <c r="C465" s="94" t="s">
        <v>421</v>
      </c>
      <c r="D465" s="41" t="s">
        <v>408</v>
      </c>
      <c r="E465" s="42" t="s">
        <v>88</v>
      </c>
      <c r="G465" s="66"/>
      <c r="H465" s="74">
        <v>22080</v>
      </c>
      <c r="I465" s="74">
        <v>33232</v>
      </c>
      <c r="J465" s="74">
        <v>31816</v>
      </c>
      <c r="K465" s="74">
        <v>30666</v>
      </c>
      <c r="L465" s="74">
        <v>31335</v>
      </c>
      <c r="M465" s="74">
        <v>20112</v>
      </c>
      <c r="N465" s="76" cm="1">
        <f t="array" ref="N465">SUM((H465:L465)/5)</f>
        <v>29825.8</v>
      </c>
      <c r="O465" s="74">
        <v>29900</v>
      </c>
      <c r="P465" s="66"/>
      <c r="Q465" s="77">
        <v>131.77600000000001</v>
      </c>
      <c r="R465" s="77">
        <v>303.38200000000001</v>
      </c>
      <c r="S465" s="77">
        <v>0.441</v>
      </c>
      <c r="T465" s="77">
        <v>0.441</v>
      </c>
      <c r="U465" s="77">
        <f t="shared" si="67"/>
        <v>11960</v>
      </c>
      <c r="V465" s="77">
        <f t="shared" si="68"/>
        <v>17940</v>
      </c>
      <c r="W465" s="66"/>
      <c r="X465" s="77">
        <v>15.061999999999999</v>
      </c>
      <c r="Y465" s="77">
        <v>26.506260000000001</v>
      </c>
      <c r="Z465" s="79">
        <v>26.506260000000001</v>
      </c>
      <c r="AA465" s="80">
        <f t="shared" si="69"/>
        <v>43.735329000000007</v>
      </c>
      <c r="AB465" s="66"/>
      <c r="AC465" s="81">
        <v>365</v>
      </c>
      <c r="AD465" s="82">
        <f t="shared" si="70"/>
        <v>555.18910000000005</v>
      </c>
      <c r="AE465" s="82">
        <f t="shared" si="71"/>
        <v>607.37080000000003</v>
      </c>
      <c r="AF465" s="82">
        <f t="shared" si="72"/>
        <v>3170.15</v>
      </c>
      <c r="AG465" s="82">
        <f t="shared" si="72"/>
        <v>7846.12</v>
      </c>
      <c r="AH465" s="114"/>
      <c r="AI465" s="114"/>
      <c r="AJ465" s="83">
        <f t="shared" si="73"/>
        <v>12178.829900000001</v>
      </c>
      <c r="AK465" s="82"/>
      <c r="AL465" s="84"/>
      <c r="AM465" s="66"/>
    </row>
    <row r="466" spans="3:39" ht="15.6" x14ac:dyDescent="0.3">
      <c r="C466" s="94" t="s">
        <v>422</v>
      </c>
      <c r="D466" s="41" t="s">
        <v>408</v>
      </c>
      <c r="E466" s="42" t="s">
        <v>88</v>
      </c>
      <c r="G466" s="66"/>
      <c r="H466" s="74">
        <v>87908</v>
      </c>
      <c r="I466" s="74">
        <v>87972</v>
      </c>
      <c r="J466" s="74">
        <v>86202</v>
      </c>
      <c r="K466" s="74">
        <v>80396</v>
      </c>
      <c r="L466" s="74">
        <v>77303</v>
      </c>
      <c r="M466" s="74">
        <v>52057</v>
      </c>
      <c r="N466" s="76" cm="1">
        <f t="array" ref="N466">SUM((H466:L466)/5)</f>
        <v>83956.200000000012</v>
      </c>
      <c r="O466" s="74">
        <v>84000</v>
      </c>
      <c r="P466" s="66"/>
      <c r="Q466" s="77">
        <v>131.77600000000001</v>
      </c>
      <c r="R466" s="77">
        <v>303.38200000000001</v>
      </c>
      <c r="S466" s="77">
        <v>0.441</v>
      </c>
      <c r="T466" s="77">
        <v>0.441</v>
      </c>
      <c r="U466" s="77">
        <f t="shared" si="67"/>
        <v>33600</v>
      </c>
      <c r="V466" s="77">
        <f t="shared" si="68"/>
        <v>50400</v>
      </c>
      <c r="W466" s="66"/>
      <c r="X466" s="77">
        <v>15.061999999999999</v>
      </c>
      <c r="Y466" s="77">
        <v>26.506270000000001</v>
      </c>
      <c r="Z466" s="79">
        <v>26.506270000000001</v>
      </c>
      <c r="AA466" s="80">
        <f t="shared" si="69"/>
        <v>43.735345500000001</v>
      </c>
      <c r="AB466" s="66"/>
      <c r="AC466" s="81">
        <v>365</v>
      </c>
      <c r="AD466" s="82">
        <f t="shared" si="70"/>
        <v>555.18910000000005</v>
      </c>
      <c r="AE466" s="82">
        <f t="shared" si="71"/>
        <v>607.37080000000003</v>
      </c>
      <c r="AF466" s="82">
        <f t="shared" si="72"/>
        <v>8906.11</v>
      </c>
      <c r="AG466" s="82">
        <f t="shared" si="72"/>
        <v>22042.61</v>
      </c>
      <c r="AH466" s="114"/>
      <c r="AI466" s="114"/>
      <c r="AJ466" s="83">
        <f t="shared" si="73"/>
        <v>32111.279900000001</v>
      </c>
      <c r="AK466" s="82"/>
      <c r="AL466" s="84"/>
      <c r="AM466" s="66"/>
    </row>
    <row r="467" spans="3:39" ht="45" x14ac:dyDescent="0.3">
      <c r="C467" s="94" t="s">
        <v>423</v>
      </c>
      <c r="D467" s="41" t="s">
        <v>408</v>
      </c>
      <c r="E467" s="42" t="s">
        <v>88</v>
      </c>
      <c r="G467" s="66"/>
      <c r="H467" s="74">
        <v>97635</v>
      </c>
      <c r="I467" s="74">
        <v>93032</v>
      </c>
      <c r="J467" s="74">
        <v>90465</v>
      </c>
      <c r="K467" s="74">
        <v>93993</v>
      </c>
      <c r="L467" s="74">
        <v>81305</v>
      </c>
      <c r="M467" s="74">
        <v>50576</v>
      </c>
      <c r="N467" s="76" cm="1">
        <f t="array" ref="N467">SUM((H467:L467)/5)</f>
        <v>91286</v>
      </c>
      <c r="O467" s="74">
        <v>91000</v>
      </c>
      <c r="P467" s="66"/>
      <c r="Q467" s="77">
        <v>132.286</v>
      </c>
      <c r="R467" s="77">
        <v>303.38200000000001</v>
      </c>
      <c r="S467" s="77">
        <v>0.441</v>
      </c>
      <c r="T467" s="77">
        <v>0.441</v>
      </c>
      <c r="U467" s="77">
        <f t="shared" si="67"/>
        <v>36400</v>
      </c>
      <c r="V467" s="77">
        <f t="shared" si="68"/>
        <v>54600</v>
      </c>
      <c r="W467" s="66"/>
      <c r="X467" s="77" t="s">
        <v>409</v>
      </c>
      <c r="Y467" s="77" t="s">
        <v>424</v>
      </c>
      <c r="Z467" s="79">
        <f>SUM(27.52445+25.10202+25.46741)/3</f>
        <v>26.031293333333334</v>
      </c>
      <c r="AA467" s="80">
        <f t="shared" si="69"/>
        <v>42.951633999999999</v>
      </c>
      <c r="AB467" s="66"/>
      <c r="AC467" s="81">
        <v>365</v>
      </c>
      <c r="AD467" s="82">
        <f t="shared" si="70"/>
        <v>555.18910000000005</v>
      </c>
      <c r="AE467" s="82">
        <f t="shared" si="71"/>
        <v>607.37080000000003</v>
      </c>
      <c r="AF467" s="82">
        <f t="shared" si="72"/>
        <v>9475.39</v>
      </c>
      <c r="AG467" s="82">
        <f t="shared" si="72"/>
        <v>23451.59</v>
      </c>
      <c r="AH467" s="114"/>
      <c r="AI467" s="114"/>
      <c r="AJ467" s="83">
        <f t="shared" si="73"/>
        <v>34089.539900000003</v>
      </c>
      <c r="AK467" s="82"/>
      <c r="AL467" s="84"/>
      <c r="AM467" s="66"/>
    </row>
    <row r="468" spans="3:39" ht="15.6" x14ac:dyDescent="0.3">
      <c r="C468" s="94" t="s">
        <v>425</v>
      </c>
      <c r="D468" s="41" t="s">
        <v>408</v>
      </c>
      <c r="E468" s="42" t="s">
        <v>88</v>
      </c>
      <c r="G468" s="66"/>
      <c r="H468" s="74">
        <v>333</v>
      </c>
      <c r="I468" s="74">
        <v>304</v>
      </c>
      <c r="J468" s="74">
        <v>341</v>
      </c>
      <c r="K468" s="74">
        <v>340</v>
      </c>
      <c r="L468" s="74">
        <v>253</v>
      </c>
      <c r="M468" s="74">
        <v>86</v>
      </c>
      <c r="N468" s="76" cm="1">
        <f t="array" ref="N468">SUM((H468:L468)/5)</f>
        <v>314.20000000000005</v>
      </c>
      <c r="O468" s="74">
        <v>310</v>
      </c>
      <c r="P468" s="66"/>
      <c r="Q468" s="77">
        <v>49.308</v>
      </c>
      <c r="R468" s="77">
        <v>72.016000000000005</v>
      </c>
      <c r="S468" s="77">
        <v>0.441</v>
      </c>
      <c r="T468" s="77">
        <v>0.441</v>
      </c>
      <c r="U468" s="77">
        <f t="shared" si="67"/>
        <v>124</v>
      </c>
      <c r="V468" s="77">
        <f t="shared" si="68"/>
        <v>186</v>
      </c>
      <c r="W468" s="66"/>
      <c r="X468" s="77">
        <v>15.868</v>
      </c>
      <c r="Y468" s="77">
        <v>27.08212</v>
      </c>
      <c r="Z468" s="79">
        <v>27.08212</v>
      </c>
      <c r="AA468" s="80">
        <f t="shared" si="69"/>
        <v>44.685497999999995</v>
      </c>
      <c r="AB468" s="66"/>
      <c r="AC468" s="81">
        <v>365</v>
      </c>
      <c r="AD468" s="82">
        <f t="shared" si="70"/>
        <v>131.7893</v>
      </c>
      <c r="AE468" s="82">
        <f t="shared" si="71"/>
        <v>144.17600000000002</v>
      </c>
      <c r="AF468" s="82">
        <f t="shared" si="72"/>
        <v>33.58</v>
      </c>
      <c r="AG468" s="82">
        <f t="shared" si="72"/>
        <v>83.12</v>
      </c>
      <c r="AH468" s="114"/>
      <c r="AI468" s="114"/>
      <c r="AJ468" s="83">
        <f t="shared" si="73"/>
        <v>392.6653</v>
      </c>
      <c r="AK468" s="82"/>
      <c r="AL468" s="84"/>
      <c r="AM468" s="66"/>
    </row>
    <row r="469" spans="3:39" ht="45" x14ac:dyDescent="0.3">
      <c r="C469" s="94" t="s">
        <v>425</v>
      </c>
      <c r="D469" s="41" t="s">
        <v>408</v>
      </c>
      <c r="E469" s="42" t="s">
        <v>88</v>
      </c>
      <c r="G469" s="66"/>
      <c r="H469" s="74">
        <v>7416</v>
      </c>
      <c r="I469" s="74">
        <v>9103</v>
      </c>
      <c r="J469" s="74">
        <v>10107</v>
      </c>
      <c r="K469" s="74">
        <v>5932</v>
      </c>
      <c r="L469" s="74">
        <v>6004</v>
      </c>
      <c r="M469" s="74">
        <v>453</v>
      </c>
      <c r="N469" s="76" cm="1">
        <f t="array" ref="N469">SUM((H469:L469)/5)</f>
        <v>7712.4000000000005</v>
      </c>
      <c r="O469" s="74">
        <v>7710</v>
      </c>
      <c r="P469" s="66"/>
      <c r="Q469" s="77">
        <v>59.098999999999997</v>
      </c>
      <c r="R469" s="77">
        <v>88.853999999999999</v>
      </c>
      <c r="S469" s="77">
        <v>0.441</v>
      </c>
      <c r="T469" s="77">
        <v>0.441</v>
      </c>
      <c r="U469" s="77">
        <f t="shared" si="67"/>
        <v>3084</v>
      </c>
      <c r="V469" s="77">
        <f t="shared" si="68"/>
        <v>4626</v>
      </c>
      <c r="W469" s="66"/>
      <c r="X469" s="77" t="s">
        <v>369</v>
      </c>
      <c r="Y469" s="77" t="s">
        <v>426</v>
      </c>
      <c r="Z469" s="79">
        <f>SUM(27.44035+25.01084+25.32996)</f>
        <v>77.781149999999997</v>
      </c>
      <c r="AA469" s="80">
        <f t="shared" si="69"/>
        <v>128.3388975</v>
      </c>
      <c r="AB469" s="66"/>
      <c r="AC469" s="81">
        <v>365</v>
      </c>
      <c r="AD469" s="82">
        <f t="shared" si="70"/>
        <v>162.6028</v>
      </c>
      <c r="AE469" s="82">
        <f t="shared" si="71"/>
        <v>177.88569999999999</v>
      </c>
      <c r="AF469" s="82">
        <f t="shared" si="72"/>
        <v>2398.77</v>
      </c>
      <c r="AG469" s="82">
        <f t="shared" si="72"/>
        <v>5936.96</v>
      </c>
      <c r="AH469" s="114"/>
      <c r="AI469" s="114"/>
      <c r="AJ469" s="83">
        <f t="shared" si="73"/>
        <v>8676.218499999999</v>
      </c>
      <c r="AK469" s="82"/>
      <c r="AL469" s="84"/>
      <c r="AM469" s="66"/>
    </row>
    <row r="470" spans="3:39" ht="45" x14ac:dyDescent="0.3">
      <c r="C470" s="94" t="s">
        <v>427</v>
      </c>
      <c r="D470" s="41" t="s">
        <v>408</v>
      </c>
      <c r="E470" s="42" t="s">
        <v>88</v>
      </c>
      <c r="G470" s="66"/>
      <c r="H470" s="74">
        <v>94818</v>
      </c>
      <c r="I470" s="74">
        <v>88799</v>
      </c>
      <c r="J470" s="74">
        <v>88101</v>
      </c>
      <c r="K470" s="74">
        <v>79784</v>
      </c>
      <c r="L470" s="74">
        <v>58650</v>
      </c>
      <c r="M470" s="74">
        <v>48515</v>
      </c>
      <c r="N470" s="76" cm="1">
        <f t="array" ref="N470">SUM((H470:L470)/5)</f>
        <v>82030.399999999994</v>
      </c>
      <c r="O470" s="74">
        <v>82030</v>
      </c>
      <c r="P470" s="66"/>
      <c r="Q470" s="77">
        <v>132.286</v>
      </c>
      <c r="R470" s="77">
        <v>303.38200000000001</v>
      </c>
      <c r="S470" s="77">
        <v>0.441</v>
      </c>
      <c r="T470" s="77">
        <v>0.441</v>
      </c>
      <c r="U470" s="77">
        <f t="shared" si="67"/>
        <v>32812</v>
      </c>
      <c r="V470" s="77">
        <f t="shared" si="68"/>
        <v>49218</v>
      </c>
      <c r="W470" s="66"/>
      <c r="X470" s="77" t="s">
        <v>409</v>
      </c>
      <c r="Y470" s="77" t="s">
        <v>428</v>
      </c>
      <c r="Z470" s="79">
        <f>SUM(27.50663+25.0842+25.4496)/3</f>
        <v>26.013476666666666</v>
      </c>
      <c r="AA470" s="80">
        <f t="shared" si="69"/>
        <v>42.922236499999997</v>
      </c>
      <c r="AB470" s="66"/>
      <c r="AC470" s="81">
        <v>365</v>
      </c>
      <c r="AD470" s="82">
        <f t="shared" si="70"/>
        <v>555.18910000000005</v>
      </c>
      <c r="AE470" s="82">
        <f t="shared" si="71"/>
        <v>607.37080000000003</v>
      </c>
      <c r="AF470" s="82">
        <f t="shared" si="72"/>
        <v>8535.5400000000009</v>
      </c>
      <c r="AG470" s="82">
        <f t="shared" si="72"/>
        <v>21125.47</v>
      </c>
      <c r="AH470" s="114"/>
      <c r="AI470" s="114"/>
      <c r="AJ470" s="83">
        <f t="shared" si="73"/>
        <v>30823.569900000002</v>
      </c>
      <c r="AK470" s="82"/>
      <c r="AL470" s="84"/>
      <c r="AM470" s="66"/>
    </row>
    <row r="471" spans="3:39" ht="45" x14ac:dyDescent="0.3">
      <c r="C471" s="94" t="s">
        <v>429</v>
      </c>
      <c r="D471" s="41" t="s">
        <v>408</v>
      </c>
      <c r="E471" s="42" t="s">
        <v>88</v>
      </c>
      <c r="G471" s="66"/>
      <c r="H471" s="74">
        <v>69724</v>
      </c>
      <c r="I471" s="74">
        <v>61181</v>
      </c>
      <c r="J471" s="74">
        <v>66512</v>
      </c>
      <c r="K471" s="74">
        <v>70311</v>
      </c>
      <c r="L471" s="74">
        <v>62284</v>
      </c>
      <c r="M471" s="74">
        <v>30833</v>
      </c>
      <c r="N471" s="76" cm="1">
        <f t="array" ref="N471">SUM((H471:L471)/5)</f>
        <v>66002.400000000009</v>
      </c>
      <c r="O471" s="74">
        <v>66000</v>
      </c>
      <c r="P471" s="66"/>
      <c r="Q471" s="77">
        <v>132.286</v>
      </c>
      <c r="R471" s="77">
        <v>303.38200000000001</v>
      </c>
      <c r="S471" s="77">
        <v>0.441</v>
      </c>
      <c r="T471" s="77">
        <v>0.441</v>
      </c>
      <c r="U471" s="77">
        <f t="shared" si="67"/>
        <v>26400</v>
      </c>
      <c r="V471" s="77">
        <f t="shared" si="68"/>
        <v>39600</v>
      </c>
      <c r="W471" s="66"/>
      <c r="X471" s="77" t="s">
        <v>409</v>
      </c>
      <c r="Y471" s="77" t="s">
        <v>430</v>
      </c>
      <c r="Z471" s="79">
        <f>SUM(27.58226+25.15982+25.52518)/3</f>
        <v>26.089086666666663</v>
      </c>
      <c r="AA471" s="80">
        <f t="shared" si="69"/>
        <v>43.046992999999993</v>
      </c>
      <c r="AB471" s="66"/>
      <c r="AC471" s="81">
        <v>365</v>
      </c>
      <c r="AD471" s="82">
        <f t="shared" si="70"/>
        <v>555.18910000000005</v>
      </c>
      <c r="AE471" s="82">
        <f t="shared" si="71"/>
        <v>607.37080000000003</v>
      </c>
      <c r="AF471" s="82">
        <f t="shared" si="72"/>
        <v>6887.52</v>
      </c>
      <c r="AG471" s="82">
        <f t="shared" si="72"/>
        <v>17046.61</v>
      </c>
      <c r="AH471" s="114"/>
      <c r="AI471" s="114"/>
      <c r="AJ471" s="83">
        <f t="shared" si="73"/>
        <v>25096.689900000001</v>
      </c>
      <c r="AK471" s="82"/>
      <c r="AL471" s="84"/>
      <c r="AM471" s="66"/>
    </row>
    <row r="472" spans="3:39" ht="30" x14ac:dyDescent="0.3">
      <c r="C472" s="94" t="s">
        <v>431</v>
      </c>
      <c r="D472" s="41" t="s">
        <v>408</v>
      </c>
      <c r="E472" s="42" t="s">
        <v>88</v>
      </c>
      <c r="G472" s="66"/>
      <c r="H472" s="74">
        <v>126459</v>
      </c>
      <c r="I472" s="74">
        <v>116094</v>
      </c>
      <c r="J472" s="74">
        <v>114392</v>
      </c>
      <c r="K472" s="74">
        <v>97947</v>
      </c>
      <c r="L472" s="74">
        <v>89604</v>
      </c>
      <c r="M472" s="74">
        <v>58737</v>
      </c>
      <c r="N472" s="76" cm="1">
        <f t="array" ref="N472">SUM((H472:L472)/5)</f>
        <v>108899.2</v>
      </c>
      <c r="O472" s="74">
        <v>109000</v>
      </c>
      <c r="P472" s="66"/>
      <c r="Q472" s="77">
        <v>132.286</v>
      </c>
      <c r="R472" s="77">
        <v>303.38200000000001</v>
      </c>
      <c r="S472" s="77">
        <v>0.441</v>
      </c>
      <c r="T472" s="77">
        <v>0.441</v>
      </c>
      <c r="U472" s="77">
        <f t="shared" si="67"/>
        <v>43600</v>
      </c>
      <c r="V472" s="77">
        <f t="shared" si="68"/>
        <v>65400</v>
      </c>
      <c r="W472" s="66"/>
      <c r="X472" s="77" t="s">
        <v>413</v>
      </c>
      <c r="Y472" s="77" t="s">
        <v>432</v>
      </c>
      <c r="Z472" s="79">
        <f>SUM(26.76214+25.13104)/2</f>
        <v>25.94659</v>
      </c>
      <c r="AA472" s="80">
        <f t="shared" si="69"/>
        <v>42.811873500000004</v>
      </c>
      <c r="AB472" s="66"/>
      <c r="AC472" s="81">
        <v>365</v>
      </c>
      <c r="AD472" s="82">
        <f t="shared" si="70"/>
        <v>555.18910000000005</v>
      </c>
      <c r="AE472" s="82">
        <f t="shared" si="71"/>
        <v>607.37080000000003</v>
      </c>
      <c r="AF472" s="82">
        <f t="shared" si="72"/>
        <v>11312.71</v>
      </c>
      <c r="AG472" s="82">
        <f t="shared" si="72"/>
        <v>27998.97</v>
      </c>
      <c r="AH472" s="114"/>
      <c r="AI472" s="114"/>
      <c r="AJ472" s="83">
        <f t="shared" si="73"/>
        <v>40474.2399</v>
      </c>
      <c r="AK472" s="82"/>
      <c r="AL472" s="84"/>
      <c r="AM472" s="66"/>
    </row>
    <row r="473" spans="3:39" ht="45" x14ac:dyDescent="0.3">
      <c r="C473" s="94" t="s">
        <v>433</v>
      </c>
      <c r="D473" s="41" t="s">
        <v>408</v>
      </c>
      <c r="E473" s="42" t="s">
        <v>88</v>
      </c>
      <c r="G473" s="66"/>
      <c r="H473" s="74">
        <v>91522</v>
      </c>
      <c r="I473" s="74">
        <v>87894</v>
      </c>
      <c r="J473" s="74">
        <v>85709</v>
      </c>
      <c r="K473" s="74">
        <v>78597</v>
      </c>
      <c r="L473" s="74">
        <v>80878</v>
      </c>
      <c r="M473" s="74">
        <v>48915</v>
      </c>
      <c r="N473" s="76" cm="1">
        <f t="array" ref="N473">SUM((H473:L473)/5)</f>
        <v>84920</v>
      </c>
      <c r="O473" s="74">
        <v>84920</v>
      </c>
      <c r="P473" s="66"/>
      <c r="Q473" s="77">
        <v>132.286</v>
      </c>
      <c r="R473" s="77">
        <v>303.38200000000001</v>
      </c>
      <c r="S473" s="77">
        <v>0.441</v>
      </c>
      <c r="T473" s="77">
        <v>0.441</v>
      </c>
      <c r="U473" s="77">
        <f t="shared" si="67"/>
        <v>33968</v>
      </c>
      <c r="V473" s="77">
        <f t="shared" si="68"/>
        <v>50952</v>
      </c>
      <c r="W473" s="66"/>
      <c r="X473" s="77" t="s">
        <v>369</v>
      </c>
      <c r="Y473" s="77" t="s">
        <v>434</v>
      </c>
      <c r="Z473" s="79">
        <f>SUM(27.50999+25.08044+25.39956)/3</f>
        <v>25.996663333333334</v>
      </c>
      <c r="AA473" s="80">
        <f t="shared" si="69"/>
        <v>42.8944945</v>
      </c>
      <c r="AB473" s="66"/>
      <c r="AC473" s="81">
        <v>365</v>
      </c>
      <c r="AD473" s="82">
        <f t="shared" si="70"/>
        <v>555.18910000000005</v>
      </c>
      <c r="AE473" s="82">
        <f t="shared" si="71"/>
        <v>607.37080000000003</v>
      </c>
      <c r="AF473" s="82">
        <f t="shared" si="72"/>
        <v>8830.5499999999993</v>
      </c>
      <c r="AG473" s="82">
        <f t="shared" si="72"/>
        <v>21855.599999999999</v>
      </c>
      <c r="AH473" s="114"/>
      <c r="AI473" s="114"/>
      <c r="AJ473" s="83">
        <f t="shared" si="73"/>
        <v>31848.709899999998</v>
      </c>
      <c r="AK473" s="82"/>
      <c r="AL473" s="84"/>
      <c r="AM473" s="66"/>
    </row>
    <row r="474" spans="3:39" ht="30" x14ac:dyDescent="0.3">
      <c r="C474" s="94" t="s">
        <v>435</v>
      </c>
      <c r="D474" s="41" t="s">
        <v>408</v>
      </c>
      <c r="E474" s="42" t="s">
        <v>88</v>
      </c>
      <c r="G474" s="66"/>
      <c r="H474" s="74">
        <v>100055</v>
      </c>
      <c r="I474" s="74">
        <v>99775</v>
      </c>
      <c r="J474" s="74">
        <v>101665</v>
      </c>
      <c r="K474" s="74">
        <v>97825</v>
      </c>
      <c r="L474" s="74">
        <v>96233</v>
      </c>
      <c r="M474" s="74">
        <v>62074</v>
      </c>
      <c r="N474" s="76" cm="1">
        <f t="array" ref="N474">SUM((H474:L474)/5)</f>
        <v>99110.6</v>
      </c>
      <c r="O474" s="74">
        <v>99000</v>
      </c>
      <c r="P474" s="66"/>
      <c r="Q474" s="77">
        <v>132.286</v>
      </c>
      <c r="R474" s="77">
        <v>303.38200000000001</v>
      </c>
      <c r="S474" s="77">
        <v>0.441</v>
      </c>
      <c r="T474" s="77">
        <v>0.441</v>
      </c>
      <c r="U474" s="77">
        <f t="shared" si="67"/>
        <v>39600</v>
      </c>
      <c r="V474" s="77">
        <f t="shared" si="68"/>
        <v>59400</v>
      </c>
      <c r="W474" s="66"/>
      <c r="X474" s="77" t="s">
        <v>436</v>
      </c>
      <c r="Y474" s="77" t="s">
        <v>437</v>
      </c>
      <c r="Z474" s="79">
        <f>SUM(26.75527+25.12155)/2</f>
        <v>25.938409999999998</v>
      </c>
      <c r="AA474" s="80">
        <f t="shared" si="69"/>
        <v>42.798376499999996</v>
      </c>
      <c r="AB474" s="66"/>
      <c r="AC474" s="81">
        <v>365</v>
      </c>
      <c r="AD474" s="82">
        <f t="shared" si="70"/>
        <v>555.18910000000005</v>
      </c>
      <c r="AE474" s="82">
        <f t="shared" si="71"/>
        <v>607.37080000000003</v>
      </c>
      <c r="AF474" s="82">
        <f t="shared" si="72"/>
        <v>10271.61</v>
      </c>
      <c r="AG474" s="82">
        <f t="shared" si="72"/>
        <v>25422.240000000002</v>
      </c>
      <c r="AH474" s="114"/>
      <c r="AI474" s="114"/>
      <c r="AJ474" s="83">
        <f t="shared" si="73"/>
        <v>36856.409899999999</v>
      </c>
      <c r="AK474" s="82"/>
      <c r="AL474" s="84"/>
      <c r="AM474" s="66"/>
    </row>
    <row r="475" spans="3:39" ht="30" x14ac:dyDescent="0.3">
      <c r="C475" s="94" t="s">
        <v>438</v>
      </c>
      <c r="D475" s="41" t="s">
        <v>408</v>
      </c>
      <c r="E475" s="42" t="s">
        <v>88</v>
      </c>
      <c r="G475" s="66"/>
      <c r="H475" s="74">
        <v>116995</v>
      </c>
      <c r="I475" s="74">
        <v>123597</v>
      </c>
      <c r="J475" s="74">
        <v>122080</v>
      </c>
      <c r="K475" s="74">
        <v>104612</v>
      </c>
      <c r="L475" s="74">
        <v>106052</v>
      </c>
      <c r="M475" s="74">
        <v>60741</v>
      </c>
      <c r="N475" s="76" cm="1">
        <f t="array" ref="N475">SUM((H475:L475)/5)</f>
        <v>114667.19999999998</v>
      </c>
      <c r="O475" s="74">
        <v>114000</v>
      </c>
      <c r="P475" s="66"/>
      <c r="Q475" s="77">
        <v>272.11399999999998</v>
      </c>
      <c r="R475" s="77">
        <v>541.20399999999995</v>
      </c>
      <c r="S475" s="77">
        <v>0.441</v>
      </c>
      <c r="T475" s="77">
        <v>0.441</v>
      </c>
      <c r="U475" s="77">
        <f t="shared" si="67"/>
        <v>45600</v>
      </c>
      <c r="V475" s="77">
        <f t="shared" si="68"/>
        <v>68400</v>
      </c>
      <c r="W475" s="66"/>
      <c r="X475" s="77" t="s">
        <v>439</v>
      </c>
      <c r="Y475" s="77" t="s">
        <v>440</v>
      </c>
      <c r="Z475" s="79">
        <f>SUM(26.25526+25.15407)/2</f>
        <v>25.704664999999999</v>
      </c>
      <c r="AA475" s="80">
        <f t="shared" si="69"/>
        <v>42.412697249999994</v>
      </c>
      <c r="AB475" s="66"/>
      <c r="AC475" s="81">
        <v>365</v>
      </c>
      <c r="AD475" s="82">
        <f t="shared" si="70"/>
        <v>990.40330000000006</v>
      </c>
      <c r="AE475" s="82">
        <f t="shared" si="71"/>
        <v>1083.4903999999999</v>
      </c>
      <c r="AF475" s="82">
        <f t="shared" si="72"/>
        <v>11721.33</v>
      </c>
      <c r="AG475" s="82">
        <f t="shared" si="72"/>
        <v>29010.28</v>
      </c>
      <c r="AH475" s="114"/>
      <c r="AI475" s="114"/>
      <c r="AJ475" s="83">
        <f t="shared" si="73"/>
        <v>42805.503700000001</v>
      </c>
      <c r="AK475" s="82"/>
      <c r="AL475" s="84"/>
      <c r="AM475" s="66"/>
    </row>
    <row r="476" spans="3:39" ht="30" x14ac:dyDescent="0.3">
      <c r="C476" s="94" t="s">
        <v>441</v>
      </c>
      <c r="D476" s="41" t="s">
        <v>408</v>
      </c>
      <c r="E476" s="42" t="s">
        <v>88</v>
      </c>
      <c r="G476" s="66"/>
      <c r="H476" s="74">
        <v>111029</v>
      </c>
      <c r="I476" s="74">
        <v>108531</v>
      </c>
      <c r="J476" s="74">
        <v>104350</v>
      </c>
      <c r="K476" s="74">
        <v>99054</v>
      </c>
      <c r="L476" s="74">
        <v>106593</v>
      </c>
      <c r="M476" s="74">
        <v>6412</v>
      </c>
      <c r="N476" s="76" cm="1">
        <f t="array" ref="N476">SUM((H476:L476)/5)</f>
        <v>105911.4</v>
      </c>
      <c r="O476" s="74">
        <v>105500</v>
      </c>
      <c r="P476" s="66"/>
      <c r="Q476" s="77">
        <v>132.286</v>
      </c>
      <c r="R476" s="77">
        <v>303.38200000000001</v>
      </c>
      <c r="S476" s="77">
        <v>0.441</v>
      </c>
      <c r="T476" s="77">
        <v>0.441</v>
      </c>
      <c r="U476" s="77">
        <f t="shared" si="67"/>
        <v>42200</v>
      </c>
      <c r="V476" s="77">
        <f t="shared" si="68"/>
        <v>63300</v>
      </c>
      <c r="W476" s="66"/>
      <c r="X476" s="77" t="s">
        <v>413</v>
      </c>
      <c r="Y476" s="77" t="s">
        <v>442</v>
      </c>
      <c r="Z476" s="79">
        <f>SUM(26.74796+25.11685)/2</f>
        <v>25.932404999999999</v>
      </c>
      <c r="AA476" s="80">
        <f t="shared" si="69"/>
        <v>42.788468250000001</v>
      </c>
      <c r="AB476" s="66"/>
      <c r="AC476" s="81">
        <v>365</v>
      </c>
      <c r="AD476" s="82">
        <f t="shared" si="70"/>
        <v>555.18910000000005</v>
      </c>
      <c r="AE476" s="82">
        <f t="shared" si="71"/>
        <v>607.37080000000003</v>
      </c>
      <c r="AF476" s="82">
        <f t="shared" si="72"/>
        <v>10943.47</v>
      </c>
      <c r="AG476" s="82">
        <f t="shared" si="72"/>
        <v>27085.1</v>
      </c>
      <c r="AH476" s="114"/>
      <c r="AI476" s="114"/>
      <c r="AJ476" s="83">
        <f t="shared" si="73"/>
        <v>39191.1299</v>
      </c>
      <c r="AK476" s="82"/>
      <c r="AL476" s="84"/>
      <c r="AM476" s="66"/>
    </row>
    <row r="477" spans="3:39" ht="45" x14ac:dyDescent="0.3">
      <c r="C477" s="94" t="s">
        <v>443</v>
      </c>
      <c r="D477" s="41" t="s">
        <v>408</v>
      </c>
      <c r="E477" s="42" t="s">
        <v>88</v>
      </c>
      <c r="G477" s="66"/>
      <c r="H477" s="74">
        <v>220192</v>
      </c>
      <c r="I477" s="74">
        <v>180272</v>
      </c>
      <c r="J477" s="74">
        <v>156596</v>
      </c>
      <c r="K477" s="74">
        <v>154463</v>
      </c>
      <c r="L477" s="74">
        <v>132662</v>
      </c>
      <c r="M477" s="74">
        <v>101373</v>
      </c>
      <c r="N477" s="76" cm="1">
        <f t="array" ref="N477">SUM((H477:L477)/5)</f>
        <v>168837</v>
      </c>
      <c r="O477" s="74">
        <v>165000</v>
      </c>
      <c r="P477" s="66"/>
      <c r="Q477" s="77">
        <v>132.286</v>
      </c>
      <c r="R477" s="77">
        <v>303.38200000000001</v>
      </c>
      <c r="S477" s="77">
        <v>0.441</v>
      </c>
      <c r="T477" s="77">
        <v>0.441</v>
      </c>
      <c r="U477" s="77">
        <f t="shared" si="67"/>
        <v>66000</v>
      </c>
      <c r="V477" s="77">
        <f t="shared" si="68"/>
        <v>99000</v>
      </c>
      <c r="W477" s="66"/>
      <c r="X477" s="77" t="s">
        <v>409</v>
      </c>
      <c r="Y477" s="77" t="s">
        <v>444</v>
      </c>
      <c r="Z477" s="79">
        <f>SUM(27.46951+25.04706+25.41245)/3</f>
        <v>25.976340000000004</v>
      </c>
      <c r="AA477" s="80">
        <f t="shared" si="69"/>
        <v>42.860961000000003</v>
      </c>
      <c r="AB477" s="66"/>
      <c r="AC477" s="81">
        <v>365</v>
      </c>
      <c r="AD477" s="82">
        <f t="shared" si="70"/>
        <v>555.18910000000005</v>
      </c>
      <c r="AE477" s="82">
        <f t="shared" si="71"/>
        <v>607.37080000000003</v>
      </c>
      <c r="AF477" s="82">
        <f t="shared" si="72"/>
        <v>17144.38</v>
      </c>
      <c r="AG477" s="82">
        <f t="shared" si="72"/>
        <v>42432.35</v>
      </c>
      <c r="AH477" s="114"/>
      <c r="AI477" s="114"/>
      <c r="AJ477" s="83">
        <f t="shared" si="73"/>
        <v>60739.289900000003</v>
      </c>
      <c r="AK477" s="82"/>
      <c r="AL477" s="84"/>
      <c r="AM477" s="66"/>
    </row>
    <row r="478" spans="3:39" ht="30" x14ac:dyDescent="0.3">
      <c r="C478" s="94" t="s">
        <v>445</v>
      </c>
      <c r="D478" s="41" t="s">
        <v>408</v>
      </c>
      <c r="E478" s="42" t="s">
        <v>88</v>
      </c>
      <c r="G478" s="66"/>
      <c r="H478" s="74">
        <v>60086</v>
      </c>
      <c r="I478" s="74">
        <v>56859</v>
      </c>
      <c r="J478" s="74">
        <v>59862</v>
      </c>
      <c r="K478" s="74">
        <v>63947</v>
      </c>
      <c r="L478" s="74">
        <v>54321</v>
      </c>
      <c r="M478" s="74">
        <v>32056</v>
      </c>
      <c r="N478" s="76" cm="1">
        <f t="array" ref="N478">SUM((H478:L478)/5)</f>
        <v>59015</v>
      </c>
      <c r="O478" s="74">
        <v>59000</v>
      </c>
      <c r="P478" s="66"/>
      <c r="Q478" s="77">
        <v>132.286</v>
      </c>
      <c r="R478" s="77">
        <v>303.38200000000001</v>
      </c>
      <c r="S478" s="77">
        <v>0.441</v>
      </c>
      <c r="T478" s="77">
        <v>0.441</v>
      </c>
      <c r="U478" s="77">
        <f t="shared" si="67"/>
        <v>23600</v>
      </c>
      <c r="V478" s="77">
        <f t="shared" si="68"/>
        <v>35400</v>
      </c>
      <c r="W478" s="66"/>
      <c r="X478" s="77" t="s">
        <v>413</v>
      </c>
      <c r="Y478" s="77" t="s">
        <v>446</v>
      </c>
      <c r="Z478" s="79">
        <f>SUM(26.75968+25.12857)/2</f>
        <v>25.944125</v>
      </c>
      <c r="AA478" s="80">
        <f t="shared" si="69"/>
        <v>42.807806249999999</v>
      </c>
      <c r="AB478" s="66"/>
      <c r="AC478" s="81">
        <v>365</v>
      </c>
      <c r="AD478" s="82">
        <f t="shared" si="70"/>
        <v>555.18910000000005</v>
      </c>
      <c r="AE478" s="82">
        <f t="shared" si="71"/>
        <v>607.37080000000003</v>
      </c>
      <c r="AF478" s="82">
        <f t="shared" si="72"/>
        <v>6122.81</v>
      </c>
      <c r="AG478" s="82">
        <f t="shared" si="72"/>
        <v>15153.96</v>
      </c>
      <c r="AH478" s="114"/>
      <c r="AI478" s="114"/>
      <c r="AJ478" s="83">
        <f t="shared" si="73"/>
        <v>22439.329900000001</v>
      </c>
      <c r="AK478" s="82"/>
      <c r="AL478" s="84"/>
      <c r="AM478" s="66"/>
    </row>
    <row r="479" spans="3:39" ht="30" x14ac:dyDescent="0.3">
      <c r="C479" s="94" t="s">
        <v>447</v>
      </c>
      <c r="D479" s="41" t="s">
        <v>408</v>
      </c>
      <c r="E479" s="42" t="s">
        <v>88</v>
      </c>
      <c r="G479" s="66"/>
      <c r="H479" s="74">
        <v>92168</v>
      </c>
      <c r="I479" s="74">
        <v>91379</v>
      </c>
      <c r="J479" s="74">
        <v>86978</v>
      </c>
      <c r="K479" s="74">
        <v>87177</v>
      </c>
      <c r="L479" s="74">
        <v>81754</v>
      </c>
      <c r="M479" s="74">
        <v>43581</v>
      </c>
      <c r="N479" s="76" cm="1">
        <f t="array" ref="N479">SUM((H479:L479)/5)</f>
        <v>87891.199999999997</v>
      </c>
      <c r="O479" s="74">
        <v>87900</v>
      </c>
      <c r="P479" s="66"/>
      <c r="Q479" s="77">
        <v>208.905</v>
      </c>
      <c r="R479" s="77">
        <v>374.858</v>
      </c>
      <c r="S479" s="77">
        <v>0.441</v>
      </c>
      <c r="T479" s="77">
        <v>0.441</v>
      </c>
      <c r="U479" s="77">
        <f t="shared" si="67"/>
        <v>35160</v>
      </c>
      <c r="V479" s="77">
        <f t="shared" si="68"/>
        <v>52740</v>
      </c>
      <c r="W479" s="66"/>
      <c r="X479" s="77" t="s">
        <v>448</v>
      </c>
      <c r="Y479" s="77" t="s">
        <v>449</v>
      </c>
      <c r="Z479" s="79">
        <f>SUM(26.87951+25.26936)/2</f>
        <v>26.074435000000001</v>
      </c>
      <c r="AA479" s="80">
        <f t="shared" si="69"/>
        <v>43.022817750000002</v>
      </c>
      <c r="AB479" s="66"/>
      <c r="AC479" s="81">
        <v>365</v>
      </c>
      <c r="AD479" s="82">
        <f t="shared" si="70"/>
        <v>685.99009999999998</v>
      </c>
      <c r="AE479" s="82">
        <f t="shared" si="71"/>
        <v>750.46570000000008</v>
      </c>
      <c r="AF479" s="82">
        <f t="shared" si="72"/>
        <v>9167.77</v>
      </c>
      <c r="AG479" s="82">
        <f t="shared" si="72"/>
        <v>22690.23</v>
      </c>
      <c r="AH479" s="114"/>
      <c r="AI479" s="114"/>
      <c r="AJ479" s="83">
        <f t="shared" si="73"/>
        <v>33294.455799999996</v>
      </c>
      <c r="AK479" s="82"/>
      <c r="AL479" s="84"/>
      <c r="AM479" s="66"/>
    </row>
    <row r="480" spans="3:39" ht="30" x14ac:dyDescent="0.3">
      <c r="C480" s="94" t="s">
        <v>450</v>
      </c>
      <c r="D480" s="41" t="s">
        <v>408</v>
      </c>
      <c r="E480" s="42" t="s">
        <v>88</v>
      </c>
      <c r="G480" s="66"/>
      <c r="H480" s="74">
        <v>6007</v>
      </c>
      <c r="I480" s="74">
        <v>6111</v>
      </c>
      <c r="J480" s="74">
        <v>5551</v>
      </c>
      <c r="K480" s="74">
        <v>4988</v>
      </c>
      <c r="L480" s="74">
        <v>3573</v>
      </c>
      <c r="M480" s="74">
        <v>2674</v>
      </c>
      <c r="N480" s="76" cm="1">
        <f t="array" ref="N480">SUM((H480:L480)/5)</f>
        <v>5246.0000000000009</v>
      </c>
      <c r="O480" s="74">
        <v>5250</v>
      </c>
      <c r="P480" s="66"/>
      <c r="Q480" s="77">
        <v>59.098999999999997</v>
      </c>
      <c r="R480" s="77">
        <v>88.853999999999999</v>
      </c>
      <c r="S480" s="77">
        <v>0.441</v>
      </c>
      <c r="T480" s="77">
        <v>0.441</v>
      </c>
      <c r="U480" s="77">
        <f t="shared" si="67"/>
        <v>2100</v>
      </c>
      <c r="V480" s="77">
        <f t="shared" si="68"/>
        <v>3150</v>
      </c>
      <c r="W480" s="66"/>
      <c r="X480" s="77" t="s">
        <v>413</v>
      </c>
      <c r="Y480" s="77" t="s">
        <v>451</v>
      </c>
      <c r="Z480" s="79">
        <f>SUM(26.71503+25.08394)/2</f>
        <v>25.899484999999999</v>
      </c>
      <c r="AA480" s="80">
        <f t="shared" si="69"/>
        <v>42.734150249999999</v>
      </c>
      <c r="AB480" s="66"/>
      <c r="AC480" s="81">
        <v>365</v>
      </c>
      <c r="AD480" s="82">
        <f t="shared" si="70"/>
        <v>162.6028</v>
      </c>
      <c r="AE480" s="82">
        <f t="shared" si="71"/>
        <v>177.88569999999999</v>
      </c>
      <c r="AF480" s="82">
        <f t="shared" si="72"/>
        <v>543.89</v>
      </c>
      <c r="AG480" s="82">
        <f t="shared" si="72"/>
        <v>1346.13</v>
      </c>
      <c r="AH480" s="114"/>
      <c r="AI480" s="114"/>
      <c r="AJ480" s="83">
        <f t="shared" si="73"/>
        <v>2230.5084999999999</v>
      </c>
      <c r="AK480" s="82"/>
      <c r="AL480" s="84"/>
      <c r="AM480" s="66"/>
    </row>
    <row r="481" spans="2:39" ht="30" x14ac:dyDescent="0.3">
      <c r="C481" s="94" t="s">
        <v>450</v>
      </c>
      <c r="D481" s="41" t="s">
        <v>408</v>
      </c>
      <c r="E481" s="42" t="s">
        <v>88</v>
      </c>
      <c r="G481" s="66"/>
      <c r="H481" s="74">
        <v>1872</v>
      </c>
      <c r="I481" s="74">
        <v>1796</v>
      </c>
      <c r="J481" s="74">
        <v>1704</v>
      </c>
      <c r="K481" s="74">
        <v>1754</v>
      </c>
      <c r="L481" s="74">
        <v>1801</v>
      </c>
      <c r="M481" s="74">
        <v>1221</v>
      </c>
      <c r="N481" s="76" cm="1">
        <f t="array" ref="N481">SUM((H481:L481)/5)</f>
        <v>1785.3999999999999</v>
      </c>
      <c r="O481" s="74">
        <v>1790</v>
      </c>
      <c r="P481" s="66"/>
      <c r="Q481" s="77">
        <v>49.325000000000003</v>
      </c>
      <c r="R481" s="77">
        <v>72.016000000000005</v>
      </c>
      <c r="S481" s="77">
        <v>0.441</v>
      </c>
      <c r="T481" s="77">
        <v>0.441</v>
      </c>
      <c r="U481" s="77">
        <f t="shared" si="67"/>
        <v>716</v>
      </c>
      <c r="V481" s="77">
        <f t="shared" si="68"/>
        <v>1074</v>
      </c>
      <c r="W481" s="66"/>
      <c r="X481" s="77" t="s">
        <v>359</v>
      </c>
      <c r="Y481" s="77" t="s">
        <v>452</v>
      </c>
      <c r="Z481" s="79">
        <f>SUM(27.22889+25.1057)/2</f>
        <v>26.167294999999999</v>
      </c>
      <c r="AA481" s="80">
        <f t="shared" si="69"/>
        <v>43.176036749999994</v>
      </c>
      <c r="AB481" s="66"/>
      <c r="AC481" s="81">
        <v>365</v>
      </c>
      <c r="AD481" s="82">
        <f t="shared" si="70"/>
        <v>131.7893</v>
      </c>
      <c r="AE481" s="82">
        <f t="shared" si="71"/>
        <v>144.17600000000002</v>
      </c>
      <c r="AF481" s="82">
        <f t="shared" si="72"/>
        <v>187.36</v>
      </c>
      <c r="AG481" s="82">
        <f t="shared" si="72"/>
        <v>463.71</v>
      </c>
      <c r="AH481" s="114"/>
      <c r="AI481" s="114"/>
      <c r="AJ481" s="83">
        <f t="shared" si="73"/>
        <v>927.03530000000001</v>
      </c>
      <c r="AK481" s="82"/>
      <c r="AL481" s="84"/>
      <c r="AM481" s="66"/>
    </row>
    <row r="482" spans="2:39" ht="45" x14ac:dyDescent="0.3">
      <c r="C482" s="94" t="s">
        <v>453</v>
      </c>
      <c r="D482" s="41" t="s">
        <v>408</v>
      </c>
      <c r="E482" s="42" t="s">
        <v>88</v>
      </c>
      <c r="G482" s="66"/>
      <c r="H482" s="74">
        <v>110426</v>
      </c>
      <c r="I482" s="74">
        <v>103075</v>
      </c>
      <c r="J482" s="74">
        <v>97378</v>
      </c>
      <c r="K482" s="74">
        <v>97359</v>
      </c>
      <c r="L482" s="74">
        <v>96767</v>
      </c>
      <c r="M482" s="74">
        <v>65618</v>
      </c>
      <c r="N482" s="76" cm="1">
        <f t="array" ref="N482">SUM((H482:L482)/5)</f>
        <v>101001</v>
      </c>
      <c r="O482" s="74">
        <v>101000</v>
      </c>
      <c r="P482" s="66"/>
      <c r="Q482" s="77">
        <v>132.286</v>
      </c>
      <c r="R482" s="77">
        <v>303.38200000000001</v>
      </c>
      <c r="S482" s="77">
        <v>0.441</v>
      </c>
      <c r="T482" s="77">
        <v>0.441</v>
      </c>
      <c r="U482" s="77">
        <f t="shared" si="67"/>
        <v>40400</v>
      </c>
      <c r="V482" s="77">
        <f t="shared" si="68"/>
        <v>60600</v>
      </c>
      <c r="W482" s="66"/>
      <c r="X482" s="77" t="s">
        <v>409</v>
      </c>
      <c r="Y482" s="77" t="s">
        <v>454</v>
      </c>
      <c r="Z482" s="79">
        <f>SUM(27.51323+25.09078+25.45619)/3</f>
        <v>26.020066666666668</v>
      </c>
      <c r="AA482" s="80">
        <f t="shared" si="69"/>
        <v>42.933109999999999</v>
      </c>
      <c r="AB482" s="66"/>
      <c r="AC482" s="81">
        <v>365</v>
      </c>
      <c r="AD482" s="82">
        <f t="shared" si="70"/>
        <v>555.18910000000005</v>
      </c>
      <c r="AE482" s="82">
        <f t="shared" si="71"/>
        <v>607.37080000000003</v>
      </c>
      <c r="AF482" s="82">
        <f t="shared" si="72"/>
        <v>10512.11</v>
      </c>
      <c r="AG482" s="82">
        <f t="shared" si="72"/>
        <v>26017.46</v>
      </c>
      <c r="AH482" s="114"/>
      <c r="AI482" s="114"/>
      <c r="AJ482" s="83">
        <f t="shared" si="73"/>
        <v>37692.1299</v>
      </c>
      <c r="AK482" s="82"/>
      <c r="AL482" s="84"/>
      <c r="AM482" s="66"/>
    </row>
    <row r="483" spans="2:39" ht="45" x14ac:dyDescent="0.3">
      <c r="C483" s="94" t="s">
        <v>455</v>
      </c>
      <c r="D483" s="41" t="s">
        <v>408</v>
      </c>
      <c r="E483" s="42" t="s">
        <v>88</v>
      </c>
      <c r="G483" s="66"/>
      <c r="H483" s="74">
        <v>35960</v>
      </c>
      <c r="I483" s="74">
        <v>31080</v>
      </c>
      <c r="J483" s="74">
        <v>29889</v>
      </c>
      <c r="K483" s="74">
        <v>36419</v>
      </c>
      <c r="L483" s="74">
        <v>42607</v>
      </c>
      <c r="M483" s="74">
        <v>29058</v>
      </c>
      <c r="N483" s="76" cm="1">
        <f t="array" ref="N483">SUM((H483:L483)/5)</f>
        <v>35191</v>
      </c>
      <c r="O483" s="74">
        <v>35200</v>
      </c>
      <c r="P483" s="66"/>
      <c r="Q483" s="77">
        <v>132.286</v>
      </c>
      <c r="R483" s="77">
        <v>303.38200000000001</v>
      </c>
      <c r="S483" s="77">
        <v>0.441</v>
      </c>
      <c r="T483" s="77">
        <v>0.441</v>
      </c>
      <c r="U483" s="77">
        <f t="shared" si="67"/>
        <v>14080</v>
      </c>
      <c r="V483" s="77">
        <f t="shared" si="68"/>
        <v>21120</v>
      </c>
      <c r="W483" s="66"/>
      <c r="X483" s="77" t="s">
        <v>369</v>
      </c>
      <c r="Y483" s="77" t="s">
        <v>456</v>
      </c>
      <c r="Z483" s="79">
        <f>SUM(27.50698+25.07745+25.39657)/3</f>
        <v>25.993666666666666</v>
      </c>
      <c r="AA483" s="80">
        <f t="shared" si="69"/>
        <v>42.88955</v>
      </c>
      <c r="AB483" s="66"/>
      <c r="AC483" s="81">
        <v>365</v>
      </c>
      <c r="AD483" s="82">
        <f t="shared" si="70"/>
        <v>555.18910000000005</v>
      </c>
      <c r="AE483" s="82">
        <f t="shared" si="71"/>
        <v>607.37080000000003</v>
      </c>
      <c r="AF483" s="82">
        <f t="shared" si="72"/>
        <v>3659.91</v>
      </c>
      <c r="AG483" s="82">
        <f t="shared" si="72"/>
        <v>9058.27</v>
      </c>
      <c r="AH483" s="114"/>
      <c r="AI483" s="114"/>
      <c r="AJ483" s="83">
        <f t="shared" si="73"/>
        <v>13880.7399</v>
      </c>
      <c r="AK483" s="82"/>
      <c r="AL483" s="84"/>
      <c r="AM483" s="66"/>
    </row>
    <row r="484" spans="2:39" ht="30" x14ac:dyDescent="0.3">
      <c r="C484" s="94" t="s">
        <v>457</v>
      </c>
      <c r="D484" s="41" t="s">
        <v>408</v>
      </c>
      <c r="E484" s="42" t="s">
        <v>88</v>
      </c>
      <c r="G484" s="66"/>
      <c r="H484" s="74">
        <v>103083</v>
      </c>
      <c r="I484" s="74">
        <v>96690</v>
      </c>
      <c r="J484" s="74">
        <v>94106</v>
      </c>
      <c r="K484" s="74">
        <v>91675</v>
      </c>
      <c r="L484" s="74">
        <v>85554</v>
      </c>
      <c r="M484" s="74">
        <v>51844</v>
      </c>
      <c r="N484" s="76" cm="1">
        <f t="array" ref="N484">SUM((H484:L484)/5)</f>
        <v>94221.6</v>
      </c>
      <c r="O484" s="74">
        <v>94200</v>
      </c>
      <c r="P484" s="66"/>
      <c r="Q484" s="77">
        <v>208.905</v>
      </c>
      <c r="R484" s="77">
        <v>374.858</v>
      </c>
      <c r="S484" s="77">
        <v>0.441</v>
      </c>
      <c r="T484" s="77">
        <v>0.441</v>
      </c>
      <c r="U484" s="77">
        <f t="shared" si="67"/>
        <v>37680</v>
      </c>
      <c r="V484" s="77">
        <f t="shared" si="68"/>
        <v>56520</v>
      </c>
      <c r="W484" s="66"/>
      <c r="X484" s="77" t="s">
        <v>458</v>
      </c>
      <c r="Y484" s="77" t="s">
        <v>459</v>
      </c>
      <c r="Z484" s="79">
        <f>SUM(26.72811+25.24854)/2</f>
        <v>25.988325</v>
      </c>
      <c r="AA484" s="80">
        <f t="shared" si="69"/>
        <v>42.880736249999998</v>
      </c>
      <c r="AB484" s="66"/>
      <c r="AC484" s="81">
        <v>365</v>
      </c>
      <c r="AD484" s="82">
        <f t="shared" si="70"/>
        <v>685.99009999999998</v>
      </c>
      <c r="AE484" s="82">
        <f t="shared" si="71"/>
        <v>750.46570000000008</v>
      </c>
      <c r="AF484" s="82">
        <f t="shared" si="72"/>
        <v>9792.4</v>
      </c>
      <c r="AG484" s="82">
        <f t="shared" si="72"/>
        <v>24236.19</v>
      </c>
      <c r="AH484" s="114"/>
      <c r="AI484" s="114"/>
      <c r="AJ484" s="83">
        <f t="shared" si="73"/>
        <v>35465.0458</v>
      </c>
      <c r="AK484" s="82"/>
      <c r="AL484" s="84"/>
      <c r="AM484" s="66"/>
    </row>
    <row r="485" spans="2:39" ht="45" x14ac:dyDescent="0.3">
      <c r="C485" s="94" t="s">
        <v>460</v>
      </c>
      <c r="D485" s="41" t="s">
        <v>408</v>
      </c>
      <c r="E485" s="42" t="s">
        <v>88</v>
      </c>
      <c r="G485" s="66"/>
      <c r="H485" s="74">
        <v>85358</v>
      </c>
      <c r="I485" s="74">
        <v>108549</v>
      </c>
      <c r="J485" s="74">
        <v>105131</v>
      </c>
      <c r="K485" s="74">
        <v>98137</v>
      </c>
      <c r="L485" s="74">
        <v>97060</v>
      </c>
      <c r="M485" s="74">
        <v>61771</v>
      </c>
      <c r="N485" s="76" cm="1">
        <f t="array" ref="N485">SUM((H485:L485)/5)</f>
        <v>98847</v>
      </c>
      <c r="O485" s="74">
        <v>99000</v>
      </c>
      <c r="P485" s="66"/>
      <c r="Q485" s="77">
        <v>132.286</v>
      </c>
      <c r="R485" s="77">
        <v>303.38200000000001</v>
      </c>
      <c r="S485" s="77">
        <v>0.441</v>
      </c>
      <c r="T485" s="77">
        <v>0.441</v>
      </c>
      <c r="U485" s="77">
        <f t="shared" si="67"/>
        <v>39600</v>
      </c>
      <c r="V485" s="77">
        <f t="shared" si="68"/>
        <v>59400</v>
      </c>
      <c r="W485" s="66"/>
      <c r="X485" s="77" t="s">
        <v>409</v>
      </c>
      <c r="Y485" s="77" t="s">
        <v>461</v>
      </c>
      <c r="Z485" s="79">
        <f>SUM(27.50191+25.07947+25.44489)/3</f>
        <v>26.008756666666667</v>
      </c>
      <c r="AA485" s="80">
        <f t="shared" si="69"/>
        <v>42.914448500000006</v>
      </c>
      <c r="AB485" s="66"/>
      <c r="AC485" s="81">
        <v>365</v>
      </c>
      <c r="AD485" s="82">
        <f t="shared" si="70"/>
        <v>555.18910000000005</v>
      </c>
      <c r="AE485" s="82">
        <f t="shared" si="71"/>
        <v>607.37080000000003</v>
      </c>
      <c r="AF485" s="82">
        <f t="shared" si="72"/>
        <v>10299.469999999999</v>
      </c>
      <c r="AG485" s="82">
        <f t="shared" si="72"/>
        <v>25491.18</v>
      </c>
      <c r="AH485" s="114"/>
      <c r="AI485" s="114"/>
      <c r="AJ485" s="83">
        <f t="shared" si="73"/>
        <v>36953.209900000002</v>
      </c>
      <c r="AK485" s="82"/>
      <c r="AL485" s="84"/>
      <c r="AM485" s="66"/>
    </row>
    <row r="486" spans="2:39" ht="15.6" x14ac:dyDescent="0.3">
      <c r="C486" s="94" t="s">
        <v>462</v>
      </c>
      <c r="D486" s="41" t="s">
        <v>408</v>
      </c>
      <c r="E486" s="42" t="s">
        <v>88</v>
      </c>
      <c r="G486" s="66"/>
      <c r="H486" s="74">
        <v>1257</v>
      </c>
      <c r="I486" s="74">
        <v>435</v>
      </c>
      <c r="J486" s="74">
        <v>1094</v>
      </c>
      <c r="K486" s="74">
        <v>889</v>
      </c>
      <c r="L486" s="74">
        <v>1531</v>
      </c>
      <c r="M486" s="74">
        <v>748</v>
      </c>
      <c r="N486" s="76" cm="1">
        <f t="array" ref="N486">SUM((H486:L486)/5)</f>
        <v>1041.2</v>
      </c>
      <c r="O486" s="74">
        <v>1040</v>
      </c>
      <c r="P486" s="66"/>
      <c r="Q486" s="77">
        <v>49.308</v>
      </c>
      <c r="R486" s="77">
        <v>72.016000000000005</v>
      </c>
      <c r="S486" s="77">
        <v>0.441</v>
      </c>
      <c r="T486" s="77">
        <v>0.441</v>
      </c>
      <c r="U486" s="77">
        <f t="shared" si="67"/>
        <v>416</v>
      </c>
      <c r="V486" s="77">
        <f t="shared" si="68"/>
        <v>624</v>
      </c>
      <c r="W486" s="66"/>
      <c r="X486" s="77">
        <v>15.868</v>
      </c>
      <c r="Y486" s="77">
        <v>27.08315</v>
      </c>
      <c r="Z486" s="79">
        <v>27.08315</v>
      </c>
      <c r="AA486" s="80">
        <f t="shared" si="69"/>
        <v>44.687197499999996</v>
      </c>
      <c r="AB486" s="66"/>
      <c r="AC486" s="81">
        <v>365</v>
      </c>
      <c r="AD486" s="82">
        <f t="shared" si="70"/>
        <v>131.7893</v>
      </c>
      <c r="AE486" s="82">
        <f t="shared" si="71"/>
        <v>144.17600000000002</v>
      </c>
      <c r="AF486" s="82">
        <f t="shared" si="72"/>
        <v>112.67</v>
      </c>
      <c r="AG486" s="82">
        <f t="shared" si="72"/>
        <v>278.85000000000002</v>
      </c>
      <c r="AH486" s="114"/>
      <c r="AI486" s="114"/>
      <c r="AJ486" s="83">
        <f t="shared" si="73"/>
        <v>667.48530000000005</v>
      </c>
      <c r="AK486" s="82"/>
      <c r="AL486" s="84"/>
      <c r="AM486" s="66"/>
    </row>
    <row r="487" spans="2:39" ht="45" x14ac:dyDescent="0.3">
      <c r="C487" s="94" t="s">
        <v>462</v>
      </c>
      <c r="D487" s="41" t="s">
        <v>408</v>
      </c>
      <c r="E487" s="42" t="s">
        <v>88</v>
      </c>
      <c r="G487" s="66"/>
      <c r="H487" s="74">
        <v>38928</v>
      </c>
      <c r="I487" s="74">
        <v>40319</v>
      </c>
      <c r="J487" s="74">
        <v>40263</v>
      </c>
      <c r="K487" s="74">
        <v>37535</v>
      </c>
      <c r="L487" s="74">
        <v>29860</v>
      </c>
      <c r="M487" s="74">
        <v>24325</v>
      </c>
      <c r="N487" s="76" cm="1">
        <f t="array" ref="N487">SUM((H487:L487)/5)</f>
        <v>37381</v>
      </c>
      <c r="O487" s="74">
        <v>37300</v>
      </c>
      <c r="P487" s="66"/>
      <c r="Q487" s="77">
        <v>132.286</v>
      </c>
      <c r="R487" s="77">
        <v>303.38200000000001</v>
      </c>
      <c r="S487" s="77">
        <v>0.441</v>
      </c>
      <c r="T487" s="77">
        <v>0.441</v>
      </c>
      <c r="U487" s="77">
        <f t="shared" si="67"/>
        <v>14920</v>
      </c>
      <c r="V487" s="77">
        <f t="shared" si="68"/>
        <v>22380</v>
      </c>
      <c r="W487" s="66"/>
      <c r="X487" s="77" t="s">
        <v>367</v>
      </c>
      <c r="Y487" s="77" t="s">
        <v>463</v>
      </c>
      <c r="Z487" s="79">
        <f>SUM(27.49877+25.06919+25.38831)/3</f>
        <v>25.985423333333333</v>
      </c>
      <c r="AA487" s="80">
        <f t="shared" si="69"/>
        <v>42.8759485</v>
      </c>
      <c r="AB487" s="66"/>
      <c r="AC487" s="81">
        <v>365</v>
      </c>
      <c r="AD487" s="82">
        <f t="shared" si="70"/>
        <v>555.18910000000005</v>
      </c>
      <c r="AE487" s="82">
        <f t="shared" si="71"/>
        <v>607.37080000000003</v>
      </c>
      <c r="AF487" s="82">
        <f t="shared" si="72"/>
        <v>3877.03</v>
      </c>
      <c r="AG487" s="82">
        <f t="shared" si="72"/>
        <v>9595.64</v>
      </c>
      <c r="AH487" s="114"/>
      <c r="AI487" s="114"/>
      <c r="AJ487" s="83">
        <f t="shared" si="73"/>
        <v>14635.2299</v>
      </c>
      <c r="AK487" s="82"/>
      <c r="AL487" s="84"/>
      <c r="AM487" s="66"/>
    </row>
    <row r="488" spans="2:39" ht="15.6" x14ac:dyDescent="0.3">
      <c r="B488" s="95"/>
      <c r="C488" s="94"/>
      <c r="E488" s="42"/>
      <c r="G488" s="66"/>
      <c r="H488" s="74"/>
      <c r="I488" s="74"/>
      <c r="J488" s="74"/>
      <c r="K488" s="74"/>
      <c r="L488" s="74"/>
      <c r="M488" s="74"/>
      <c r="N488" s="76"/>
      <c r="O488" s="74"/>
      <c r="P488" s="66"/>
      <c r="Q488" s="89"/>
      <c r="R488" s="89"/>
      <c r="S488" s="89"/>
      <c r="T488" s="89"/>
      <c r="U488" s="77"/>
      <c r="V488" s="77"/>
      <c r="W488" s="66"/>
      <c r="X488" s="89"/>
      <c r="Y488" s="89"/>
      <c r="Z488" s="90"/>
      <c r="AA488" s="80"/>
      <c r="AB488" s="66"/>
      <c r="AC488" s="81"/>
      <c r="AD488" s="82"/>
      <c r="AE488" s="82"/>
      <c r="AF488" s="82"/>
      <c r="AG488" s="82"/>
      <c r="AH488" s="114"/>
      <c r="AI488" s="114"/>
      <c r="AJ488" s="83"/>
      <c r="AK488" s="82"/>
      <c r="AL488" s="84"/>
      <c r="AM488" s="66"/>
    </row>
    <row r="489" spans="2:39" ht="45" x14ac:dyDescent="0.3">
      <c r="C489" s="94" t="s">
        <v>712</v>
      </c>
      <c r="D489" s="41" t="s">
        <v>408</v>
      </c>
      <c r="E489" s="42" t="s">
        <v>88</v>
      </c>
      <c r="G489" s="66"/>
      <c r="H489" s="74">
        <v>89380</v>
      </c>
      <c r="I489" s="74">
        <v>86711</v>
      </c>
      <c r="J489" s="74">
        <v>84885</v>
      </c>
      <c r="K489" s="74">
        <v>82459</v>
      </c>
      <c r="L489" s="74">
        <v>80974</v>
      </c>
      <c r="M489" s="74">
        <v>51783</v>
      </c>
      <c r="N489" s="76" cm="1">
        <f t="array" ref="N489">SUM((H489:L489)/5)</f>
        <v>84881.8</v>
      </c>
      <c r="O489" s="74">
        <v>84890</v>
      </c>
      <c r="P489" s="66"/>
      <c r="Q489" s="77">
        <v>132.286</v>
      </c>
      <c r="R489" s="77">
        <v>303.38200000000001</v>
      </c>
      <c r="S489" s="77">
        <v>0.441</v>
      </c>
      <c r="T489" s="77">
        <v>0.441</v>
      </c>
      <c r="U489" s="77">
        <f t="shared" ref="U489:U491" si="74">IF(E489="Gas",O489*R484,O489*$R$4)</f>
        <v>33956</v>
      </c>
      <c r="V489" s="77">
        <f t="shared" ref="V489:V491" si="75">IF(E489="Gas",O489*T484,O489*$T$4)</f>
        <v>50934</v>
      </c>
      <c r="W489" s="66"/>
      <c r="X489" s="77" t="s">
        <v>409</v>
      </c>
      <c r="Y489" s="77" t="s">
        <v>464</v>
      </c>
      <c r="Z489" s="79">
        <f>SUM(27.51772+25.09529+25.4607)/3</f>
        <v>26.024570000000001</v>
      </c>
      <c r="AA489" s="80">
        <f t="shared" ref="AA489:AA491" si="76">SUM(Z489+Z489*$AA$4)</f>
        <v>42.940540499999997</v>
      </c>
      <c r="AB489" s="66"/>
      <c r="AC489" s="81">
        <v>365</v>
      </c>
      <c r="AD489" s="82">
        <f t="shared" ref="AD489:AD491" si="77">ROUND(R489*183,2)/100</f>
        <v>555.18910000000005</v>
      </c>
      <c r="AE489" s="82">
        <f t="shared" ref="AE489:AE491" si="78">ROUND((R489+R489*$AE$4)*(365-183),2)/100</f>
        <v>607.37080000000003</v>
      </c>
      <c r="AF489" s="82">
        <f t="shared" ref="AF489:AG491" si="79">ROUND((U489*Z489)/100,2)</f>
        <v>8836.9</v>
      </c>
      <c r="AG489" s="82">
        <f t="shared" si="79"/>
        <v>21871.33</v>
      </c>
      <c r="AH489" s="114"/>
      <c r="AI489" s="114"/>
      <c r="AJ489" s="83">
        <f t="shared" ref="AJ489:AJ491" si="80">SUM(AD489:AG489)</f>
        <v>31870.789900000003</v>
      </c>
      <c r="AK489" s="82"/>
      <c r="AL489" s="84"/>
      <c r="AM489" s="66"/>
    </row>
    <row r="490" spans="2:39" ht="45" x14ac:dyDescent="0.3">
      <c r="C490" s="94" t="s">
        <v>465</v>
      </c>
      <c r="D490" s="41" t="s">
        <v>408</v>
      </c>
      <c r="E490" s="42" t="s">
        <v>88</v>
      </c>
      <c r="G490" s="66"/>
      <c r="H490" s="74">
        <v>29468</v>
      </c>
      <c r="I490" s="74">
        <v>28503</v>
      </c>
      <c r="J490" s="74">
        <v>25910</v>
      </c>
      <c r="K490" s="74">
        <v>28829</v>
      </c>
      <c r="L490" s="74">
        <v>27362</v>
      </c>
      <c r="M490" s="74">
        <v>19572</v>
      </c>
      <c r="N490" s="76" cm="1">
        <f t="array" ref="N490">SUM((H490:L490)/5)</f>
        <v>28014.400000000001</v>
      </c>
      <c r="O490" s="74">
        <v>28010</v>
      </c>
      <c r="P490" s="66"/>
      <c r="Q490" s="77">
        <v>132.286</v>
      </c>
      <c r="R490" s="77">
        <v>303.38200000000001</v>
      </c>
      <c r="S490" s="77">
        <v>0.441</v>
      </c>
      <c r="T490" s="77">
        <v>0.441</v>
      </c>
      <c r="U490" s="77">
        <f t="shared" si="74"/>
        <v>11204</v>
      </c>
      <c r="V490" s="77">
        <f t="shared" si="75"/>
        <v>16806</v>
      </c>
      <c r="W490" s="66"/>
      <c r="X490" s="77" t="s">
        <v>369</v>
      </c>
      <c r="Y490" s="77" t="s">
        <v>466</v>
      </c>
      <c r="Z490" s="79">
        <f>SUM(27.51899+25.08939+25.40856)/3</f>
        <v>26.005646666666667</v>
      </c>
      <c r="AA490" s="80">
        <f t="shared" si="76"/>
        <v>42.909317000000001</v>
      </c>
      <c r="AB490" s="66"/>
      <c r="AC490" s="81">
        <v>365</v>
      </c>
      <c r="AD490" s="82">
        <f t="shared" si="77"/>
        <v>555.18910000000005</v>
      </c>
      <c r="AE490" s="82">
        <f t="shared" si="78"/>
        <v>607.37080000000003</v>
      </c>
      <c r="AF490" s="82">
        <f t="shared" si="79"/>
        <v>2913.67</v>
      </c>
      <c r="AG490" s="82">
        <f t="shared" si="79"/>
        <v>7211.34</v>
      </c>
      <c r="AH490" s="114"/>
      <c r="AI490" s="114"/>
      <c r="AJ490" s="83">
        <f t="shared" si="80"/>
        <v>11287.5699</v>
      </c>
      <c r="AK490" s="82"/>
      <c r="AL490" s="84"/>
      <c r="AM490" s="66"/>
    </row>
    <row r="491" spans="2:39" ht="30" x14ac:dyDescent="0.3">
      <c r="C491" s="94" t="s">
        <v>467</v>
      </c>
      <c r="D491" s="41" t="s">
        <v>408</v>
      </c>
      <c r="E491" s="42" t="s">
        <v>88</v>
      </c>
      <c r="G491" s="66"/>
      <c r="H491" s="74">
        <v>71586</v>
      </c>
      <c r="I491" s="74">
        <v>86181</v>
      </c>
      <c r="J491" s="74">
        <v>87918</v>
      </c>
      <c r="K491" s="74">
        <v>88300</v>
      </c>
      <c r="L491" s="74">
        <v>89000</v>
      </c>
      <c r="M491" s="74">
        <v>53746</v>
      </c>
      <c r="N491" s="76" cm="1">
        <f t="array" ref="N491">SUM((H491:L491)/5)</f>
        <v>84597</v>
      </c>
      <c r="O491" s="74">
        <v>88500</v>
      </c>
      <c r="P491" s="66"/>
      <c r="Q491" s="77">
        <v>132.286</v>
      </c>
      <c r="R491" s="77">
        <v>303.38200000000001</v>
      </c>
      <c r="S491" s="77">
        <v>0.441</v>
      </c>
      <c r="T491" s="77">
        <v>0.441</v>
      </c>
      <c r="U491" s="77">
        <f t="shared" si="74"/>
        <v>35400</v>
      </c>
      <c r="V491" s="77">
        <f t="shared" si="75"/>
        <v>53100</v>
      </c>
      <c r="W491" s="66"/>
      <c r="X491" s="77" t="s">
        <v>413</v>
      </c>
      <c r="Y491" s="77" t="s">
        <v>468</v>
      </c>
      <c r="Z491" s="79">
        <f>SUM(26.75954+25.12843)/2</f>
        <v>25.943985000000001</v>
      </c>
      <c r="AA491" s="80">
        <f t="shared" si="76"/>
        <v>42.807575249999999</v>
      </c>
      <c r="AB491" s="66"/>
      <c r="AC491" s="81">
        <v>365</v>
      </c>
      <c r="AD491" s="82">
        <f t="shared" si="77"/>
        <v>555.18910000000005</v>
      </c>
      <c r="AE491" s="82">
        <f t="shared" si="78"/>
        <v>607.37080000000003</v>
      </c>
      <c r="AF491" s="82">
        <f t="shared" si="79"/>
        <v>9184.17</v>
      </c>
      <c r="AG491" s="82">
        <f t="shared" si="79"/>
        <v>22730.82</v>
      </c>
      <c r="AH491" s="114"/>
      <c r="AI491" s="114"/>
      <c r="AJ491" s="83">
        <f t="shared" si="80"/>
        <v>33077.549899999998</v>
      </c>
      <c r="AK491" s="82"/>
      <c r="AL491" s="84"/>
      <c r="AM491" s="66"/>
    </row>
  </sheetData>
  <sheetProtection algorithmName="SHA-512" hashValue="hr+OL+6GxwnQIOFI1M59/6luX/PcfN5ePnEJtwxRj/p/Z9GMrnASIW82W978QPPW72WWqt7C0XuFtoQeq+IsFA==" saltValue="Vg4oGgaMQHWf2ZgdHrHfgw==" spinCount="100000" sheet="1" objects="1" scenarios="1" formatColumns="0" formatRows="0" autoFilter="0"/>
  <mergeCells count="39">
    <mergeCell ref="X6:X7"/>
    <mergeCell ref="AC3:AE3"/>
    <mergeCell ref="AF3:AG4"/>
    <mergeCell ref="R4:S4"/>
    <mergeCell ref="T4:U4"/>
    <mergeCell ref="Q1:V1"/>
    <mergeCell ref="X1:AA1"/>
    <mergeCell ref="AC1:AL1"/>
    <mergeCell ref="H2:O3"/>
    <mergeCell ref="R2:S2"/>
    <mergeCell ref="T2:U2"/>
    <mergeCell ref="X2:AA2"/>
    <mergeCell ref="R3:S3"/>
    <mergeCell ref="T3:U3"/>
    <mergeCell ref="X3:Y3"/>
    <mergeCell ref="S6:T6"/>
    <mergeCell ref="U6:V6"/>
    <mergeCell ref="A6:A7"/>
    <mergeCell ref="B6:B7"/>
    <mergeCell ref="C6:C7"/>
    <mergeCell ref="D6:D7"/>
    <mergeCell ref="E6:E7"/>
    <mergeCell ref="F6:F7"/>
    <mergeCell ref="C2:E4"/>
    <mergeCell ref="AL6:AL7"/>
    <mergeCell ref="Y6:Y7"/>
    <mergeCell ref="AA6:AA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N6:N7"/>
    <mergeCell ref="O6:O7"/>
    <mergeCell ref="Q6:R6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540A-8E55-4A6B-949E-29CEFF92D05C}">
  <sheetPr>
    <tabColor rgb="FF00FF00"/>
  </sheetPr>
  <dimension ref="A1:AL101"/>
  <sheetViews>
    <sheetView tabSelected="1" topLeftCell="C1" zoomScaleNormal="100" workbookViewId="0">
      <pane ySplit="7" topLeftCell="A8" activePane="bottomLeft" state="frozen"/>
      <selection activeCell="R33" sqref="R33"/>
      <selection pane="bottomLeft" activeCell="J14" sqref="J14"/>
    </sheetView>
  </sheetViews>
  <sheetFormatPr defaultColWidth="9.109375" defaultRowHeight="15.6" x14ac:dyDescent="0.3"/>
  <cols>
    <col min="1" max="1" width="6.109375" style="41" hidden="1" customWidth="1"/>
    <col min="2" max="2" width="14.88671875" style="41" hidden="1" customWidth="1"/>
    <col min="3" max="3" width="63.33203125" style="41" customWidth="1"/>
    <col min="4" max="4" width="21.33203125" style="41" bestFit="1" customWidth="1"/>
    <col min="5" max="5" width="21.109375" style="41" customWidth="1"/>
    <col min="6" max="6" width="16.44140625" style="41" hidden="1" customWidth="1"/>
    <col min="7" max="7" width="2.44140625" style="41" customWidth="1"/>
    <col min="8" max="8" width="15.5546875" style="42" customWidth="1"/>
    <col min="9" max="12" width="15.6640625" style="42" customWidth="1"/>
    <col min="13" max="13" width="15.6640625" style="44" customWidth="1"/>
    <col min="14" max="14" width="15.6640625" style="76" customWidth="1"/>
    <col min="15" max="15" width="15.6640625" style="74" customWidth="1"/>
    <col min="16" max="16" width="2.44140625" style="41" customWidth="1"/>
    <col min="17" max="17" width="19.33203125" style="41" customWidth="1"/>
    <col min="18" max="18" width="18.88671875" style="41" bestFit="1" customWidth="1"/>
    <col min="19" max="19" width="17.5546875" style="41" bestFit="1" customWidth="1"/>
    <col min="20" max="20" width="18.88671875" style="41" bestFit="1" customWidth="1"/>
    <col min="21" max="22" width="15.6640625" style="41" customWidth="1"/>
    <col min="23" max="23" width="3" style="41" customWidth="1"/>
    <col min="24" max="24" width="17.33203125" style="41" customWidth="1"/>
    <col min="25" max="25" width="18.109375" style="41" customWidth="1"/>
    <col min="26" max="26" width="16.88671875" style="41" customWidth="1"/>
    <col min="27" max="27" width="3.33203125" style="41" customWidth="1"/>
    <col min="28" max="30" width="15.6640625" style="41" customWidth="1"/>
    <col min="31" max="32" width="15.6640625" style="98" customWidth="1"/>
    <col min="33" max="34" width="15.6640625" style="41" hidden="1" customWidth="1"/>
    <col min="35" max="35" width="18.33203125" style="48" customWidth="1"/>
    <col min="36" max="37" width="15.6640625" style="41" hidden="1" customWidth="1"/>
    <col min="38" max="38" width="2.44140625" style="41" customWidth="1"/>
    <col min="39" max="16384" width="9.109375" style="41"/>
  </cols>
  <sheetData>
    <row r="1" spans="1:38" ht="15.75" customHeight="1" x14ac:dyDescent="0.3">
      <c r="G1" s="43"/>
      <c r="P1" s="43"/>
      <c r="Q1" s="251" t="s">
        <v>75</v>
      </c>
      <c r="R1" s="251"/>
      <c r="S1" s="251"/>
      <c r="T1" s="251"/>
      <c r="U1" s="251"/>
      <c r="V1" s="251"/>
      <c r="W1" s="43"/>
      <c r="X1" s="252" t="s">
        <v>76</v>
      </c>
      <c r="Y1" s="252"/>
      <c r="Z1" s="252"/>
      <c r="AA1" s="43"/>
      <c r="AB1" s="253" t="s">
        <v>77</v>
      </c>
      <c r="AC1" s="253"/>
      <c r="AD1" s="253"/>
      <c r="AE1" s="253"/>
      <c r="AF1" s="253"/>
      <c r="AG1" s="253"/>
      <c r="AH1" s="253"/>
      <c r="AI1" s="253"/>
      <c r="AJ1" s="253"/>
      <c r="AK1" s="253"/>
      <c r="AL1" s="43"/>
    </row>
    <row r="2" spans="1:38" ht="18" customHeight="1" x14ac:dyDescent="0.3">
      <c r="C2" s="46" t="s">
        <v>78</v>
      </c>
      <c r="G2" s="43"/>
      <c r="H2" s="254" t="s">
        <v>79</v>
      </c>
      <c r="I2" s="254"/>
      <c r="J2" s="254"/>
      <c r="K2" s="254"/>
      <c r="L2" s="254"/>
      <c r="M2" s="254"/>
      <c r="N2" s="254"/>
      <c r="O2" s="254"/>
      <c r="P2" s="43"/>
      <c r="Q2" s="46" t="s">
        <v>80</v>
      </c>
      <c r="R2" s="255" t="s">
        <v>81</v>
      </c>
      <c r="S2" s="255"/>
      <c r="T2" s="255" t="s">
        <v>82</v>
      </c>
      <c r="U2" s="255"/>
      <c r="W2" s="43"/>
      <c r="X2" s="262" t="s">
        <v>83</v>
      </c>
      <c r="Y2" s="262"/>
      <c r="Z2" s="262"/>
      <c r="AA2" s="43"/>
      <c r="AH2" s="113" t="s">
        <v>124</v>
      </c>
      <c r="AI2" s="57">
        <f>SUMIF($D$8:$D$999,AH2,$AI$8:$AI$999)</f>
        <v>956194.62000000011</v>
      </c>
      <c r="AL2" s="43"/>
    </row>
    <row r="3" spans="1:38" ht="18" customHeight="1" x14ac:dyDescent="0.3">
      <c r="C3" s="46"/>
      <c r="G3" s="43"/>
      <c r="H3" s="254"/>
      <c r="I3" s="254"/>
      <c r="J3" s="254"/>
      <c r="K3" s="254"/>
      <c r="L3" s="254"/>
      <c r="M3" s="254"/>
      <c r="N3" s="254"/>
      <c r="O3" s="254"/>
      <c r="P3" s="43"/>
      <c r="Q3" s="48" t="s">
        <v>469</v>
      </c>
      <c r="R3" s="259">
        <v>0.3</v>
      </c>
      <c r="S3" s="259"/>
      <c r="T3" s="259">
        <v>0.7</v>
      </c>
      <c r="U3" s="259"/>
      <c r="W3" s="43"/>
      <c r="X3" s="258" t="s">
        <v>470</v>
      </c>
      <c r="Y3" s="258"/>
      <c r="Z3" s="56">
        <v>0.55000000000000004</v>
      </c>
      <c r="AA3" s="43"/>
      <c r="AB3" s="253" t="s">
        <v>86</v>
      </c>
      <c r="AC3" s="253"/>
      <c r="AD3" s="253"/>
      <c r="AE3" s="253" t="s">
        <v>105</v>
      </c>
      <c r="AF3" s="253"/>
      <c r="AG3" s="115"/>
      <c r="AH3" s="113" t="s">
        <v>408</v>
      </c>
      <c r="AI3" s="57">
        <f>SUMIF($D$8:$D$999,AH3,$AI$8:$AI$999)</f>
        <v>1533469.5700000003</v>
      </c>
      <c r="AL3" s="43"/>
    </row>
    <row r="4" spans="1:38" ht="17.399999999999999" x14ac:dyDescent="0.3">
      <c r="A4" s="51"/>
      <c r="C4" s="46"/>
      <c r="G4" s="43"/>
      <c r="H4" s="52"/>
      <c r="I4" s="52"/>
      <c r="J4" s="52"/>
      <c r="K4" s="52"/>
      <c r="L4" s="52"/>
      <c r="M4" s="53"/>
      <c r="N4" s="99"/>
      <c r="O4" s="99"/>
      <c r="P4" s="43"/>
      <c r="Q4" s="48" t="s">
        <v>88</v>
      </c>
      <c r="R4" s="259">
        <v>0.4</v>
      </c>
      <c r="S4" s="259"/>
      <c r="T4" s="259">
        <v>0.6</v>
      </c>
      <c r="U4" s="259"/>
      <c r="W4" s="43"/>
      <c r="X4" s="48" t="s">
        <v>471</v>
      </c>
      <c r="Z4" s="100"/>
      <c r="AA4" s="43"/>
      <c r="AB4" s="48" t="s">
        <v>90</v>
      </c>
      <c r="AC4" s="48"/>
      <c r="AD4" s="56">
        <v>7.0000000000000007E-2</v>
      </c>
      <c r="AI4" s="57">
        <f>SUBTOTAL(9,AI8:AI98)</f>
        <v>2489664.1900000004</v>
      </c>
      <c r="AL4" s="43"/>
    </row>
    <row r="5" spans="1:38" s="48" customFormat="1" ht="17.399999999999999" x14ac:dyDescent="0.3">
      <c r="A5" s="51"/>
      <c r="G5" s="60"/>
      <c r="H5" s="59"/>
      <c r="I5" s="59"/>
      <c r="J5" s="59"/>
      <c r="K5" s="59"/>
      <c r="L5" s="59"/>
      <c r="M5" s="61"/>
      <c r="N5" s="76"/>
      <c r="O5" s="76"/>
      <c r="P5" s="60"/>
      <c r="W5" s="60"/>
      <c r="X5" s="62" t="s">
        <v>713</v>
      </c>
      <c r="AA5" s="60"/>
      <c r="AE5" s="47"/>
      <c r="AF5" s="47"/>
      <c r="AG5" s="64"/>
      <c r="AH5" s="64"/>
      <c r="AI5" s="65"/>
      <c r="AL5" s="60"/>
    </row>
    <row r="6" spans="1:38" s="81" customFormat="1" ht="31.5" customHeight="1" x14ac:dyDescent="0.3">
      <c r="A6" s="249"/>
      <c r="B6" s="249" t="s">
        <v>91</v>
      </c>
      <c r="C6" s="249" t="s">
        <v>981</v>
      </c>
      <c r="D6" s="249" t="s">
        <v>92</v>
      </c>
      <c r="E6" s="249" t="s">
        <v>93</v>
      </c>
      <c r="F6" s="249" t="s">
        <v>94</v>
      </c>
      <c r="G6" s="66"/>
      <c r="H6" s="67" t="s">
        <v>95</v>
      </c>
      <c r="I6" s="67" t="s">
        <v>96</v>
      </c>
      <c r="J6" s="67" t="s">
        <v>97</v>
      </c>
      <c r="K6" s="67" t="s">
        <v>98</v>
      </c>
      <c r="L6" s="67" t="s">
        <v>99</v>
      </c>
      <c r="M6" s="68" t="s">
        <v>100</v>
      </c>
      <c r="N6" s="261" t="s">
        <v>101</v>
      </c>
      <c r="O6" s="261" t="s">
        <v>102</v>
      </c>
      <c r="P6" s="66"/>
      <c r="Q6" s="248" t="s">
        <v>472</v>
      </c>
      <c r="R6" s="248"/>
      <c r="S6" s="248" t="s">
        <v>104</v>
      </c>
      <c r="T6" s="248"/>
      <c r="U6" s="248" t="s">
        <v>105</v>
      </c>
      <c r="V6" s="248"/>
      <c r="W6" s="66"/>
      <c r="X6" s="243" t="s">
        <v>106</v>
      </c>
      <c r="Y6" s="243" t="s">
        <v>107</v>
      </c>
      <c r="Z6" s="243" t="s">
        <v>109</v>
      </c>
      <c r="AA6" s="66"/>
      <c r="AB6" s="242" t="s">
        <v>110</v>
      </c>
      <c r="AC6" s="242" t="s">
        <v>473</v>
      </c>
      <c r="AD6" s="242" t="s">
        <v>112</v>
      </c>
      <c r="AE6" s="260" t="s">
        <v>84</v>
      </c>
      <c r="AF6" s="260" t="s">
        <v>85</v>
      </c>
      <c r="AG6" s="242"/>
      <c r="AH6" s="242"/>
      <c r="AI6" s="242" t="s">
        <v>113</v>
      </c>
      <c r="AJ6" s="242"/>
      <c r="AK6" s="242"/>
      <c r="AL6" s="66"/>
    </row>
    <row r="7" spans="1:38" s="81" customFormat="1" ht="15.75" customHeight="1" x14ac:dyDescent="0.3">
      <c r="A7" s="250"/>
      <c r="B7" s="250"/>
      <c r="C7" s="250"/>
      <c r="D7" s="250"/>
      <c r="E7" s="249"/>
      <c r="F7" s="249"/>
      <c r="G7" s="66"/>
      <c r="H7" s="67" t="s">
        <v>114</v>
      </c>
      <c r="I7" s="67" t="s">
        <v>115</v>
      </c>
      <c r="J7" s="67" t="s">
        <v>116</v>
      </c>
      <c r="K7" s="67" t="s">
        <v>117</v>
      </c>
      <c r="L7" s="67" t="s">
        <v>118</v>
      </c>
      <c r="M7" s="68" t="s">
        <v>119</v>
      </c>
      <c r="N7" s="261"/>
      <c r="O7" s="261"/>
      <c r="P7" s="66"/>
      <c r="Q7" s="70" t="s">
        <v>120</v>
      </c>
      <c r="R7" s="71" t="s">
        <v>121</v>
      </c>
      <c r="S7" s="70" t="s">
        <v>120</v>
      </c>
      <c r="T7" s="71" t="s">
        <v>121</v>
      </c>
      <c r="U7" s="71" t="s">
        <v>122</v>
      </c>
      <c r="V7" s="71" t="s">
        <v>123</v>
      </c>
      <c r="W7" s="66"/>
      <c r="X7" s="243"/>
      <c r="Y7" s="243"/>
      <c r="Z7" s="243"/>
      <c r="AA7" s="66"/>
      <c r="AB7" s="242"/>
      <c r="AC7" s="242"/>
      <c r="AD7" s="242"/>
      <c r="AE7" s="260"/>
      <c r="AF7" s="260"/>
      <c r="AG7" s="242"/>
      <c r="AH7" s="242"/>
      <c r="AI7" s="242"/>
      <c r="AJ7" s="242"/>
      <c r="AK7" s="242"/>
      <c r="AL7" s="66"/>
    </row>
    <row r="8" spans="1:38" x14ac:dyDescent="0.3">
      <c r="B8" s="101"/>
      <c r="C8" s="101" t="s">
        <v>366</v>
      </c>
      <c r="D8" s="238" t="s">
        <v>474</v>
      </c>
      <c r="E8" s="42" t="s">
        <v>469</v>
      </c>
      <c r="F8" s="72"/>
      <c r="G8" s="73"/>
      <c r="H8" s="74">
        <v>1048786</v>
      </c>
      <c r="I8" s="74">
        <v>1080767</v>
      </c>
      <c r="J8" s="74">
        <v>947448</v>
      </c>
      <c r="K8" s="74">
        <v>1022592</v>
      </c>
      <c r="L8" s="74">
        <v>1001185</v>
      </c>
      <c r="M8" s="75">
        <v>435736</v>
      </c>
      <c r="N8" s="76" cm="1">
        <f t="array" ref="N8">SUM((H8:L8)/5)</f>
        <v>1020155.6</v>
      </c>
      <c r="O8" s="74">
        <v>1020200</v>
      </c>
      <c r="P8" s="73"/>
      <c r="Q8" s="102">
        <v>16.3</v>
      </c>
      <c r="R8" s="102">
        <v>32.58</v>
      </c>
      <c r="S8" s="103">
        <v>0</v>
      </c>
      <c r="T8" s="103">
        <v>0</v>
      </c>
      <c r="U8" s="77">
        <f>IF(E8="Gas",O8*$R$3,O8*$R$4)</f>
        <v>306060</v>
      </c>
      <c r="V8" s="77">
        <f>IF(E8="Gas",O8*$T$3,O8*$T$4)</f>
        <v>714140</v>
      </c>
      <c r="W8" s="66"/>
      <c r="X8" s="77">
        <v>2.1030000000000002</v>
      </c>
      <c r="Y8" s="77">
        <v>8.5950000000000006</v>
      </c>
      <c r="Z8" s="104">
        <f>IF(E8="Gas",(Y8+Y8*$Z$3),(Y8+Y8*$Z$4))</f>
        <v>13.32225</v>
      </c>
      <c r="AA8" s="73"/>
      <c r="AB8" s="77">
        <v>365</v>
      </c>
      <c r="AC8" s="82">
        <f>ROUND(R8*183,2)</f>
        <v>5962.14</v>
      </c>
      <c r="AD8" s="82">
        <f>ROUND((R8+R8*$AD$4)*(365-183),2)</f>
        <v>6344.63</v>
      </c>
      <c r="AE8" s="82">
        <f>ROUND(U8*(Y8/100),2)</f>
        <v>26305.86</v>
      </c>
      <c r="AF8" s="82">
        <f>ROUND(V8*(Z8/100),2)</f>
        <v>95139.520000000004</v>
      </c>
      <c r="AG8" s="82"/>
      <c r="AH8" s="82"/>
      <c r="AI8" s="84">
        <f>SUM(AC8:AF8)</f>
        <v>133752.15000000002</v>
      </c>
      <c r="AJ8" s="82"/>
      <c r="AK8" s="84"/>
      <c r="AL8" s="73"/>
    </row>
    <row r="9" spans="1:38" x14ac:dyDescent="0.3">
      <c r="B9" s="101"/>
      <c r="C9" s="101" t="s">
        <v>366</v>
      </c>
      <c r="D9" s="238" t="s">
        <v>474</v>
      </c>
      <c r="E9" s="42" t="s">
        <v>469</v>
      </c>
      <c r="G9" s="66"/>
      <c r="H9" s="74">
        <v>1210967</v>
      </c>
      <c r="I9" s="74">
        <v>1061247</v>
      </c>
      <c r="J9" s="74">
        <v>968022</v>
      </c>
      <c r="K9" s="74">
        <v>1218998</v>
      </c>
      <c r="L9" s="74">
        <v>1018826</v>
      </c>
      <c r="M9" s="74">
        <v>36429</v>
      </c>
      <c r="N9" s="76" cm="1">
        <f t="array" ref="N9">SUM((H9:L9)/5)</f>
        <v>1095612</v>
      </c>
      <c r="O9" s="74">
        <v>1100000</v>
      </c>
      <c r="P9" s="66"/>
      <c r="Q9" s="102">
        <v>19.57</v>
      </c>
      <c r="R9" s="102">
        <v>44.86</v>
      </c>
      <c r="S9" s="103">
        <v>0</v>
      </c>
      <c r="T9" s="103">
        <v>0</v>
      </c>
      <c r="U9" s="77">
        <f t="shared" ref="U9:U38" si="0">IF(E9="Gas",O9*$R$3,O9*$R$4)</f>
        <v>330000</v>
      </c>
      <c r="V9" s="77">
        <f t="shared" ref="V9:V38" si="1">IF(E9="Gas",O9*$T$3,O9*$T$4)</f>
        <v>770000</v>
      </c>
      <c r="W9" s="66"/>
      <c r="X9" s="77">
        <v>2.101</v>
      </c>
      <c r="Y9" s="77">
        <v>8.5920000000000005</v>
      </c>
      <c r="Z9" s="104">
        <f t="shared" ref="Z9:Z38" si="2">IF(E9="Gas",(Y9+Y9*$Z$3),(Y9+Y9*$Z$4))</f>
        <v>13.317600000000002</v>
      </c>
      <c r="AA9" s="66"/>
      <c r="AB9" s="77">
        <v>365</v>
      </c>
      <c r="AC9" s="82">
        <f t="shared" ref="AC9:AC38" si="3">ROUND(R9*183,2)</f>
        <v>8209.3799999999992</v>
      </c>
      <c r="AD9" s="82">
        <f t="shared" ref="AD9:AD38" si="4">ROUND((R9+R9*$AD$4)*(365-183),2)</f>
        <v>8736.0400000000009</v>
      </c>
      <c r="AE9" s="82">
        <f t="shared" ref="AE9:AF38" si="5">ROUND(U9*(Y9/100),2)</f>
        <v>28353.599999999999</v>
      </c>
      <c r="AF9" s="82">
        <f t="shared" si="5"/>
        <v>102545.52</v>
      </c>
      <c r="AG9" s="82"/>
      <c r="AH9" s="82"/>
      <c r="AI9" s="84">
        <f t="shared" ref="AI9:AI38" si="6">SUM(AC9:AF9)</f>
        <v>147844.54</v>
      </c>
      <c r="AJ9" s="82"/>
      <c r="AK9" s="84"/>
      <c r="AL9" s="66"/>
    </row>
    <row r="10" spans="1:38" x14ac:dyDescent="0.3">
      <c r="B10" s="101"/>
      <c r="C10" s="101" t="s">
        <v>693</v>
      </c>
      <c r="D10" s="238" t="s">
        <v>474</v>
      </c>
      <c r="E10" s="42" t="s">
        <v>469</v>
      </c>
      <c r="G10" s="66"/>
      <c r="H10" s="74">
        <v>121951</v>
      </c>
      <c r="I10" s="74">
        <v>113058</v>
      </c>
      <c r="J10" s="74">
        <v>108719</v>
      </c>
      <c r="K10" s="74">
        <v>89867</v>
      </c>
      <c r="L10" s="74">
        <v>82426</v>
      </c>
      <c r="M10" s="74">
        <v>26533</v>
      </c>
      <c r="N10" s="76" cm="1">
        <f t="array" ref="N10">SUM((H10:L10)/5)</f>
        <v>103204.2</v>
      </c>
      <c r="O10" s="74">
        <v>103200</v>
      </c>
      <c r="P10" s="66"/>
      <c r="Q10" s="102">
        <v>2.2799999999999998</v>
      </c>
      <c r="R10" s="102">
        <v>3.67</v>
      </c>
      <c r="S10" s="103">
        <v>0</v>
      </c>
      <c r="T10" s="103">
        <v>0</v>
      </c>
      <c r="U10" s="77">
        <f t="shared" si="0"/>
        <v>30960</v>
      </c>
      <c r="V10" s="77">
        <f t="shared" si="1"/>
        <v>72240</v>
      </c>
      <c r="W10" s="66"/>
      <c r="X10" s="77">
        <v>2.1040000000000001</v>
      </c>
      <c r="Y10" s="77">
        <v>8.5960000000000001</v>
      </c>
      <c r="Z10" s="104">
        <f t="shared" si="2"/>
        <v>13.3238</v>
      </c>
      <c r="AA10" s="66"/>
      <c r="AB10" s="77">
        <v>365</v>
      </c>
      <c r="AC10" s="82">
        <f t="shared" si="3"/>
        <v>671.61</v>
      </c>
      <c r="AD10" s="82">
        <f t="shared" si="4"/>
        <v>714.7</v>
      </c>
      <c r="AE10" s="82">
        <f t="shared" si="5"/>
        <v>2661.32</v>
      </c>
      <c r="AF10" s="82">
        <f t="shared" si="5"/>
        <v>9625.11</v>
      </c>
      <c r="AG10" s="82"/>
      <c r="AH10" s="82"/>
      <c r="AI10" s="84">
        <f t="shared" si="6"/>
        <v>13672.740000000002</v>
      </c>
      <c r="AJ10" s="82"/>
      <c r="AK10" s="84"/>
      <c r="AL10" s="66"/>
    </row>
    <row r="11" spans="1:38" x14ac:dyDescent="0.3">
      <c r="B11" s="101"/>
      <c r="C11" s="101" t="s">
        <v>694</v>
      </c>
      <c r="D11" s="238" t="s">
        <v>474</v>
      </c>
      <c r="E11" s="42" t="s">
        <v>469</v>
      </c>
      <c r="G11" s="66"/>
      <c r="H11" s="74">
        <v>126035</v>
      </c>
      <c r="I11" s="74">
        <v>80336</v>
      </c>
      <c r="J11" s="74">
        <v>103188</v>
      </c>
      <c r="K11" s="74">
        <v>71452</v>
      </c>
      <c r="L11" s="74">
        <v>71600</v>
      </c>
      <c r="M11" s="74">
        <v>13211</v>
      </c>
      <c r="N11" s="76" cm="1">
        <f t="array" ref="N11">SUM((H11:L11)/5)</f>
        <v>90522.2</v>
      </c>
      <c r="O11" s="74">
        <v>90500</v>
      </c>
      <c r="P11" s="66"/>
      <c r="Q11" s="102">
        <v>2.62</v>
      </c>
      <c r="R11" s="102">
        <v>4.7</v>
      </c>
      <c r="S11" s="103">
        <v>0</v>
      </c>
      <c r="T11" s="103">
        <v>0</v>
      </c>
      <c r="U11" s="77">
        <f t="shared" si="0"/>
        <v>27150</v>
      </c>
      <c r="V11" s="77">
        <f t="shared" si="1"/>
        <v>63349.999999999993</v>
      </c>
      <c r="W11" s="66"/>
      <c r="X11" s="77">
        <v>2.1110000000000002</v>
      </c>
      <c r="Y11" s="77">
        <v>8.6029999999999998</v>
      </c>
      <c r="Z11" s="104">
        <f t="shared" si="2"/>
        <v>13.33465</v>
      </c>
      <c r="AA11" s="66"/>
      <c r="AB11" s="77">
        <v>365</v>
      </c>
      <c r="AC11" s="82">
        <f t="shared" si="3"/>
        <v>860.1</v>
      </c>
      <c r="AD11" s="82">
        <f t="shared" si="4"/>
        <v>915.28</v>
      </c>
      <c r="AE11" s="82">
        <f t="shared" si="5"/>
        <v>2335.71</v>
      </c>
      <c r="AF11" s="82">
        <f t="shared" si="5"/>
        <v>8447.5</v>
      </c>
      <c r="AG11" s="82"/>
      <c r="AH11" s="82"/>
      <c r="AI11" s="84">
        <f t="shared" si="6"/>
        <v>12558.59</v>
      </c>
      <c r="AJ11" s="82"/>
      <c r="AK11" s="84"/>
      <c r="AL11" s="66"/>
    </row>
    <row r="12" spans="1:38" x14ac:dyDescent="0.3">
      <c r="B12" s="101"/>
      <c r="C12" s="101" t="s">
        <v>695</v>
      </c>
      <c r="D12" s="238" t="s">
        <v>474</v>
      </c>
      <c r="E12" s="42" t="s">
        <v>469</v>
      </c>
      <c r="G12" s="66"/>
      <c r="H12" s="74">
        <v>113320</v>
      </c>
      <c r="I12" s="74">
        <v>96831</v>
      </c>
      <c r="J12" s="74">
        <v>118618</v>
      </c>
      <c r="K12" s="74">
        <v>134735</v>
      </c>
      <c r="L12" s="74">
        <v>134840</v>
      </c>
      <c r="M12" s="74">
        <v>42668</v>
      </c>
      <c r="N12" s="76" cm="1">
        <f t="array" ref="N12">SUM((H12:L12)/5)</f>
        <v>119668.79999999999</v>
      </c>
      <c r="O12" s="74">
        <v>132000</v>
      </c>
      <c r="P12" s="66"/>
      <c r="Q12" s="102">
        <v>2.94</v>
      </c>
      <c r="R12" s="102">
        <v>6.37</v>
      </c>
      <c r="S12" s="103">
        <v>0</v>
      </c>
      <c r="T12" s="103">
        <v>0</v>
      </c>
      <c r="U12" s="77">
        <f t="shared" si="0"/>
        <v>39600</v>
      </c>
      <c r="V12" s="77">
        <f t="shared" si="1"/>
        <v>92400</v>
      </c>
      <c r="W12" s="66"/>
      <c r="X12" s="77">
        <v>2.1040000000000001</v>
      </c>
      <c r="Y12" s="77">
        <v>8.5960000000000001</v>
      </c>
      <c r="Z12" s="104">
        <f t="shared" si="2"/>
        <v>13.3238</v>
      </c>
      <c r="AA12" s="66"/>
      <c r="AB12" s="77">
        <v>365</v>
      </c>
      <c r="AC12" s="82">
        <f t="shared" si="3"/>
        <v>1165.71</v>
      </c>
      <c r="AD12" s="82">
        <f t="shared" si="4"/>
        <v>1240.49</v>
      </c>
      <c r="AE12" s="82">
        <f t="shared" si="5"/>
        <v>3404.02</v>
      </c>
      <c r="AF12" s="82">
        <f t="shared" si="5"/>
        <v>12311.19</v>
      </c>
      <c r="AG12" s="82"/>
      <c r="AH12" s="82"/>
      <c r="AI12" s="84">
        <f t="shared" si="6"/>
        <v>18121.41</v>
      </c>
      <c r="AJ12" s="82"/>
      <c r="AK12" s="84"/>
      <c r="AL12" s="66"/>
    </row>
    <row r="13" spans="1:38" x14ac:dyDescent="0.3">
      <c r="B13" s="101"/>
      <c r="C13" s="101" t="s">
        <v>696</v>
      </c>
      <c r="D13" s="238" t="s">
        <v>474</v>
      </c>
      <c r="E13" s="42" t="s">
        <v>469</v>
      </c>
      <c r="G13" s="66"/>
      <c r="H13" s="74">
        <v>138055</v>
      </c>
      <c r="I13" s="74">
        <v>230540</v>
      </c>
      <c r="J13" s="74">
        <v>261332</v>
      </c>
      <c r="K13" s="74">
        <v>262559</v>
      </c>
      <c r="L13" s="74">
        <v>272815</v>
      </c>
      <c r="M13" s="74">
        <v>72714</v>
      </c>
      <c r="N13" s="76" cm="1">
        <f t="array" ref="N13">SUM((H13:L13)/5)</f>
        <v>233060.2</v>
      </c>
      <c r="O13" s="74">
        <v>270000</v>
      </c>
      <c r="P13" s="66"/>
      <c r="Q13" s="102">
        <v>5.32</v>
      </c>
      <c r="R13" s="102">
        <v>12</v>
      </c>
      <c r="S13" s="103">
        <v>0</v>
      </c>
      <c r="T13" s="103">
        <v>0</v>
      </c>
      <c r="U13" s="77">
        <f t="shared" si="0"/>
        <v>81000</v>
      </c>
      <c r="V13" s="77">
        <f t="shared" si="1"/>
        <v>189000</v>
      </c>
      <c r="W13" s="66"/>
      <c r="X13" s="77">
        <v>2.1040000000000001</v>
      </c>
      <c r="Y13" s="77">
        <v>8.5960000000000001</v>
      </c>
      <c r="Z13" s="104">
        <f t="shared" si="2"/>
        <v>13.3238</v>
      </c>
      <c r="AA13" s="66"/>
      <c r="AB13" s="77">
        <v>365</v>
      </c>
      <c r="AC13" s="82">
        <f t="shared" si="3"/>
        <v>2196</v>
      </c>
      <c r="AD13" s="82">
        <f t="shared" si="4"/>
        <v>2336.88</v>
      </c>
      <c r="AE13" s="82">
        <f t="shared" si="5"/>
        <v>6962.76</v>
      </c>
      <c r="AF13" s="82">
        <f t="shared" si="5"/>
        <v>25181.98</v>
      </c>
      <c r="AG13" s="82"/>
      <c r="AH13" s="82"/>
      <c r="AI13" s="84">
        <f t="shared" si="6"/>
        <v>36677.619999999995</v>
      </c>
      <c r="AJ13" s="82"/>
      <c r="AK13" s="84"/>
      <c r="AL13" s="66"/>
    </row>
    <row r="14" spans="1:38" x14ac:dyDescent="0.3">
      <c r="B14" s="101"/>
      <c r="C14" s="101" t="s">
        <v>694</v>
      </c>
      <c r="D14" s="238" t="s">
        <v>474</v>
      </c>
      <c r="E14" s="42" t="s">
        <v>469</v>
      </c>
      <c r="G14" s="66"/>
      <c r="H14" s="74">
        <v>1044</v>
      </c>
      <c r="I14" s="74">
        <v>69124</v>
      </c>
      <c r="J14" s="74">
        <v>189995</v>
      </c>
      <c r="K14" s="74">
        <v>153549</v>
      </c>
      <c r="L14" s="74">
        <v>147311</v>
      </c>
      <c r="M14" s="74">
        <v>69386</v>
      </c>
      <c r="N14" s="76" cm="1">
        <f t="array" ref="N14">SUM((H14:L14)/5)</f>
        <v>112204.59999999999</v>
      </c>
      <c r="O14" s="74">
        <v>151000</v>
      </c>
      <c r="P14" s="66"/>
      <c r="Q14" s="102">
        <v>3</v>
      </c>
      <c r="R14" s="102">
        <v>5.66</v>
      </c>
      <c r="S14" s="103">
        <v>0</v>
      </c>
      <c r="T14" s="103">
        <v>0</v>
      </c>
      <c r="U14" s="77">
        <f t="shared" si="0"/>
        <v>45300</v>
      </c>
      <c r="V14" s="77">
        <f t="shared" si="1"/>
        <v>105700</v>
      </c>
      <c r="W14" s="66"/>
      <c r="X14" s="77">
        <v>2.1040000000000001</v>
      </c>
      <c r="Y14" s="77">
        <v>8.5960000000000001</v>
      </c>
      <c r="Z14" s="104">
        <f t="shared" si="2"/>
        <v>13.3238</v>
      </c>
      <c r="AA14" s="66"/>
      <c r="AB14" s="77">
        <v>365</v>
      </c>
      <c r="AC14" s="82">
        <f t="shared" si="3"/>
        <v>1035.78</v>
      </c>
      <c r="AD14" s="82">
        <f t="shared" si="4"/>
        <v>1102.23</v>
      </c>
      <c r="AE14" s="82">
        <f t="shared" si="5"/>
        <v>3893.99</v>
      </c>
      <c r="AF14" s="82">
        <f t="shared" si="5"/>
        <v>14083.26</v>
      </c>
      <c r="AG14" s="82"/>
      <c r="AH14" s="82"/>
      <c r="AI14" s="84">
        <f t="shared" si="6"/>
        <v>20115.260000000002</v>
      </c>
      <c r="AJ14" s="82"/>
      <c r="AK14" s="84"/>
      <c r="AL14" s="66"/>
    </row>
    <row r="15" spans="1:38" x14ac:dyDescent="0.3">
      <c r="B15" s="101"/>
      <c r="C15" s="101" t="s">
        <v>696</v>
      </c>
      <c r="D15" s="238" t="s">
        <v>474</v>
      </c>
      <c r="E15" s="42" t="s">
        <v>469</v>
      </c>
      <c r="G15" s="66"/>
      <c r="H15" s="74">
        <v>97509</v>
      </c>
      <c r="I15" s="74">
        <v>108435</v>
      </c>
      <c r="J15" s="74">
        <v>97725</v>
      </c>
      <c r="K15" s="74">
        <v>98556</v>
      </c>
      <c r="L15" s="74">
        <v>91366</v>
      </c>
      <c r="M15" s="74">
        <v>33375</v>
      </c>
      <c r="N15" s="76" cm="1">
        <f t="array" ref="N15">SUM((H15:L15)/5)</f>
        <v>98718.2</v>
      </c>
      <c r="O15" s="74">
        <v>98700</v>
      </c>
      <c r="P15" s="66"/>
      <c r="Q15" s="102">
        <v>2.33</v>
      </c>
      <c r="R15" s="102">
        <v>3.88</v>
      </c>
      <c r="S15" s="103">
        <v>0</v>
      </c>
      <c r="T15" s="103">
        <v>0</v>
      </c>
      <c r="U15" s="77">
        <f t="shared" si="0"/>
        <v>29610</v>
      </c>
      <c r="V15" s="77">
        <f t="shared" si="1"/>
        <v>69090</v>
      </c>
      <c r="W15" s="66"/>
      <c r="X15" s="77">
        <v>2.1040000000000001</v>
      </c>
      <c r="Y15" s="77">
        <v>8.5960000000000001</v>
      </c>
      <c r="Z15" s="104">
        <f t="shared" si="2"/>
        <v>13.3238</v>
      </c>
      <c r="AA15" s="66"/>
      <c r="AB15" s="77">
        <v>365</v>
      </c>
      <c r="AC15" s="82">
        <f t="shared" si="3"/>
        <v>710.04</v>
      </c>
      <c r="AD15" s="82">
        <f t="shared" si="4"/>
        <v>755.59</v>
      </c>
      <c r="AE15" s="82">
        <f t="shared" si="5"/>
        <v>2545.2800000000002</v>
      </c>
      <c r="AF15" s="82">
        <f t="shared" si="5"/>
        <v>9205.41</v>
      </c>
      <c r="AG15" s="82"/>
      <c r="AH15" s="82"/>
      <c r="AI15" s="84">
        <f t="shared" si="6"/>
        <v>13216.32</v>
      </c>
      <c r="AJ15" s="82"/>
      <c r="AK15" s="84"/>
      <c r="AL15" s="66"/>
    </row>
    <row r="16" spans="1:38" x14ac:dyDescent="0.3">
      <c r="B16" s="101"/>
      <c r="C16" s="101" t="s">
        <v>697</v>
      </c>
      <c r="D16" s="238" t="s">
        <v>474</v>
      </c>
      <c r="E16" s="42" t="s">
        <v>469</v>
      </c>
      <c r="G16" s="66"/>
      <c r="H16" s="74">
        <v>167082</v>
      </c>
      <c r="I16" s="74">
        <v>165761</v>
      </c>
      <c r="J16" s="74">
        <v>171067</v>
      </c>
      <c r="K16" s="74">
        <v>182122</v>
      </c>
      <c r="L16" s="74">
        <v>189323</v>
      </c>
      <c r="M16" s="74">
        <v>50454</v>
      </c>
      <c r="N16" s="76" cm="1">
        <f t="array" ref="N16">SUM((H16:L16)/5)</f>
        <v>175071</v>
      </c>
      <c r="O16" s="74">
        <v>184500</v>
      </c>
      <c r="P16" s="66"/>
      <c r="Q16" s="102">
        <v>3.92</v>
      </c>
      <c r="R16" s="102">
        <v>8.59</v>
      </c>
      <c r="S16" s="103">
        <v>0</v>
      </c>
      <c r="T16" s="103">
        <v>0</v>
      </c>
      <c r="U16" s="77">
        <f t="shared" si="0"/>
        <v>55350</v>
      </c>
      <c r="V16" s="77">
        <f t="shared" si="1"/>
        <v>129149.99999999999</v>
      </c>
      <c r="W16" s="66"/>
      <c r="X16" s="77">
        <v>2.1040000000000001</v>
      </c>
      <c r="Y16" s="77">
        <v>8.5960000000000001</v>
      </c>
      <c r="Z16" s="104">
        <f t="shared" si="2"/>
        <v>13.3238</v>
      </c>
      <c r="AA16" s="66"/>
      <c r="AB16" s="77">
        <v>365</v>
      </c>
      <c r="AC16" s="82">
        <f t="shared" si="3"/>
        <v>1571.97</v>
      </c>
      <c r="AD16" s="82">
        <f t="shared" si="4"/>
        <v>1672.82</v>
      </c>
      <c r="AE16" s="82">
        <f t="shared" si="5"/>
        <v>4757.8900000000003</v>
      </c>
      <c r="AF16" s="82">
        <f t="shared" si="5"/>
        <v>17207.689999999999</v>
      </c>
      <c r="AG16" s="82"/>
      <c r="AH16" s="82"/>
      <c r="AI16" s="84">
        <f t="shared" si="6"/>
        <v>25210.37</v>
      </c>
      <c r="AJ16" s="82"/>
      <c r="AK16" s="84"/>
      <c r="AL16" s="66"/>
    </row>
    <row r="17" spans="2:38" x14ac:dyDescent="0.3">
      <c r="B17" s="101"/>
      <c r="C17" s="101" t="s">
        <v>698</v>
      </c>
      <c r="D17" s="238" t="s">
        <v>474</v>
      </c>
      <c r="E17" s="42" t="s">
        <v>469</v>
      </c>
      <c r="G17" s="66"/>
      <c r="H17" s="74">
        <v>59369</v>
      </c>
      <c r="I17" s="74">
        <v>76377</v>
      </c>
      <c r="J17" s="74">
        <v>79668</v>
      </c>
      <c r="K17" s="74">
        <v>74349</v>
      </c>
      <c r="L17" s="74">
        <v>66885</v>
      </c>
      <c r="M17" s="74">
        <v>22917</v>
      </c>
      <c r="N17" s="76" cm="1">
        <f t="array" ref="N17">SUM((H17:L17)/5)</f>
        <v>71329.599999999991</v>
      </c>
      <c r="O17" s="74">
        <v>73000</v>
      </c>
      <c r="P17" s="66"/>
      <c r="Q17" s="102">
        <v>1.98</v>
      </c>
      <c r="R17" s="102">
        <v>3.9</v>
      </c>
      <c r="S17" s="103">
        <v>0</v>
      </c>
      <c r="T17" s="103">
        <v>0</v>
      </c>
      <c r="U17" s="77">
        <f t="shared" si="0"/>
        <v>21900</v>
      </c>
      <c r="V17" s="77">
        <f t="shared" si="1"/>
        <v>51100</v>
      </c>
      <c r="W17" s="66"/>
      <c r="X17" s="77">
        <v>2.1040000000000001</v>
      </c>
      <c r="Y17" s="77">
        <v>8.6029999999999998</v>
      </c>
      <c r="Z17" s="104">
        <f t="shared" si="2"/>
        <v>13.33465</v>
      </c>
      <c r="AA17" s="66"/>
      <c r="AB17" s="77">
        <v>365</v>
      </c>
      <c r="AC17" s="82">
        <f t="shared" si="3"/>
        <v>713.7</v>
      </c>
      <c r="AD17" s="82">
        <f t="shared" si="4"/>
        <v>759.49</v>
      </c>
      <c r="AE17" s="82">
        <f t="shared" si="5"/>
        <v>1884.06</v>
      </c>
      <c r="AF17" s="82">
        <f t="shared" si="5"/>
        <v>6814.01</v>
      </c>
      <c r="AG17" s="82"/>
      <c r="AH17" s="82"/>
      <c r="AI17" s="84">
        <f t="shared" si="6"/>
        <v>10171.26</v>
      </c>
      <c r="AJ17" s="82"/>
      <c r="AK17" s="84"/>
      <c r="AL17" s="66"/>
    </row>
    <row r="18" spans="2:38" x14ac:dyDescent="0.3">
      <c r="B18" s="101"/>
      <c r="C18" s="101" t="s">
        <v>699</v>
      </c>
      <c r="D18" s="238" t="s">
        <v>474</v>
      </c>
      <c r="E18" s="42" t="s">
        <v>469</v>
      </c>
      <c r="G18" s="66"/>
      <c r="H18" s="74">
        <v>117313</v>
      </c>
      <c r="I18" s="74">
        <v>108889</v>
      </c>
      <c r="J18" s="74">
        <v>116409</v>
      </c>
      <c r="K18" s="74">
        <v>118612</v>
      </c>
      <c r="L18" s="74">
        <v>114426</v>
      </c>
      <c r="M18" s="74">
        <v>27499</v>
      </c>
      <c r="N18" s="76" cm="1">
        <f t="array" ref="N18">SUM((H18:L18)/5)</f>
        <v>115129.8</v>
      </c>
      <c r="O18" s="74">
        <v>116000</v>
      </c>
      <c r="P18" s="66"/>
      <c r="Q18" s="102">
        <v>2.65</v>
      </c>
      <c r="R18" s="102">
        <v>4.67</v>
      </c>
      <c r="S18" s="103">
        <v>0</v>
      </c>
      <c r="T18" s="103">
        <v>0</v>
      </c>
      <c r="U18" s="77">
        <f t="shared" si="0"/>
        <v>34800</v>
      </c>
      <c r="V18" s="77">
        <f t="shared" si="1"/>
        <v>81200</v>
      </c>
      <c r="W18" s="66"/>
      <c r="X18" s="77">
        <v>2.1040000000000001</v>
      </c>
      <c r="Y18" s="77">
        <v>8.5960000000000001</v>
      </c>
      <c r="Z18" s="104">
        <f t="shared" si="2"/>
        <v>13.3238</v>
      </c>
      <c r="AA18" s="66"/>
      <c r="AB18" s="77">
        <v>365</v>
      </c>
      <c r="AC18" s="82">
        <f t="shared" si="3"/>
        <v>854.61</v>
      </c>
      <c r="AD18" s="82">
        <f t="shared" si="4"/>
        <v>909.44</v>
      </c>
      <c r="AE18" s="82">
        <f t="shared" si="5"/>
        <v>2991.41</v>
      </c>
      <c r="AF18" s="82">
        <f t="shared" si="5"/>
        <v>10818.93</v>
      </c>
      <c r="AG18" s="82"/>
      <c r="AH18" s="82"/>
      <c r="AI18" s="84">
        <f t="shared" si="6"/>
        <v>15574.39</v>
      </c>
      <c r="AJ18" s="82"/>
      <c r="AK18" s="84"/>
      <c r="AL18" s="66"/>
    </row>
    <row r="19" spans="2:38" x14ac:dyDescent="0.3">
      <c r="B19" s="101"/>
      <c r="C19" s="101" t="s">
        <v>699</v>
      </c>
      <c r="D19" s="238" t="s">
        <v>474</v>
      </c>
      <c r="E19" s="42" t="s">
        <v>469</v>
      </c>
      <c r="G19" s="66"/>
      <c r="H19" s="74">
        <v>84266</v>
      </c>
      <c r="I19" s="74">
        <v>84670</v>
      </c>
      <c r="J19" s="74">
        <v>94166</v>
      </c>
      <c r="K19" s="74">
        <v>83614</v>
      </c>
      <c r="L19" s="74">
        <v>77753</v>
      </c>
      <c r="M19" s="74">
        <v>23999</v>
      </c>
      <c r="N19" s="76" cm="1">
        <f t="array" ref="N19">SUM((H19:L19)/5)</f>
        <v>84893.8</v>
      </c>
      <c r="O19" s="74">
        <v>84500</v>
      </c>
      <c r="P19" s="66"/>
      <c r="Q19" s="102">
        <v>2.11</v>
      </c>
      <c r="R19" s="102">
        <v>3.43</v>
      </c>
      <c r="S19" s="103">
        <v>0</v>
      </c>
      <c r="T19" s="103">
        <v>0</v>
      </c>
      <c r="U19" s="77">
        <f t="shared" si="0"/>
        <v>25350</v>
      </c>
      <c r="V19" s="77">
        <f t="shared" si="1"/>
        <v>59149.999999999993</v>
      </c>
      <c r="W19" s="66"/>
      <c r="X19" s="77">
        <v>2.1040000000000001</v>
      </c>
      <c r="Y19" s="77">
        <v>8.5960000000000001</v>
      </c>
      <c r="Z19" s="104">
        <f t="shared" si="2"/>
        <v>13.3238</v>
      </c>
      <c r="AA19" s="66"/>
      <c r="AB19" s="77">
        <v>365</v>
      </c>
      <c r="AC19" s="82">
        <f t="shared" si="3"/>
        <v>627.69000000000005</v>
      </c>
      <c r="AD19" s="82">
        <f t="shared" si="4"/>
        <v>667.96</v>
      </c>
      <c r="AE19" s="82">
        <f t="shared" si="5"/>
        <v>2179.09</v>
      </c>
      <c r="AF19" s="82">
        <f t="shared" si="5"/>
        <v>7881.03</v>
      </c>
      <c r="AG19" s="82"/>
      <c r="AH19" s="82"/>
      <c r="AI19" s="84">
        <f t="shared" si="6"/>
        <v>11355.77</v>
      </c>
      <c r="AJ19" s="82"/>
      <c r="AK19" s="84"/>
      <c r="AL19" s="66"/>
    </row>
    <row r="20" spans="2:38" x14ac:dyDescent="0.3">
      <c r="B20" s="101"/>
      <c r="C20" s="101" t="s">
        <v>700</v>
      </c>
      <c r="D20" s="238" t="s">
        <v>474</v>
      </c>
      <c r="E20" s="42" t="s">
        <v>469</v>
      </c>
      <c r="G20" s="66"/>
      <c r="H20" s="74">
        <v>84605</v>
      </c>
      <c r="I20" s="74">
        <v>73013</v>
      </c>
      <c r="J20" s="74">
        <v>121475</v>
      </c>
      <c r="K20" s="74">
        <v>87277</v>
      </c>
      <c r="L20" s="74">
        <v>107418</v>
      </c>
      <c r="M20" s="74">
        <v>28632</v>
      </c>
      <c r="N20" s="76" cm="1">
        <f t="array" ref="N20">SUM((H20:L20)/5)</f>
        <v>94757.6</v>
      </c>
      <c r="O20" s="74">
        <v>94750</v>
      </c>
      <c r="P20" s="66"/>
      <c r="Q20" s="102">
        <v>2.4700000000000002</v>
      </c>
      <c r="R20" s="102">
        <v>5.16</v>
      </c>
      <c r="S20" s="103">
        <v>0</v>
      </c>
      <c r="T20" s="103">
        <v>0</v>
      </c>
      <c r="U20" s="77">
        <f t="shared" si="0"/>
        <v>28425</v>
      </c>
      <c r="V20" s="77">
        <f t="shared" si="1"/>
        <v>66325</v>
      </c>
      <c r="W20" s="66"/>
      <c r="X20" s="77">
        <v>2.1040000000000001</v>
      </c>
      <c r="Y20" s="77">
        <v>8.5960000000000001</v>
      </c>
      <c r="Z20" s="104">
        <f t="shared" si="2"/>
        <v>13.3238</v>
      </c>
      <c r="AA20" s="66"/>
      <c r="AB20" s="77">
        <v>365</v>
      </c>
      <c r="AC20" s="82">
        <f t="shared" si="3"/>
        <v>944.28</v>
      </c>
      <c r="AD20" s="82">
        <f t="shared" si="4"/>
        <v>1004.86</v>
      </c>
      <c r="AE20" s="82">
        <f t="shared" si="5"/>
        <v>2443.41</v>
      </c>
      <c r="AF20" s="82">
        <f t="shared" si="5"/>
        <v>8837.01</v>
      </c>
      <c r="AG20" s="82"/>
      <c r="AH20" s="82"/>
      <c r="AI20" s="84">
        <f t="shared" si="6"/>
        <v>13229.56</v>
      </c>
      <c r="AJ20" s="82"/>
      <c r="AK20" s="84"/>
      <c r="AL20" s="66"/>
    </row>
    <row r="21" spans="2:38" x14ac:dyDescent="0.3">
      <c r="B21" s="101"/>
      <c r="C21" s="101" t="s">
        <v>700</v>
      </c>
      <c r="D21" s="238" t="s">
        <v>474</v>
      </c>
      <c r="E21" s="42" t="s">
        <v>469</v>
      </c>
      <c r="G21" s="66"/>
      <c r="H21" s="74">
        <v>103621</v>
      </c>
      <c r="I21" s="74">
        <v>100938</v>
      </c>
      <c r="J21" s="74">
        <v>96684</v>
      </c>
      <c r="K21" s="74">
        <v>96131</v>
      </c>
      <c r="L21" s="74">
        <v>93243</v>
      </c>
      <c r="M21" s="74">
        <v>31023</v>
      </c>
      <c r="N21" s="76" cm="1">
        <f t="array" ref="N21">SUM((H21:L21)/5)</f>
        <v>98123.4</v>
      </c>
      <c r="O21" s="74">
        <v>98000</v>
      </c>
      <c r="P21" s="66"/>
      <c r="Q21" s="102">
        <v>2.27</v>
      </c>
      <c r="R21" s="102">
        <v>3.91</v>
      </c>
      <c r="S21" s="103">
        <v>0</v>
      </c>
      <c r="T21" s="103">
        <v>0</v>
      </c>
      <c r="U21" s="77">
        <f t="shared" si="0"/>
        <v>29400</v>
      </c>
      <c r="V21" s="77">
        <f t="shared" si="1"/>
        <v>68600</v>
      </c>
      <c r="W21" s="66"/>
      <c r="X21" s="77">
        <v>2.1040000000000001</v>
      </c>
      <c r="Y21" s="77">
        <v>8.5960000000000001</v>
      </c>
      <c r="Z21" s="104">
        <f t="shared" si="2"/>
        <v>13.3238</v>
      </c>
      <c r="AA21" s="66"/>
      <c r="AB21" s="77">
        <v>365</v>
      </c>
      <c r="AC21" s="82">
        <f t="shared" si="3"/>
        <v>715.53</v>
      </c>
      <c r="AD21" s="82">
        <f t="shared" si="4"/>
        <v>761.43</v>
      </c>
      <c r="AE21" s="82">
        <f t="shared" si="5"/>
        <v>2527.2199999999998</v>
      </c>
      <c r="AF21" s="82">
        <f t="shared" si="5"/>
        <v>9140.1299999999992</v>
      </c>
      <c r="AG21" s="82"/>
      <c r="AH21" s="82"/>
      <c r="AI21" s="84">
        <f t="shared" si="6"/>
        <v>13144.31</v>
      </c>
      <c r="AJ21" s="82"/>
      <c r="AK21" s="84"/>
      <c r="AL21" s="66"/>
    </row>
    <row r="22" spans="2:38" x14ac:dyDescent="0.3">
      <c r="B22" s="101"/>
      <c r="C22" s="101" t="s">
        <v>700</v>
      </c>
      <c r="D22" s="238" t="s">
        <v>474</v>
      </c>
      <c r="E22" s="42" t="s">
        <v>469</v>
      </c>
      <c r="G22" s="66"/>
      <c r="H22" s="74">
        <v>131448</v>
      </c>
      <c r="I22" s="74">
        <v>132775</v>
      </c>
      <c r="J22" s="74">
        <v>120414</v>
      </c>
      <c r="K22" s="74">
        <v>137818</v>
      </c>
      <c r="L22" s="74">
        <v>145434</v>
      </c>
      <c r="M22" s="74">
        <v>38768</v>
      </c>
      <c r="N22" s="76" cm="1">
        <f t="array" ref="N22">SUM((H22:L22)/5)</f>
        <v>133577.79999999999</v>
      </c>
      <c r="O22" s="74">
        <v>142000</v>
      </c>
      <c r="P22" s="66"/>
      <c r="Q22" s="102">
        <v>3.12</v>
      </c>
      <c r="R22" s="102">
        <v>6.72</v>
      </c>
      <c r="S22" s="103">
        <v>0</v>
      </c>
      <c r="T22" s="103">
        <v>0</v>
      </c>
      <c r="U22" s="77">
        <f t="shared" si="0"/>
        <v>42600</v>
      </c>
      <c r="V22" s="77">
        <f t="shared" si="1"/>
        <v>99400</v>
      </c>
      <c r="W22" s="66"/>
      <c r="X22" s="77">
        <v>2.1040000000000001</v>
      </c>
      <c r="Y22" s="77">
        <v>8.5960000000000001</v>
      </c>
      <c r="Z22" s="104">
        <f t="shared" si="2"/>
        <v>13.3238</v>
      </c>
      <c r="AA22" s="66"/>
      <c r="AB22" s="77">
        <v>365</v>
      </c>
      <c r="AC22" s="82">
        <f t="shared" si="3"/>
        <v>1229.76</v>
      </c>
      <c r="AD22" s="82">
        <f t="shared" si="4"/>
        <v>1308.6500000000001</v>
      </c>
      <c r="AE22" s="82">
        <f t="shared" si="5"/>
        <v>3661.9</v>
      </c>
      <c r="AF22" s="82">
        <f t="shared" si="5"/>
        <v>13243.86</v>
      </c>
      <c r="AG22" s="82"/>
      <c r="AH22" s="82"/>
      <c r="AI22" s="84">
        <f t="shared" si="6"/>
        <v>19444.169999999998</v>
      </c>
      <c r="AJ22" s="82"/>
      <c r="AK22" s="84"/>
      <c r="AL22" s="66"/>
    </row>
    <row r="23" spans="2:38" x14ac:dyDescent="0.3">
      <c r="B23" s="101"/>
      <c r="C23" s="101" t="s">
        <v>385</v>
      </c>
      <c r="D23" s="238" t="s">
        <v>474</v>
      </c>
      <c r="E23" s="42" t="s">
        <v>469</v>
      </c>
      <c r="G23" s="66"/>
      <c r="H23" s="74">
        <v>23138</v>
      </c>
      <c r="I23" s="74">
        <v>206836</v>
      </c>
      <c r="J23" s="74">
        <v>208252</v>
      </c>
      <c r="K23" s="74">
        <v>198046</v>
      </c>
      <c r="L23" s="74">
        <v>228162</v>
      </c>
      <c r="M23" s="74">
        <v>29068</v>
      </c>
      <c r="N23" s="76" cm="1">
        <f t="array" ref="N23">SUM((H23:L23)/5)</f>
        <v>172886.8</v>
      </c>
      <c r="O23" s="74">
        <v>213000</v>
      </c>
      <c r="P23" s="66"/>
      <c r="Q23" s="102">
        <v>4.13</v>
      </c>
      <c r="R23" s="102">
        <v>8.57</v>
      </c>
      <c r="S23" s="103">
        <v>0</v>
      </c>
      <c r="T23" s="103">
        <v>0</v>
      </c>
      <c r="U23" s="77">
        <f t="shared" si="0"/>
        <v>63900</v>
      </c>
      <c r="V23" s="77">
        <f t="shared" si="1"/>
        <v>149100</v>
      </c>
      <c r="W23" s="66"/>
      <c r="X23" s="77">
        <v>2.1040000000000001</v>
      </c>
      <c r="Y23" s="77">
        <v>8.5960000000000001</v>
      </c>
      <c r="Z23" s="104">
        <f t="shared" si="2"/>
        <v>13.3238</v>
      </c>
      <c r="AA23" s="66"/>
      <c r="AB23" s="77">
        <v>365</v>
      </c>
      <c r="AC23" s="82">
        <f t="shared" si="3"/>
        <v>1568.31</v>
      </c>
      <c r="AD23" s="82">
        <f t="shared" si="4"/>
        <v>1668.92</v>
      </c>
      <c r="AE23" s="82">
        <f t="shared" si="5"/>
        <v>5492.84</v>
      </c>
      <c r="AF23" s="82">
        <f t="shared" si="5"/>
        <v>19865.79</v>
      </c>
      <c r="AG23" s="82"/>
      <c r="AH23" s="82"/>
      <c r="AI23" s="84">
        <f t="shared" si="6"/>
        <v>28595.86</v>
      </c>
      <c r="AJ23" s="82"/>
      <c r="AK23" s="84"/>
      <c r="AL23" s="66"/>
    </row>
    <row r="24" spans="2:38" x14ac:dyDescent="0.3">
      <c r="B24" s="101"/>
      <c r="C24" s="101" t="s">
        <v>385</v>
      </c>
      <c r="D24" s="238" t="s">
        <v>474</v>
      </c>
      <c r="E24" s="42" t="s">
        <v>469</v>
      </c>
      <c r="G24" s="66"/>
      <c r="H24" s="74">
        <v>273496</v>
      </c>
      <c r="I24" s="74">
        <v>69738</v>
      </c>
      <c r="J24" s="74">
        <v>132012</v>
      </c>
      <c r="K24" s="74">
        <v>141834</v>
      </c>
      <c r="L24" s="74">
        <v>155896</v>
      </c>
      <c r="M24" s="74">
        <v>41554</v>
      </c>
      <c r="N24" s="76" cm="1">
        <f t="array" ref="N24">SUM((H24:L24)/5)</f>
        <v>154595.20000000001</v>
      </c>
      <c r="O24" s="74">
        <v>154500</v>
      </c>
      <c r="P24" s="66"/>
      <c r="Q24" s="102">
        <v>3.36</v>
      </c>
      <c r="R24" s="102">
        <v>7.22</v>
      </c>
      <c r="S24" s="103">
        <v>0</v>
      </c>
      <c r="T24" s="103">
        <v>0</v>
      </c>
      <c r="U24" s="77">
        <f t="shared" si="0"/>
        <v>46350</v>
      </c>
      <c r="V24" s="77">
        <f t="shared" si="1"/>
        <v>108150</v>
      </c>
      <c r="W24" s="66"/>
      <c r="X24" s="77">
        <v>2.1040000000000001</v>
      </c>
      <c r="Y24" s="77">
        <v>8.5960000000000001</v>
      </c>
      <c r="Z24" s="104">
        <f t="shared" si="2"/>
        <v>13.3238</v>
      </c>
      <c r="AA24" s="66"/>
      <c r="AB24" s="77">
        <v>365</v>
      </c>
      <c r="AC24" s="82">
        <f t="shared" si="3"/>
        <v>1321.26</v>
      </c>
      <c r="AD24" s="82">
        <f t="shared" si="4"/>
        <v>1406.02</v>
      </c>
      <c r="AE24" s="82">
        <f t="shared" si="5"/>
        <v>3984.25</v>
      </c>
      <c r="AF24" s="82">
        <f t="shared" si="5"/>
        <v>14409.69</v>
      </c>
      <c r="AG24" s="82"/>
      <c r="AH24" s="82"/>
      <c r="AI24" s="84">
        <f t="shared" si="6"/>
        <v>21121.22</v>
      </c>
      <c r="AJ24" s="82"/>
      <c r="AK24" s="84"/>
      <c r="AL24" s="66"/>
    </row>
    <row r="25" spans="2:38" x14ac:dyDescent="0.3">
      <c r="B25" s="101"/>
      <c r="C25" s="101" t="s">
        <v>385</v>
      </c>
      <c r="D25" s="238" t="s">
        <v>474</v>
      </c>
      <c r="E25" s="42" t="s">
        <v>469</v>
      </c>
      <c r="G25" s="66"/>
      <c r="H25" s="74">
        <v>237537</v>
      </c>
      <c r="I25" s="74">
        <v>311765</v>
      </c>
      <c r="J25" s="74">
        <v>207166</v>
      </c>
      <c r="K25" s="74">
        <v>229356</v>
      </c>
      <c r="L25" s="74">
        <v>235714</v>
      </c>
      <c r="M25" s="74">
        <v>37324</v>
      </c>
      <c r="N25" s="76" cm="1">
        <f t="array" ref="N25">SUM((H25:L25)/5)</f>
        <v>244307.59999999998</v>
      </c>
      <c r="O25" s="74">
        <v>240000</v>
      </c>
      <c r="P25" s="66"/>
      <c r="Q25" s="102">
        <v>4.72</v>
      </c>
      <c r="R25" s="102">
        <v>9.83</v>
      </c>
      <c r="S25" s="103">
        <v>0</v>
      </c>
      <c r="T25" s="103">
        <v>0</v>
      </c>
      <c r="U25" s="77">
        <f t="shared" si="0"/>
        <v>72000</v>
      </c>
      <c r="V25" s="77">
        <f t="shared" si="1"/>
        <v>168000</v>
      </c>
      <c r="W25" s="66"/>
      <c r="X25" s="77">
        <v>2.1040000000000001</v>
      </c>
      <c r="Y25" s="77">
        <v>8.5960000000000001</v>
      </c>
      <c r="Z25" s="104">
        <f t="shared" si="2"/>
        <v>13.3238</v>
      </c>
      <c r="AA25" s="66"/>
      <c r="AB25" s="77">
        <v>365</v>
      </c>
      <c r="AC25" s="82">
        <f t="shared" si="3"/>
        <v>1798.89</v>
      </c>
      <c r="AD25" s="82">
        <f t="shared" si="4"/>
        <v>1914.29</v>
      </c>
      <c r="AE25" s="82">
        <f t="shared" si="5"/>
        <v>6189.12</v>
      </c>
      <c r="AF25" s="82">
        <f t="shared" si="5"/>
        <v>22383.98</v>
      </c>
      <c r="AG25" s="82"/>
      <c r="AH25" s="82"/>
      <c r="AI25" s="84">
        <f t="shared" si="6"/>
        <v>32286.28</v>
      </c>
      <c r="AJ25" s="82"/>
      <c r="AK25" s="84"/>
      <c r="AL25" s="66"/>
    </row>
    <row r="26" spans="2:38" x14ac:dyDescent="0.3">
      <c r="B26" s="101"/>
      <c r="C26" s="101" t="s">
        <v>385</v>
      </c>
      <c r="D26" s="238" t="s">
        <v>474</v>
      </c>
      <c r="E26" s="42" t="s">
        <v>469</v>
      </c>
      <c r="G26" s="66"/>
      <c r="H26" s="74">
        <v>278797</v>
      </c>
      <c r="I26" s="74">
        <v>266378</v>
      </c>
      <c r="J26" s="74">
        <v>275039</v>
      </c>
      <c r="K26" s="74">
        <v>265224</v>
      </c>
      <c r="L26" s="74">
        <v>275416</v>
      </c>
      <c r="M26" s="74">
        <v>734</v>
      </c>
      <c r="N26" s="76" cm="1">
        <f t="array" ref="N26">SUM((H26:L26)/5)</f>
        <v>272170.8</v>
      </c>
      <c r="O26" s="74">
        <v>272100</v>
      </c>
      <c r="P26" s="66"/>
      <c r="Q26" s="102">
        <v>5.37</v>
      </c>
      <c r="R26" s="102">
        <v>12.11</v>
      </c>
      <c r="S26" s="103">
        <v>0</v>
      </c>
      <c r="T26" s="103">
        <v>0</v>
      </c>
      <c r="U26" s="77">
        <f t="shared" si="0"/>
        <v>81630</v>
      </c>
      <c r="V26" s="77">
        <f t="shared" si="1"/>
        <v>190470</v>
      </c>
      <c r="W26" s="66"/>
      <c r="X26" s="77">
        <v>2.1040000000000001</v>
      </c>
      <c r="Y26" s="77">
        <v>8.5960000000000001</v>
      </c>
      <c r="Z26" s="104">
        <f t="shared" si="2"/>
        <v>13.3238</v>
      </c>
      <c r="AA26" s="66"/>
      <c r="AB26" s="77">
        <v>365</v>
      </c>
      <c r="AC26" s="82">
        <f t="shared" si="3"/>
        <v>2216.13</v>
      </c>
      <c r="AD26" s="82">
        <f t="shared" si="4"/>
        <v>2358.3000000000002</v>
      </c>
      <c r="AE26" s="82">
        <f t="shared" si="5"/>
        <v>7016.91</v>
      </c>
      <c r="AF26" s="82">
        <f t="shared" si="5"/>
        <v>25377.84</v>
      </c>
      <c r="AG26" s="82"/>
      <c r="AH26" s="82"/>
      <c r="AI26" s="84">
        <f t="shared" si="6"/>
        <v>36969.18</v>
      </c>
      <c r="AJ26" s="82"/>
      <c r="AK26" s="84"/>
      <c r="AL26" s="66"/>
    </row>
    <row r="27" spans="2:38" x14ac:dyDescent="0.3">
      <c r="B27" s="101"/>
      <c r="C27" s="101" t="s">
        <v>385</v>
      </c>
      <c r="D27" s="238" t="s">
        <v>474</v>
      </c>
      <c r="E27" s="42" t="s">
        <v>469</v>
      </c>
      <c r="G27" s="66"/>
      <c r="H27" s="74">
        <v>291371</v>
      </c>
      <c r="I27" s="74">
        <v>312671</v>
      </c>
      <c r="J27" s="74">
        <v>272100</v>
      </c>
      <c r="K27" s="74">
        <v>263611</v>
      </c>
      <c r="L27" s="74">
        <v>290511</v>
      </c>
      <c r="M27" s="74">
        <v>77423</v>
      </c>
      <c r="N27" s="76" cm="1">
        <f t="array" ref="N27">SUM((H27:L27)/5)</f>
        <v>286052.8</v>
      </c>
      <c r="O27" s="74">
        <v>286000</v>
      </c>
      <c r="P27" s="66"/>
      <c r="Q27" s="102">
        <v>5.62</v>
      </c>
      <c r="R27" s="102">
        <v>12.72</v>
      </c>
      <c r="S27" s="103">
        <v>0</v>
      </c>
      <c r="T27" s="103">
        <v>0</v>
      </c>
      <c r="U27" s="77">
        <f t="shared" si="0"/>
        <v>85800</v>
      </c>
      <c r="V27" s="77">
        <f t="shared" si="1"/>
        <v>200200</v>
      </c>
      <c r="W27" s="66"/>
      <c r="X27" s="77">
        <v>2.1040000000000001</v>
      </c>
      <c r="Y27" s="77">
        <v>8.5960000000000001</v>
      </c>
      <c r="Z27" s="104">
        <f t="shared" si="2"/>
        <v>13.3238</v>
      </c>
      <c r="AA27" s="66"/>
      <c r="AB27" s="77">
        <v>365</v>
      </c>
      <c r="AC27" s="82">
        <f t="shared" si="3"/>
        <v>2327.7600000000002</v>
      </c>
      <c r="AD27" s="82">
        <f t="shared" si="4"/>
        <v>2477.09</v>
      </c>
      <c r="AE27" s="82">
        <f t="shared" si="5"/>
        <v>7375.37</v>
      </c>
      <c r="AF27" s="82">
        <f t="shared" si="5"/>
        <v>26674.25</v>
      </c>
      <c r="AG27" s="82"/>
      <c r="AH27" s="82"/>
      <c r="AI27" s="84">
        <f t="shared" si="6"/>
        <v>38854.47</v>
      </c>
      <c r="AJ27" s="82"/>
      <c r="AK27" s="84"/>
      <c r="AL27" s="66"/>
    </row>
    <row r="28" spans="2:38" x14ac:dyDescent="0.3">
      <c r="B28" s="101"/>
      <c r="C28" s="101" t="s">
        <v>385</v>
      </c>
      <c r="D28" s="238" t="s">
        <v>474</v>
      </c>
      <c r="E28" s="42" t="s">
        <v>469</v>
      </c>
      <c r="G28" s="66"/>
      <c r="H28" s="74">
        <v>249171</v>
      </c>
      <c r="I28" s="74">
        <v>209590</v>
      </c>
      <c r="J28" s="74">
        <v>191983</v>
      </c>
      <c r="K28" s="74">
        <v>199627</v>
      </c>
      <c r="L28" s="74">
        <v>200244</v>
      </c>
      <c r="M28" s="74">
        <v>51825</v>
      </c>
      <c r="N28" s="76" cm="1">
        <f t="array" ref="N28">SUM((H28:L28)/5)</f>
        <v>210123</v>
      </c>
      <c r="O28" s="74">
        <v>210000</v>
      </c>
      <c r="P28" s="66"/>
      <c r="Q28" s="102">
        <v>4.4400000000000004</v>
      </c>
      <c r="R28" s="102">
        <v>8.74</v>
      </c>
      <c r="S28" s="103">
        <v>0</v>
      </c>
      <c r="T28" s="103">
        <v>0</v>
      </c>
      <c r="U28" s="77">
        <f t="shared" si="0"/>
        <v>63000</v>
      </c>
      <c r="V28" s="77">
        <f t="shared" si="1"/>
        <v>147000</v>
      </c>
      <c r="W28" s="66"/>
      <c r="X28" s="77">
        <v>2.1040000000000001</v>
      </c>
      <c r="Y28" s="77">
        <v>8.5960000000000001</v>
      </c>
      <c r="Z28" s="104">
        <f t="shared" si="2"/>
        <v>13.3238</v>
      </c>
      <c r="AA28" s="66"/>
      <c r="AB28" s="77">
        <v>365</v>
      </c>
      <c r="AC28" s="82">
        <f t="shared" si="3"/>
        <v>1599.42</v>
      </c>
      <c r="AD28" s="82">
        <f t="shared" si="4"/>
        <v>1702.03</v>
      </c>
      <c r="AE28" s="82">
        <f t="shared" si="5"/>
        <v>5415.48</v>
      </c>
      <c r="AF28" s="82">
        <f t="shared" si="5"/>
        <v>19585.990000000002</v>
      </c>
      <c r="AG28" s="82"/>
      <c r="AH28" s="82"/>
      <c r="AI28" s="84">
        <f t="shared" si="6"/>
        <v>28302.920000000002</v>
      </c>
      <c r="AJ28" s="82"/>
      <c r="AK28" s="84"/>
      <c r="AL28" s="66"/>
    </row>
    <row r="29" spans="2:38" x14ac:dyDescent="0.3">
      <c r="B29" s="101"/>
      <c r="C29" s="101" t="s">
        <v>385</v>
      </c>
      <c r="D29" s="238" t="s">
        <v>474</v>
      </c>
      <c r="E29" s="42" t="s">
        <v>469</v>
      </c>
      <c r="G29" s="66"/>
      <c r="H29" s="74">
        <v>139638</v>
      </c>
      <c r="I29" s="74">
        <v>62916</v>
      </c>
      <c r="J29" s="74">
        <v>23275</v>
      </c>
      <c r="K29" s="74">
        <v>22731</v>
      </c>
      <c r="L29" s="74">
        <v>23298</v>
      </c>
      <c r="M29" s="74">
        <v>4319</v>
      </c>
      <c r="N29" s="76" cm="1">
        <f t="array" ref="N29">SUM((H29:L29)/5)</f>
        <v>54371.6</v>
      </c>
      <c r="O29" s="74">
        <v>25000</v>
      </c>
      <c r="P29" s="66"/>
      <c r="Q29" s="102">
        <v>1.18</v>
      </c>
      <c r="R29" s="102">
        <v>1.88</v>
      </c>
      <c r="S29" s="103">
        <v>0</v>
      </c>
      <c r="T29" s="103">
        <v>0</v>
      </c>
      <c r="U29" s="77">
        <f t="shared" si="0"/>
        <v>7500</v>
      </c>
      <c r="V29" s="77">
        <f t="shared" si="1"/>
        <v>17500</v>
      </c>
      <c r="W29" s="66"/>
      <c r="X29" s="77">
        <v>2.1110000000000002</v>
      </c>
      <c r="Y29" s="77">
        <v>8.6029999999999998</v>
      </c>
      <c r="Z29" s="104">
        <f t="shared" si="2"/>
        <v>13.33465</v>
      </c>
      <c r="AA29" s="66"/>
      <c r="AB29" s="77">
        <v>365</v>
      </c>
      <c r="AC29" s="82">
        <f t="shared" si="3"/>
        <v>344.04</v>
      </c>
      <c r="AD29" s="82">
        <f t="shared" si="4"/>
        <v>366.11</v>
      </c>
      <c r="AE29" s="82">
        <f t="shared" si="5"/>
        <v>645.23</v>
      </c>
      <c r="AF29" s="82">
        <f t="shared" si="5"/>
        <v>2333.56</v>
      </c>
      <c r="AG29" s="82"/>
      <c r="AH29" s="82"/>
      <c r="AI29" s="84">
        <f t="shared" si="6"/>
        <v>3688.94</v>
      </c>
      <c r="AJ29" s="82"/>
      <c r="AK29" s="84"/>
      <c r="AL29" s="66"/>
    </row>
    <row r="30" spans="2:38" x14ac:dyDescent="0.3">
      <c r="B30" s="101"/>
      <c r="C30" s="101" t="s">
        <v>385</v>
      </c>
      <c r="D30" s="238" t="s">
        <v>474</v>
      </c>
      <c r="E30" s="42" t="s">
        <v>469</v>
      </c>
      <c r="G30" s="66"/>
      <c r="H30" s="74">
        <v>286262</v>
      </c>
      <c r="I30" s="74">
        <v>298474</v>
      </c>
      <c r="J30" s="74">
        <v>236296</v>
      </c>
      <c r="K30" s="74">
        <v>247250</v>
      </c>
      <c r="L30" s="74">
        <v>272480</v>
      </c>
      <c r="M30" s="74">
        <v>42718</v>
      </c>
      <c r="N30" s="76" cm="1">
        <f t="array" ref="N30">SUM((H30:L30)/5)</f>
        <v>268152.40000000002</v>
      </c>
      <c r="O30" s="74">
        <v>268000</v>
      </c>
      <c r="P30" s="66"/>
      <c r="Q30" s="102">
        <v>5.32</v>
      </c>
      <c r="R30" s="102">
        <v>11.19</v>
      </c>
      <c r="S30" s="103">
        <v>0</v>
      </c>
      <c r="T30" s="103">
        <v>0</v>
      </c>
      <c r="U30" s="77">
        <f t="shared" si="0"/>
        <v>80400</v>
      </c>
      <c r="V30" s="77">
        <f t="shared" si="1"/>
        <v>187600</v>
      </c>
      <c r="W30" s="66"/>
      <c r="X30" s="77">
        <v>2.1040000000000001</v>
      </c>
      <c r="Y30" s="77">
        <v>8.5960000000000001</v>
      </c>
      <c r="Z30" s="104">
        <f t="shared" si="2"/>
        <v>13.3238</v>
      </c>
      <c r="AA30" s="66"/>
      <c r="AB30" s="77">
        <v>365</v>
      </c>
      <c r="AC30" s="82">
        <f t="shared" si="3"/>
        <v>2047.77</v>
      </c>
      <c r="AD30" s="82">
        <f t="shared" si="4"/>
        <v>2179.14</v>
      </c>
      <c r="AE30" s="82">
        <f t="shared" si="5"/>
        <v>6911.18</v>
      </c>
      <c r="AF30" s="82">
        <f t="shared" si="5"/>
        <v>24995.45</v>
      </c>
      <c r="AG30" s="82"/>
      <c r="AH30" s="82"/>
      <c r="AI30" s="84">
        <f t="shared" si="6"/>
        <v>36133.54</v>
      </c>
      <c r="AJ30" s="82"/>
      <c r="AK30" s="84"/>
      <c r="AL30" s="66"/>
    </row>
    <row r="31" spans="2:38" x14ac:dyDescent="0.3">
      <c r="B31" s="101"/>
      <c r="C31" s="101" t="s">
        <v>385</v>
      </c>
      <c r="D31" s="238" t="s">
        <v>474</v>
      </c>
      <c r="E31" s="42" t="s">
        <v>469</v>
      </c>
      <c r="G31" s="66"/>
      <c r="H31" s="74">
        <v>169451</v>
      </c>
      <c r="I31" s="74">
        <v>153999</v>
      </c>
      <c r="J31" s="74">
        <v>160000</v>
      </c>
      <c r="K31" s="74">
        <v>156997</v>
      </c>
      <c r="L31" s="74">
        <v>163157</v>
      </c>
      <c r="M31" s="74">
        <v>42689</v>
      </c>
      <c r="N31" s="76" cm="1">
        <f t="array" ref="N31">SUM((H31:L31)/5)</f>
        <v>160720.79999999999</v>
      </c>
      <c r="O31" s="74">
        <v>160500</v>
      </c>
      <c r="P31" s="66"/>
      <c r="Q31" s="102">
        <v>3.49</v>
      </c>
      <c r="R31" s="102">
        <v>7.39</v>
      </c>
      <c r="S31" s="103">
        <v>0</v>
      </c>
      <c r="T31" s="103">
        <v>0</v>
      </c>
      <c r="U31" s="77">
        <f t="shared" si="0"/>
        <v>48150</v>
      </c>
      <c r="V31" s="77">
        <f t="shared" si="1"/>
        <v>112350</v>
      </c>
      <c r="W31" s="66"/>
      <c r="X31" s="77">
        <v>2.1040000000000001</v>
      </c>
      <c r="Y31" s="77">
        <v>8.5960000000000001</v>
      </c>
      <c r="Z31" s="104">
        <f t="shared" si="2"/>
        <v>13.3238</v>
      </c>
      <c r="AA31" s="66"/>
      <c r="AB31" s="77">
        <v>365</v>
      </c>
      <c r="AC31" s="82">
        <f t="shared" si="3"/>
        <v>1352.37</v>
      </c>
      <c r="AD31" s="82">
        <f t="shared" si="4"/>
        <v>1439.13</v>
      </c>
      <c r="AE31" s="82">
        <f t="shared" si="5"/>
        <v>4138.97</v>
      </c>
      <c r="AF31" s="82">
        <f t="shared" si="5"/>
        <v>14969.29</v>
      </c>
      <c r="AG31" s="82"/>
      <c r="AH31" s="82"/>
      <c r="AI31" s="84">
        <f t="shared" si="6"/>
        <v>21899.760000000002</v>
      </c>
      <c r="AJ31" s="82"/>
      <c r="AK31" s="84"/>
      <c r="AL31" s="66"/>
    </row>
    <row r="32" spans="2:38" x14ac:dyDescent="0.3">
      <c r="B32" s="101"/>
      <c r="C32" s="101" t="s">
        <v>385</v>
      </c>
      <c r="D32" s="238" t="s">
        <v>474</v>
      </c>
      <c r="E32" s="42" t="s">
        <v>469</v>
      </c>
      <c r="G32" s="66"/>
      <c r="H32" s="74">
        <v>216012</v>
      </c>
      <c r="I32" s="74">
        <v>215057</v>
      </c>
      <c r="J32" s="74">
        <v>193221</v>
      </c>
      <c r="K32" s="74">
        <v>203060</v>
      </c>
      <c r="L32" s="74">
        <v>221168</v>
      </c>
      <c r="M32" s="74">
        <v>56095</v>
      </c>
      <c r="N32" s="76" cm="1">
        <f t="array" ref="N32">SUM((H32:L32)/5)</f>
        <v>209703.6</v>
      </c>
      <c r="O32" s="74">
        <v>210000</v>
      </c>
      <c r="P32" s="66"/>
      <c r="Q32" s="102">
        <v>4.3</v>
      </c>
      <c r="R32" s="102">
        <v>9.4499999999999993</v>
      </c>
      <c r="S32" s="103">
        <v>0</v>
      </c>
      <c r="T32" s="103">
        <v>0</v>
      </c>
      <c r="U32" s="77">
        <f t="shared" si="0"/>
        <v>63000</v>
      </c>
      <c r="V32" s="77">
        <f t="shared" si="1"/>
        <v>147000</v>
      </c>
      <c r="W32" s="66"/>
      <c r="X32" s="77">
        <v>2.1040000000000001</v>
      </c>
      <c r="Y32" s="77">
        <v>8.5960000000000001</v>
      </c>
      <c r="Z32" s="104">
        <f t="shared" si="2"/>
        <v>13.3238</v>
      </c>
      <c r="AA32" s="66"/>
      <c r="AB32" s="77">
        <v>365</v>
      </c>
      <c r="AC32" s="82">
        <f t="shared" si="3"/>
        <v>1729.35</v>
      </c>
      <c r="AD32" s="82">
        <f t="shared" si="4"/>
        <v>1840.29</v>
      </c>
      <c r="AE32" s="82">
        <f t="shared" si="5"/>
        <v>5415.48</v>
      </c>
      <c r="AF32" s="82">
        <f t="shared" si="5"/>
        <v>19585.990000000002</v>
      </c>
      <c r="AG32" s="82"/>
      <c r="AH32" s="82"/>
      <c r="AI32" s="84">
        <f t="shared" si="6"/>
        <v>28571.11</v>
      </c>
      <c r="AJ32" s="82"/>
      <c r="AK32" s="84"/>
      <c r="AL32" s="66"/>
    </row>
    <row r="33" spans="2:38" x14ac:dyDescent="0.3">
      <c r="B33" s="101"/>
      <c r="C33" s="101" t="s">
        <v>385</v>
      </c>
      <c r="D33" s="238" t="s">
        <v>474</v>
      </c>
      <c r="E33" s="42" t="s">
        <v>469</v>
      </c>
      <c r="G33" s="66"/>
      <c r="H33" s="74">
        <v>242018</v>
      </c>
      <c r="I33" s="74">
        <v>283027</v>
      </c>
      <c r="J33" s="74">
        <v>199388</v>
      </c>
      <c r="K33" s="74">
        <v>229943</v>
      </c>
      <c r="L33" s="74">
        <v>253410</v>
      </c>
      <c r="M33" s="74">
        <v>62163</v>
      </c>
      <c r="N33" s="76" cm="1">
        <f t="array" ref="N33">SUM((H33:L33)/5)</f>
        <v>241557.2</v>
      </c>
      <c r="O33" s="74">
        <v>241500</v>
      </c>
      <c r="P33" s="66"/>
      <c r="Q33" s="102">
        <v>5</v>
      </c>
      <c r="R33" s="102">
        <v>10.84</v>
      </c>
      <c r="S33" s="103">
        <v>0</v>
      </c>
      <c r="T33" s="103">
        <v>0</v>
      </c>
      <c r="U33" s="77">
        <f t="shared" si="0"/>
        <v>72450</v>
      </c>
      <c r="V33" s="77">
        <f t="shared" si="1"/>
        <v>169050</v>
      </c>
      <c r="W33" s="66"/>
      <c r="X33" s="77">
        <v>2.1040000000000001</v>
      </c>
      <c r="Y33" s="77">
        <v>8.5960000000000001</v>
      </c>
      <c r="Z33" s="104">
        <f t="shared" si="2"/>
        <v>13.3238</v>
      </c>
      <c r="AA33" s="66"/>
      <c r="AB33" s="77">
        <v>365</v>
      </c>
      <c r="AC33" s="82">
        <f t="shared" si="3"/>
        <v>1983.72</v>
      </c>
      <c r="AD33" s="82">
        <f t="shared" si="4"/>
        <v>2110.98</v>
      </c>
      <c r="AE33" s="82">
        <f t="shared" si="5"/>
        <v>6227.8</v>
      </c>
      <c r="AF33" s="82">
        <f t="shared" si="5"/>
        <v>22523.88</v>
      </c>
      <c r="AG33" s="82"/>
      <c r="AH33" s="82"/>
      <c r="AI33" s="84">
        <f t="shared" si="6"/>
        <v>32846.380000000005</v>
      </c>
      <c r="AJ33" s="82"/>
      <c r="AK33" s="84"/>
      <c r="AL33" s="66"/>
    </row>
    <row r="34" spans="2:38" x14ac:dyDescent="0.3">
      <c r="B34" s="101"/>
      <c r="C34" s="101" t="s">
        <v>707</v>
      </c>
      <c r="D34" s="238" t="s">
        <v>474</v>
      </c>
      <c r="E34" s="42" t="s">
        <v>469</v>
      </c>
      <c r="G34" s="66"/>
      <c r="H34" s="74">
        <v>233698</v>
      </c>
      <c r="I34" s="74">
        <v>242698</v>
      </c>
      <c r="J34" s="74">
        <v>227553</v>
      </c>
      <c r="K34" s="74">
        <v>258679</v>
      </c>
      <c r="L34" s="74">
        <v>272893</v>
      </c>
      <c r="M34" s="74">
        <v>72737</v>
      </c>
      <c r="N34" s="76" cm="1">
        <f t="array" ref="N34">SUM((H34:L34)/5)</f>
        <v>247104.19999999998</v>
      </c>
      <c r="O34" s="74">
        <v>247000</v>
      </c>
      <c r="P34" s="66"/>
      <c r="Q34" s="102">
        <v>5.34</v>
      </c>
      <c r="R34" s="102">
        <v>12.01</v>
      </c>
      <c r="S34" s="103">
        <v>0</v>
      </c>
      <c r="T34" s="103">
        <v>0</v>
      </c>
      <c r="U34" s="77">
        <f t="shared" si="0"/>
        <v>74100</v>
      </c>
      <c r="V34" s="77">
        <f t="shared" si="1"/>
        <v>172900</v>
      </c>
      <c r="W34" s="66"/>
      <c r="X34" s="77">
        <v>2.1040000000000001</v>
      </c>
      <c r="Y34" s="77">
        <v>8.5960000000000001</v>
      </c>
      <c r="Z34" s="104">
        <f t="shared" si="2"/>
        <v>13.3238</v>
      </c>
      <c r="AA34" s="66"/>
      <c r="AB34" s="77">
        <v>365</v>
      </c>
      <c r="AC34" s="82">
        <f t="shared" si="3"/>
        <v>2197.83</v>
      </c>
      <c r="AD34" s="82">
        <f t="shared" si="4"/>
        <v>2338.83</v>
      </c>
      <c r="AE34" s="82">
        <f t="shared" si="5"/>
        <v>6369.64</v>
      </c>
      <c r="AF34" s="82">
        <f t="shared" si="5"/>
        <v>23036.85</v>
      </c>
      <c r="AG34" s="82"/>
      <c r="AH34" s="82"/>
      <c r="AI34" s="84">
        <f t="shared" si="6"/>
        <v>33943.149999999994</v>
      </c>
      <c r="AJ34" s="82"/>
      <c r="AK34" s="84"/>
      <c r="AL34" s="66"/>
    </row>
    <row r="35" spans="2:38" x14ac:dyDescent="0.3">
      <c r="B35" s="101"/>
      <c r="C35" s="101" t="s">
        <v>707</v>
      </c>
      <c r="D35" s="238" t="s">
        <v>474</v>
      </c>
      <c r="E35" s="42" t="s">
        <v>469</v>
      </c>
      <c r="G35" s="66"/>
      <c r="H35" s="74">
        <v>285627</v>
      </c>
      <c r="I35" s="74">
        <v>248371</v>
      </c>
      <c r="J35" s="74">
        <v>216999</v>
      </c>
      <c r="K35" s="74">
        <v>243184</v>
      </c>
      <c r="L35" s="74">
        <v>254281</v>
      </c>
      <c r="M35" s="74">
        <v>6777</v>
      </c>
      <c r="N35" s="76" cm="1">
        <f t="array" ref="N35">SUM((H35:L35)/5)</f>
        <v>249692.40000000002</v>
      </c>
      <c r="O35" s="74">
        <v>249700</v>
      </c>
      <c r="P35" s="66"/>
      <c r="Q35" s="102">
        <v>5.0199999999999996</v>
      </c>
      <c r="R35" s="102">
        <v>11.24</v>
      </c>
      <c r="S35" s="103">
        <v>0</v>
      </c>
      <c r="T35" s="103">
        <v>0</v>
      </c>
      <c r="U35" s="77">
        <f t="shared" si="0"/>
        <v>74910</v>
      </c>
      <c r="V35" s="77">
        <f t="shared" si="1"/>
        <v>174790</v>
      </c>
      <c r="W35" s="66"/>
      <c r="X35" s="77">
        <v>2.1040000000000001</v>
      </c>
      <c r="Y35" s="77">
        <v>8.5960000000000001</v>
      </c>
      <c r="Z35" s="104">
        <f t="shared" si="2"/>
        <v>13.3238</v>
      </c>
      <c r="AA35" s="66"/>
      <c r="AB35" s="77">
        <v>365</v>
      </c>
      <c r="AC35" s="82">
        <f t="shared" si="3"/>
        <v>2056.92</v>
      </c>
      <c r="AD35" s="82">
        <f t="shared" si="4"/>
        <v>2188.88</v>
      </c>
      <c r="AE35" s="82">
        <f t="shared" si="5"/>
        <v>6439.26</v>
      </c>
      <c r="AF35" s="82">
        <f t="shared" si="5"/>
        <v>23288.67</v>
      </c>
      <c r="AG35" s="82"/>
      <c r="AH35" s="82"/>
      <c r="AI35" s="84">
        <f t="shared" si="6"/>
        <v>33973.729999999996</v>
      </c>
      <c r="AJ35" s="82"/>
      <c r="AK35" s="84"/>
      <c r="AL35" s="66"/>
    </row>
    <row r="36" spans="2:38" x14ac:dyDescent="0.3">
      <c r="B36" s="101"/>
      <c r="C36" s="101" t="s">
        <v>707</v>
      </c>
      <c r="D36" s="238" t="s">
        <v>474</v>
      </c>
      <c r="E36" s="42" t="s">
        <v>469</v>
      </c>
      <c r="G36" s="66"/>
      <c r="H36" s="74">
        <v>240515</v>
      </c>
      <c r="I36" s="74">
        <v>239466</v>
      </c>
      <c r="J36" s="74">
        <v>229910</v>
      </c>
      <c r="K36" s="74">
        <v>265469</v>
      </c>
      <c r="L36" s="74">
        <v>281222</v>
      </c>
      <c r="M36" s="74">
        <v>63497</v>
      </c>
      <c r="N36" s="76" cm="1">
        <f t="array" ref="N36">SUM((H36:L36)/5)</f>
        <v>251316.4</v>
      </c>
      <c r="O36" s="74">
        <v>270000</v>
      </c>
      <c r="P36" s="66"/>
      <c r="Q36" s="102">
        <v>5.48</v>
      </c>
      <c r="R36" s="102">
        <v>12.35</v>
      </c>
      <c r="S36" s="103">
        <v>0</v>
      </c>
      <c r="T36" s="103">
        <v>0</v>
      </c>
      <c r="U36" s="77">
        <f t="shared" si="0"/>
        <v>81000</v>
      </c>
      <c r="V36" s="77">
        <f t="shared" si="1"/>
        <v>189000</v>
      </c>
      <c r="W36" s="66"/>
      <c r="X36" s="77">
        <v>2.1040000000000001</v>
      </c>
      <c r="Y36" s="77">
        <v>8.5960000000000001</v>
      </c>
      <c r="Z36" s="104">
        <f t="shared" si="2"/>
        <v>13.3238</v>
      </c>
      <c r="AA36" s="66"/>
      <c r="AB36" s="77">
        <v>365</v>
      </c>
      <c r="AC36" s="82">
        <f t="shared" si="3"/>
        <v>2260.0500000000002</v>
      </c>
      <c r="AD36" s="82">
        <f t="shared" si="4"/>
        <v>2405.04</v>
      </c>
      <c r="AE36" s="82">
        <f t="shared" si="5"/>
        <v>6962.76</v>
      </c>
      <c r="AF36" s="82">
        <f t="shared" si="5"/>
        <v>25181.98</v>
      </c>
      <c r="AG36" s="82"/>
      <c r="AH36" s="82"/>
      <c r="AI36" s="84">
        <f t="shared" si="6"/>
        <v>36809.83</v>
      </c>
      <c r="AJ36" s="82"/>
      <c r="AK36" s="84"/>
      <c r="AL36" s="66"/>
    </row>
    <row r="37" spans="2:38" x14ac:dyDescent="0.3">
      <c r="B37" s="101"/>
      <c r="C37" s="101" t="s">
        <v>707</v>
      </c>
      <c r="D37" s="238" t="s">
        <v>474</v>
      </c>
      <c r="E37" s="42" t="s">
        <v>469</v>
      </c>
      <c r="G37" s="66"/>
      <c r="H37" s="74">
        <v>138628</v>
      </c>
      <c r="I37" s="74">
        <v>153085</v>
      </c>
      <c r="J37" s="74">
        <v>160364</v>
      </c>
      <c r="K37" s="74">
        <v>170132</v>
      </c>
      <c r="L37" s="74">
        <v>178795</v>
      </c>
      <c r="M37" s="74">
        <v>47656</v>
      </c>
      <c r="N37" s="76" cm="1">
        <f t="array" ref="N37">SUM((H37:L37)/5)</f>
        <v>160200.79999999999</v>
      </c>
      <c r="O37" s="74">
        <v>175000</v>
      </c>
      <c r="P37" s="66"/>
      <c r="Q37" s="102">
        <v>3.76</v>
      </c>
      <c r="R37" s="102">
        <v>8.16</v>
      </c>
      <c r="S37" s="103">
        <v>0</v>
      </c>
      <c r="T37" s="103">
        <v>0</v>
      </c>
      <c r="U37" s="77">
        <f t="shared" si="0"/>
        <v>52500</v>
      </c>
      <c r="V37" s="77">
        <f t="shared" si="1"/>
        <v>122499.99999999999</v>
      </c>
      <c r="W37" s="66"/>
      <c r="X37" s="77">
        <v>2.1040000000000001</v>
      </c>
      <c r="Y37" s="77">
        <v>8.5960000000000001</v>
      </c>
      <c r="Z37" s="104">
        <f t="shared" si="2"/>
        <v>13.3238</v>
      </c>
      <c r="AA37" s="66"/>
      <c r="AB37" s="77">
        <v>365</v>
      </c>
      <c r="AC37" s="82">
        <f t="shared" si="3"/>
        <v>1493.28</v>
      </c>
      <c r="AD37" s="82">
        <f t="shared" si="4"/>
        <v>1589.08</v>
      </c>
      <c r="AE37" s="82">
        <f t="shared" si="5"/>
        <v>4512.8999999999996</v>
      </c>
      <c r="AF37" s="82">
        <f t="shared" si="5"/>
        <v>16321.66</v>
      </c>
      <c r="AG37" s="82"/>
      <c r="AH37" s="82"/>
      <c r="AI37" s="84">
        <f t="shared" si="6"/>
        <v>23916.92</v>
      </c>
      <c r="AJ37" s="82"/>
      <c r="AK37" s="84"/>
      <c r="AL37" s="66"/>
    </row>
    <row r="38" spans="2:38" x14ac:dyDescent="0.3">
      <c r="B38" s="101"/>
      <c r="C38" s="101" t="s">
        <v>714</v>
      </c>
      <c r="D38" s="238" t="s">
        <v>474</v>
      </c>
      <c r="E38" s="42" t="s">
        <v>469</v>
      </c>
      <c r="G38" s="66"/>
      <c r="H38" s="74">
        <v>91993</v>
      </c>
      <c r="I38" s="74">
        <v>80455</v>
      </c>
      <c r="J38" s="74">
        <v>110960</v>
      </c>
      <c r="K38" s="74">
        <v>102830</v>
      </c>
      <c r="L38" s="74">
        <v>106354</v>
      </c>
      <c r="M38" s="74">
        <v>28351</v>
      </c>
      <c r="N38" s="76" cm="1">
        <f t="array" ref="N38">SUM((H38:L38)/5)</f>
        <v>98518.400000000009</v>
      </c>
      <c r="O38" s="74">
        <v>103000</v>
      </c>
      <c r="P38" s="66"/>
      <c r="Q38" s="102">
        <v>2.4500000000000002</v>
      </c>
      <c r="R38" s="102">
        <v>5.1100000000000003</v>
      </c>
      <c r="S38" s="103">
        <v>0</v>
      </c>
      <c r="T38" s="103">
        <v>0</v>
      </c>
      <c r="U38" s="77">
        <f t="shared" si="0"/>
        <v>30900</v>
      </c>
      <c r="V38" s="77">
        <f t="shared" si="1"/>
        <v>72100</v>
      </c>
      <c r="W38" s="66"/>
      <c r="X38" s="77">
        <v>2.1040000000000001</v>
      </c>
      <c r="Y38" s="77">
        <v>8.5960000000000001</v>
      </c>
      <c r="Z38" s="104">
        <f t="shared" si="2"/>
        <v>13.3238</v>
      </c>
      <c r="AA38" s="66"/>
      <c r="AB38" s="77">
        <v>365</v>
      </c>
      <c r="AC38" s="82">
        <f t="shared" si="3"/>
        <v>935.13</v>
      </c>
      <c r="AD38" s="82">
        <f t="shared" si="4"/>
        <v>995.12</v>
      </c>
      <c r="AE38" s="82">
        <f t="shared" si="5"/>
        <v>2656.16</v>
      </c>
      <c r="AF38" s="82">
        <f t="shared" si="5"/>
        <v>9606.4599999999991</v>
      </c>
      <c r="AG38" s="82"/>
      <c r="AH38" s="82"/>
      <c r="AI38" s="84">
        <f t="shared" si="6"/>
        <v>14192.869999999999</v>
      </c>
      <c r="AJ38" s="82"/>
      <c r="AK38" s="84"/>
      <c r="AL38" s="66"/>
    </row>
    <row r="39" spans="2:38" x14ac:dyDescent="0.3">
      <c r="C39" s="94" t="s">
        <v>475</v>
      </c>
      <c r="D39" s="238" t="s">
        <v>408</v>
      </c>
      <c r="E39" s="42" t="s">
        <v>469</v>
      </c>
      <c r="G39" s="66"/>
      <c r="H39" s="105">
        <v>673148</v>
      </c>
      <c r="I39" s="105">
        <v>616761</v>
      </c>
      <c r="J39" s="105">
        <v>545813</v>
      </c>
      <c r="K39" s="105">
        <v>601697</v>
      </c>
      <c r="L39" s="105">
        <v>641185</v>
      </c>
      <c r="M39" s="105">
        <v>230196</v>
      </c>
      <c r="N39" s="76" cm="1">
        <f t="array" ref="N39">SUM((H39:L39)/5)</f>
        <v>615720.80000000005</v>
      </c>
      <c r="O39" s="74">
        <v>615000</v>
      </c>
      <c r="P39" s="66"/>
      <c r="Q39" s="102">
        <v>8.81</v>
      </c>
      <c r="R39" s="102">
        <v>21.05</v>
      </c>
      <c r="S39" s="103">
        <v>0</v>
      </c>
      <c r="T39" s="103">
        <v>0</v>
      </c>
      <c r="U39" s="77">
        <f t="shared" ref="U39:U69" si="7">IF(E39="Gas",O39*$R$3,O39*$R$4)</f>
        <v>184500</v>
      </c>
      <c r="V39" s="77">
        <f t="shared" ref="V39:V69" si="8">IF(E39="Gas",O39*$T$3,O39*$T$4)</f>
        <v>430500</v>
      </c>
      <c r="W39" s="66"/>
      <c r="X39" s="77">
        <v>2.105</v>
      </c>
      <c r="Y39" s="77">
        <v>8.5960000000000001</v>
      </c>
      <c r="Z39" s="104">
        <f t="shared" ref="Z39:Z69" si="9">IF(E39="Gas",(Y39+Y39*$Z$3),(Y39+Y39*$Z$4))</f>
        <v>13.3238</v>
      </c>
      <c r="AA39" s="66"/>
      <c r="AB39" s="77">
        <v>365</v>
      </c>
      <c r="AC39" s="82">
        <f t="shared" ref="AC39:AC69" si="10">ROUND(R39*183,2)</f>
        <v>3852.15</v>
      </c>
      <c r="AD39" s="82">
        <f t="shared" ref="AD39:AD69" si="11">ROUND((R39+R39*$AD$4)*(365-183),2)</f>
        <v>4099.28</v>
      </c>
      <c r="AE39" s="82">
        <f t="shared" ref="AE39:AF69" si="12">ROUND(U39*(Y39/100),2)</f>
        <v>15859.62</v>
      </c>
      <c r="AF39" s="82">
        <f t="shared" si="12"/>
        <v>57358.96</v>
      </c>
      <c r="AG39" s="82"/>
      <c r="AH39" s="82"/>
      <c r="AI39" s="84">
        <f t="shared" ref="AI39:AI69" si="13">SUM(AC39:AF39)</f>
        <v>81170.010000000009</v>
      </c>
      <c r="AJ39" s="82"/>
      <c r="AK39" s="84"/>
      <c r="AL39" s="66"/>
    </row>
    <row r="40" spans="2:38" x14ac:dyDescent="0.3">
      <c r="C40" s="94" t="s">
        <v>476</v>
      </c>
      <c r="D40" s="238" t="s">
        <v>408</v>
      </c>
      <c r="E40" s="42" t="s">
        <v>469</v>
      </c>
      <c r="G40" s="66"/>
      <c r="H40" s="105">
        <v>75319</v>
      </c>
      <c r="I40" s="105">
        <v>76111</v>
      </c>
      <c r="J40" s="105">
        <v>70765</v>
      </c>
      <c r="K40" s="105">
        <v>76058</v>
      </c>
      <c r="L40" s="105">
        <v>78723</v>
      </c>
      <c r="M40" s="105">
        <v>26128</v>
      </c>
      <c r="N40" s="76" cm="1">
        <f t="array" ref="N40">SUM((H40:L40)/5)</f>
        <v>75395.199999999997</v>
      </c>
      <c r="O40" s="74">
        <v>75900</v>
      </c>
      <c r="P40" s="66"/>
      <c r="Q40" s="102">
        <v>2.08</v>
      </c>
      <c r="R40" s="102">
        <v>4.0599999999999996</v>
      </c>
      <c r="S40" s="103">
        <v>0</v>
      </c>
      <c r="T40" s="103">
        <v>0</v>
      </c>
      <c r="U40" s="77">
        <f t="shared" si="7"/>
        <v>22770</v>
      </c>
      <c r="V40" s="77">
        <f t="shared" si="8"/>
        <v>53130</v>
      </c>
      <c r="W40" s="66"/>
      <c r="X40" s="77">
        <v>2.1040000000000001</v>
      </c>
      <c r="Y40" s="77">
        <v>8.5960000000000001</v>
      </c>
      <c r="Z40" s="104">
        <f t="shared" si="9"/>
        <v>13.3238</v>
      </c>
      <c r="AA40" s="66"/>
      <c r="AB40" s="77">
        <v>365</v>
      </c>
      <c r="AC40" s="82">
        <f t="shared" si="10"/>
        <v>742.98</v>
      </c>
      <c r="AD40" s="82">
        <f t="shared" si="11"/>
        <v>790.64</v>
      </c>
      <c r="AE40" s="82">
        <f t="shared" si="12"/>
        <v>1957.31</v>
      </c>
      <c r="AF40" s="82">
        <f t="shared" si="12"/>
        <v>7078.93</v>
      </c>
      <c r="AG40" s="82"/>
      <c r="AH40" s="82"/>
      <c r="AI40" s="84">
        <f t="shared" si="13"/>
        <v>10569.86</v>
      </c>
      <c r="AJ40" s="82"/>
      <c r="AK40" s="84"/>
      <c r="AL40" s="66"/>
    </row>
    <row r="41" spans="2:38" x14ac:dyDescent="0.3">
      <c r="C41" s="94" t="s">
        <v>477</v>
      </c>
      <c r="D41" s="238" t="s">
        <v>408</v>
      </c>
      <c r="E41" s="42" t="s">
        <v>469</v>
      </c>
      <c r="G41" s="66"/>
      <c r="H41" s="105">
        <v>558868</v>
      </c>
      <c r="I41" s="105">
        <v>619412</v>
      </c>
      <c r="J41" s="105">
        <v>420434</v>
      </c>
      <c r="K41" s="105">
        <v>546813</v>
      </c>
      <c r="L41" s="105">
        <v>347953</v>
      </c>
      <c r="M41" s="105">
        <v>110432</v>
      </c>
      <c r="N41" s="76" cm="1">
        <f t="array" ref="N41">SUM((H41:L41)/5)</f>
        <v>498696</v>
      </c>
      <c r="O41" s="74">
        <v>498000</v>
      </c>
      <c r="P41" s="66"/>
      <c r="Q41" s="102">
        <v>10.17</v>
      </c>
      <c r="R41" s="102">
        <v>19.47</v>
      </c>
      <c r="S41" s="103">
        <v>0</v>
      </c>
      <c r="T41" s="103">
        <v>0</v>
      </c>
      <c r="U41" s="77">
        <f t="shared" si="7"/>
        <v>149400</v>
      </c>
      <c r="V41" s="77">
        <f t="shared" si="8"/>
        <v>348600</v>
      </c>
      <c r="W41" s="66"/>
      <c r="X41" s="77">
        <v>2.1040000000000001</v>
      </c>
      <c r="Y41" s="77">
        <v>8.5960000000000001</v>
      </c>
      <c r="Z41" s="104">
        <f t="shared" si="9"/>
        <v>13.3238</v>
      </c>
      <c r="AA41" s="66"/>
      <c r="AB41" s="77">
        <v>365</v>
      </c>
      <c r="AC41" s="82">
        <f t="shared" si="10"/>
        <v>3563.01</v>
      </c>
      <c r="AD41" s="82">
        <f t="shared" si="11"/>
        <v>3791.59</v>
      </c>
      <c r="AE41" s="82">
        <f t="shared" si="12"/>
        <v>12842.42</v>
      </c>
      <c r="AF41" s="82">
        <f t="shared" si="12"/>
        <v>46446.77</v>
      </c>
      <c r="AG41" s="82"/>
      <c r="AH41" s="82"/>
      <c r="AI41" s="84">
        <f t="shared" si="13"/>
        <v>66643.789999999994</v>
      </c>
      <c r="AJ41" s="82"/>
      <c r="AK41" s="84"/>
      <c r="AL41" s="66"/>
    </row>
    <row r="42" spans="2:38" x14ac:dyDescent="0.3">
      <c r="C42" s="94" t="s">
        <v>478</v>
      </c>
      <c r="D42" s="238" t="s">
        <v>408</v>
      </c>
      <c r="E42" s="42" t="s">
        <v>469</v>
      </c>
      <c r="G42" s="66"/>
      <c r="H42" s="105">
        <v>612184</v>
      </c>
      <c r="I42" s="105">
        <v>510083</v>
      </c>
      <c r="J42" s="105">
        <v>449019</v>
      </c>
      <c r="K42" s="105">
        <v>498070</v>
      </c>
      <c r="L42" s="105">
        <v>486381</v>
      </c>
      <c r="M42" s="105">
        <v>238153</v>
      </c>
      <c r="N42" s="76" cm="1">
        <f t="array" ref="N42">SUM((H42:L42)/5)</f>
        <v>511147.4</v>
      </c>
      <c r="O42" s="74">
        <v>505000</v>
      </c>
      <c r="P42" s="66"/>
      <c r="Q42" s="102">
        <v>10.54</v>
      </c>
      <c r="R42" s="102">
        <v>14.97</v>
      </c>
      <c r="S42" s="103">
        <v>0</v>
      </c>
      <c r="T42" s="103">
        <v>0</v>
      </c>
      <c r="U42" s="77">
        <f t="shared" si="7"/>
        <v>151500</v>
      </c>
      <c r="V42" s="77">
        <f t="shared" si="8"/>
        <v>353500</v>
      </c>
      <c r="W42" s="66"/>
      <c r="X42" s="77">
        <v>2.1040000000000001</v>
      </c>
      <c r="Y42" s="77">
        <v>8.5960000000000001</v>
      </c>
      <c r="Z42" s="104">
        <f t="shared" si="9"/>
        <v>13.3238</v>
      </c>
      <c r="AA42" s="66"/>
      <c r="AB42" s="77">
        <v>365</v>
      </c>
      <c r="AC42" s="82">
        <f t="shared" si="10"/>
        <v>2739.51</v>
      </c>
      <c r="AD42" s="82">
        <f t="shared" si="11"/>
        <v>2915.26</v>
      </c>
      <c r="AE42" s="82">
        <f t="shared" si="12"/>
        <v>13022.94</v>
      </c>
      <c r="AF42" s="82">
        <f t="shared" si="12"/>
        <v>47099.63</v>
      </c>
      <c r="AG42" s="82"/>
      <c r="AH42" s="82"/>
      <c r="AI42" s="84">
        <f t="shared" si="13"/>
        <v>65777.34</v>
      </c>
      <c r="AJ42" s="82"/>
      <c r="AK42" s="84"/>
      <c r="AL42" s="66"/>
    </row>
    <row r="43" spans="2:38" x14ac:dyDescent="0.3">
      <c r="C43" s="94" t="s">
        <v>479</v>
      </c>
      <c r="D43" s="238" t="s">
        <v>408</v>
      </c>
      <c r="E43" s="42" t="s">
        <v>469</v>
      </c>
      <c r="G43" s="66"/>
      <c r="H43" s="105">
        <v>3106</v>
      </c>
      <c r="I43" s="105">
        <v>3011</v>
      </c>
      <c r="J43" s="105">
        <v>2945</v>
      </c>
      <c r="K43" s="105">
        <v>3034</v>
      </c>
      <c r="L43" s="105">
        <v>2782</v>
      </c>
      <c r="M43" s="105">
        <v>957</v>
      </c>
      <c r="N43" s="76" cm="1">
        <f t="array" ref="N43">SUM((H43:L43)/5)</f>
        <v>2975.6</v>
      </c>
      <c r="O43" s="74">
        <v>2950</v>
      </c>
      <c r="P43" s="66"/>
      <c r="Q43" s="102">
        <v>0.46</v>
      </c>
      <c r="R43" s="102">
        <v>0.55000000000000004</v>
      </c>
      <c r="S43" s="103">
        <v>0</v>
      </c>
      <c r="T43" s="103">
        <v>0</v>
      </c>
      <c r="U43" s="77">
        <f t="shared" si="7"/>
        <v>885</v>
      </c>
      <c r="V43" s="77">
        <f t="shared" si="8"/>
        <v>2065</v>
      </c>
      <c r="W43" s="66"/>
      <c r="X43" s="77">
        <v>2.1070000000000002</v>
      </c>
      <c r="Y43" s="77">
        <v>8.5990000000000002</v>
      </c>
      <c r="Z43" s="104">
        <f t="shared" si="9"/>
        <v>13.32845</v>
      </c>
      <c r="AA43" s="66"/>
      <c r="AB43" s="77">
        <v>365</v>
      </c>
      <c r="AC43" s="82">
        <f t="shared" si="10"/>
        <v>100.65</v>
      </c>
      <c r="AD43" s="82">
        <f t="shared" si="11"/>
        <v>107.11</v>
      </c>
      <c r="AE43" s="82">
        <f t="shared" si="12"/>
        <v>76.099999999999994</v>
      </c>
      <c r="AF43" s="82">
        <f t="shared" si="12"/>
        <v>275.23</v>
      </c>
      <c r="AG43" s="82"/>
      <c r="AH43" s="82"/>
      <c r="AI43" s="84">
        <f t="shared" si="13"/>
        <v>559.09</v>
      </c>
      <c r="AJ43" s="82"/>
      <c r="AK43" s="84"/>
      <c r="AL43" s="66"/>
    </row>
    <row r="44" spans="2:38" x14ac:dyDescent="0.3">
      <c r="C44" s="94" t="s">
        <v>479</v>
      </c>
      <c r="D44" s="238" t="s">
        <v>408</v>
      </c>
      <c r="E44" s="42" t="s">
        <v>469</v>
      </c>
      <c r="G44" s="66"/>
      <c r="H44" s="105">
        <v>9613</v>
      </c>
      <c r="I44" s="105">
        <v>11170</v>
      </c>
      <c r="J44" s="105">
        <v>15988</v>
      </c>
      <c r="K44" s="105">
        <v>15421</v>
      </c>
      <c r="L44" s="105">
        <v>13691</v>
      </c>
      <c r="M44" s="105">
        <v>2373</v>
      </c>
      <c r="N44" s="76" cm="1">
        <f t="array" ref="N44">SUM((H44:L44)/5)</f>
        <v>13176.600000000002</v>
      </c>
      <c r="O44" s="74">
        <v>14000</v>
      </c>
      <c r="P44" s="66"/>
      <c r="Q44" s="102">
        <v>0.84</v>
      </c>
      <c r="R44" s="102">
        <v>1.1200000000000001</v>
      </c>
      <c r="S44" s="103">
        <v>0</v>
      </c>
      <c r="T44" s="103">
        <v>0</v>
      </c>
      <c r="U44" s="77">
        <f t="shared" si="7"/>
        <v>4200</v>
      </c>
      <c r="V44" s="77">
        <f t="shared" si="8"/>
        <v>9800</v>
      </c>
      <c r="W44" s="66"/>
      <c r="X44" s="77">
        <v>2.1070000000000002</v>
      </c>
      <c r="Y44" s="77">
        <v>8.5990000000000002</v>
      </c>
      <c r="Z44" s="104">
        <f t="shared" si="9"/>
        <v>13.32845</v>
      </c>
      <c r="AA44" s="66"/>
      <c r="AB44" s="77">
        <v>365</v>
      </c>
      <c r="AC44" s="82">
        <f t="shared" si="10"/>
        <v>204.96</v>
      </c>
      <c r="AD44" s="82">
        <f t="shared" si="11"/>
        <v>218.11</v>
      </c>
      <c r="AE44" s="82">
        <f t="shared" si="12"/>
        <v>361.16</v>
      </c>
      <c r="AF44" s="82">
        <f t="shared" si="12"/>
        <v>1306.19</v>
      </c>
      <c r="AG44" s="82"/>
      <c r="AH44" s="82"/>
      <c r="AI44" s="84">
        <f t="shared" si="13"/>
        <v>2090.42</v>
      </c>
      <c r="AJ44" s="82"/>
      <c r="AK44" s="84"/>
      <c r="AL44" s="66"/>
    </row>
    <row r="45" spans="2:38" x14ac:dyDescent="0.3">
      <c r="C45" s="94" t="s">
        <v>421</v>
      </c>
      <c r="D45" s="238" t="s">
        <v>408</v>
      </c>
      <c r="E45" s="42" t="s">
        <v>469</v>
      </c>
      <c r="G45" s="66"/>
      <c r="H45" s="105">
        <v>399194</v>
      </c>
      <c r="I45" s="105">
        <v>343946</v>
      </c>
      <c r="J45" s="105">
        <v>281382</v>
      </c>
      <c r="K45" s="105">
        <v>309511</v>
      </c>
      <c r="L45" s="105">
        <v>355044</v>
      </c>
      <c r="M45" s="105">
        <v>119752</v>
      </c>
      <c r="N45" s="76" cm="1">
        <f t="array" ref="N45">SUM((H45:L45)/5)</f>
        <v>337815.39999999997</v>
      </c>
      <c r="O45" s="74">
        <v>337800</v>
      </c>
      <c r="P45" s="66"/>
      <c r="Q45" s="102">
        <v>5.54</v>
      </c>
      <c r="R45" s="102">
        <v>52.44</v>
      </c>
      <c r="S45" s="103">
        <v>0</v>
      </c>
      <c r="T45" s="103">
        <v>0</v>
      </c>
      <c r="U45" s="77">
        <f t="shared" si="7"/>
        <v>101340</v>
      </c>
      <c r="V45" s="77">
        <f t="shared" si="8"/>
        <v>236459.99999999997</v>
      </c>
      <c r="W45" s="66"/>
      <c r="X45" s="77">
        <v>2.101</v>
      </c>
      <c r="Y45" s="77">
        <v>8.5920000000000005</v>
      </c>
      <c r="Z45" s="104">
        <f t="shared" si="9"/>
        <v>13.317600000000002</v>
      </c>
      <c r="AA45" s="66"/>
      <c r="AB45" s="77">
        <v>365</v>
      </c>
      <c r="AC45" s="82">
        <f t="shared" si="10"/>
        <v>9596.52</v>
      </c>
      <c r="AD45" s="82">
        <f t="shared" si="11"/>
        <v>10212.17</v>
      </c>
      <c r="AE45" s="82">
        <f t="shared" si="12"/>
        <v>8707.1299999999992</v>
      </c>
      <c r="AF45" s="82">
        <f t="shared" si="12"/>
        <v>31490.799999999999</v>
      </c>
      <c r="AG45" s="82"/>
      <c r="AH45" s="82"/>
      <c r="AI45" s="84">
        <f t="shared" si="13"/>
        <v>60006.619999999995</v>
      </c>
      <c r="AJ45" s="82"/>
      <c r="AK45" s="84"/>
      <c r="AL45" s="66"/>
    </row>
    <row r="46" spans="2:38" x14ac:dyDescent="0.3">
      <c r="C46" s="94" t="s">
        <v>422</v>
      </c>
      <c r="D46" s="238" t="s">
        <v>408</v>
      </c>
      <c r="E46" s="42" t="s">
        <v>469</v>
      </c>
      <c r="G46" s="66"/>
      <c r="H46" s="105">
        <v>408065</v>
      </c>
      <c r="I46" s="105">
        <v>397016</v>
      </c>
      <c r="J46" s="105">
        <v>393632</v>
      </c>
      <c r="K46" s="105">
        <v>433918</v>
      </c>
      <c r="L46" s="105">
        <v>364480</v>
      </c>
      <c r="M46" s="105">
        <v>133205</v>
      </c>
      <c r="N46" s="76" cm="1">
        <f t="array" ref="N46">SUM((H46:L46)/5)</f>
        <v>399422.2</v>
      </c>
      <c r="O46" s="74">
        <v>399000</v>
      </c>
      <c r="P46" s="66"/>
      <c r="Q46" s="102">
        <v>7.97</v>
      </c>
      <c r="R46" s="102">
        <v>17.2</v>
      </c>
      <c r="S46" s="103">
        <v>0</v>
      </c>
      <c r="T46" s="103">
        <v>0</v>
      </c>
      <c r="U46" s="77">
        <f t="shared" si="7"/>
        <v>119700</v>
      </c>
      <c r="V46" s="77">
        <f t="shared" si="8"/>
        <v>279300</v>
      </c>
      <c r="W46" s="66"/>
      <c r="X46" s="77">
        <v>2.1040000000000001</v>
      </c>
      <c r="Y46" s="77">
        <v>8.5960000000000001</v>
      </c>
      <c r="Z46" s="104">
        <f t="shared" si="9"/>
        <v>13.3238</v>
      </c>
      <c r="AA46" s="66"/>
      <c r="AB46" s="77">
        <v>365</v>
      </c>
      <c r="AC46" s="82">
        <f t="shared" si="10"/>
        <v>3147.6</v>
      </c>
      <c r="AD46" s="82">
        <f t="shared" si="11"/>
        <v>3349.53</v>
      </c>
      <c r="AE46" s="82">
        <f t="shared" si="12"/>
        <v>10289.41</v>
      </c>
      <c r="AF46" s="82">
        <f t="shared" si="12"/>
        <v>37213.370000000003</v>
      </c>
      <c r="AG46" s="82"/>
      <c r="AH46" s="82"/>
      <c r="AI46" s="84">
        <f t="shared" si="13"/>
        <v>53999.91</v>
      </c>
      <c r="AJ46" s="82"/>
      <c r="AK46" s="84"/>
      <c r="AL46" s="66"/>
    </row>
    <row r="47" spans="2:38" x14ac:dyDescent="0.3">
      <c r="C47" s="94" t="s">
        <v>423</v>
      </c>
      <c r="D47" s="238" t="s">
        <v>408</v>
      </c>
      <c r="E47" s="42" t="s">
        <v>469</v>
      </c>
      <c r="G47" s="66"/>
      <c r="H47" s="105">
        <v>565493</v>
      </c>
      <c r="I47" s="105">
        <v>504806</v>
      </c>
      <c r="J47" s="105">
        <v>552812</v>
      </c>
      <c r="K47" s="105">
        <v>677096</v>
      </c>
      <c r="L47" s="105">
        <v>393173</v>
      </c>
      <c r="M47" s="105">
        <v>238282</v>
      </c>
      <c r="N47" s="76" cm="1">
        <f t="array" ref="N47">SUM((H47:L47)/5)</f>
        <v>538676</v>
      </c>
      <c r="O47" s="74">
        <v>540000</v>
      </c>
      <c r="P47" s="66"/>
      <c r="Q47" s="102">
        <v>11.33</v>
      </c>
      <c r="R47" s="102">
        <v>23.15</v>
      </c>
      <c r="S47" s="103">
        <v>0</v>
      </c>
      <c r="T47" s="103">
        <v>0</v>
      </c>
      <c r="U47" s="77">
        <f t="shared" si="7"/>
        <v>162000</v>
      </c>
      <c r="V47" s="77">
        <f t="shared" si="8"/>
        <v>378000</v>
      </c>
      <c r="W47" s="66"/>
      <c r="X47" s="77">
        <v>2.1040000000000001</v>
      </c>
      <c r="Y47" s="77">
        <v>8.5960000000000001</v>
      </c>
      <c r="Z47" s="104">
        <f t="shared" si="9"/>
        <v>13.3238</v>
      </c>
      <c r="AA47" s="66"/>
      <c r="AB47" s="77">
        <v>365</v>
      </c>
      <c r="AC47" s="82">
        <f t="shared" si="10"/>
        <v>4236.45</v>
      </c>
      <c r="AD47" s="82">
        <f t="shared" si="11"/>
        <v>4508.2299999999996</v>
      </c>
      <c r="AE47" s="82">
        <f t="shared" si="12"/>
        <v>13925.52</v>
      </c>
      <c r="AF47" s="82">
        <f t="shared" si="12"/>
        <v>50363.96</v>
      </c>
      <c r="AG47" s="82"/>
      <c r="AH47" s="82"/>
      <c r="AI47" s="84">
        <f t="shared" si="13"/>
        <v>73034.16</v>
      </c>
      <c r="AJ47" s="82"/>
      <c r="AK47" s="84"/>
      <c r="AL47" s="66"/>
    </row>
    <row r="48" spans="2:38" x14ac:dyDescent="0.3">
      <c r="C48" s="94" t="s">
        <v>425</v>
      </c>
      <c r="D48" s="238" t="s">
        <v>408</v>
      </c>
      <c r="E48" s="42" t="s">
        <v>469</v>
      </c>
      <c r="G48" s="66"/>
      <c r="H48" s="105">
        <v>3885</v>
      </c>
      <c r="I48" s="105">
        <v>1601</v>
      </c>
      <c r="J48" s="105">
        <v>3153</v>
      </c>
      <c r="K48" s="105">
        <v>3567</v>
      </c>
      <c r="L48" s="105">
        <v>3256</v>
      </c>
      <c r="M48" s="105">
        <v>394</v>
      </c>
      <c r="N48" s="76" cm="1">
        <f t="array" ref="N48">SUM((H48:L48)/5)</f>
        <v>3092.4000000000005</v>
      </c>
      <c r="O48" s="74">
        <v>3350</v>
      </c>
      <c r="P48" s="66"/>
      <c r="Q48" s="102">
        <v>0.45</v>
      </c>
      <c r="R48" s="102">
        <v>0.57999999999999996</v>
      </c>
      <c r="S48" s="103">
        <v>0</v>
      </c>
      <c r="T48" s="103">
        <v>0</v>
      </c>
      <c r="U48" s="77">
        <f t="shared" si="7"/>
        <v>1005</v>
      </c>
      <c r="V48" s="77">
        <f t="shared" si="8"/>
        <v>2345</v>
      </c>
      <c r="W48" s="66"/>
      <c r="X48" s="77">
        <v>2.1070000000000002</v>
      </c>
      <c r="Y48" s="77">
        <v>8.5990000000000002</v>
      </c>
      <c r="Z48" s="104">
        <f t="shared" si="9"/>
        <v>13.32845</v>
      </c>
      <c r="AA48" s="66"/>
      <c r="AB48" s="77">
        <v>365</v>
      </c>
      <c r="AC48" s="82">
        <f t="shared" si="10"/>
        <v>106.14</v>
      </c>
      <c r="AD48" s="82">
        <f t="shared" si="11"/>
        <v>112.95</v>
      </c>
      <c r="AE48" s="82">
        <f t="shared" si="12"/>
        <v>86.42</v>
      </c>
      <c r="AF48" s="82">
        <f t="shared" si="12"/>
        <v>312.55</v>
      </c>
      <c r="AG48" s="82"/>
      <c r="AH48" s="82"/>
      <c r="AI48" s="84">
        <f t="shared" si="13"/>
        <v>618.05999999999995</v>
      </c>
      <c r="AJ48" s="82"/>
      <c r="AK48" s="84"/>
      <c r="AL48" s="66"/>
    </row>
    <row r="49" spans="3:38" x14ac:dyDescent="0.3">
      <c r="C49" s="94" t="s">
        <v>480</v>
      </c>
      <c r="D49" s="238" t="s">
        <v>408</v>
      </c>
      <c r="E49" s="42" t="s">
        <v>469</v>
      </c>
      <c r="G49" s="66"/>
      <c r="H49" s="105">
        <v>32161</v>
      </c>
      <c r="I49" s="105">
        <v>26699</v>
      </c>
      <c r="J49" s="105">
        <v>27460</v>
      </c>
      <c r="K49" s="105">
        <v>27713</v>
      </c>
      <c r="L49" s="105">
        <v>28910</v>
      </c>
      <c r="M49" s="105">
        <v>6780</v>
      </c>
      <c r="N49" s="76" cm="1">
        <f t="array" ref="N49">SUM((H49:L49)/5)</f>
        <v>28588.6</v>
      </c>
      <c r="O49" s="74">
        <v>28500</v>
      </c>
      <c r="P49" s="66"/>
      <c r="Q49" s="102">
        <v>1.1399999999999999</v>
      </c>
      <c r="R49" s="102">
        <v>2.02</v>
      </c>
      <c r="S49" s="103">
        <v>0</v>
      </c>
      <c r="T49" s="103">
        <v>0</v>
      </c>
      <c r="U49" s="77">
        <f t="shared" si="7"/>
        <v>8550</v>
      </c>
      <c r="V49" s="77">
        <f t="shared" si="8"/>
        <v>19950</v>
      </c>
      <c r="W49" s="66"/>
      <c r="X49" s="77">
        <v>2.1070000000000002</v>
      </c>
      <c r="Y49" s="77">
        <v>8.5990000000000002</v>
      </c>
      <c r="Z49" s="104">
        <f t="shared" si="9"/>
        <v>13.32845</v>
      </c>
      <c r="AA49" s="66"/>
      <c r="AB49" s="77">
        <v>365</v>
      </c>
      <c r="AC49" s="82">
        <f t="shared" si="10"/>
        <v>369.66</v>
      </c>
      <c r="AD49" s="82">
        <f t="shared" si="11"/>
        <v>393.37</v>
      </c>
      <c r="AE49" s="82">
        <f t="shared" si="12"/>
        <v>735.21</v>
      </c>
      <c r="AF49" s="82">
        <f t="shared" si="12"/>
        <v>2659.03</v>
      </c>
      <c r="AG49" s="82"/>
      <c r="AH49" s="82"/>
      <c r="AI49" s="84">
        <f t="shared" si="13"/>
        <v>4157.2700000000004</v>
      </c>
      <c r="AJ49" s="82"/>
      <c r="AK49" s="84"/>
      <c r="AL49" s="66"/>
    </row>
    <row r="50" spans="3:38" x14ac:dyDescent="0.3">
      <c r="C50" s="94" t="s">
        <v>427</v>
      </c>
      <c r="D50" s="238" t="s">
        <v>408</v>
      </c>
      <c r="E50" s="42" t="s">
        <v>469</v>
      </c>
      <c r="G50" s="66"/>
      <c r="H50" s="105">
        <v>350912</v>
      </c>
      <c r="I50" s="105">
        <v>336291</v>
      </c>
      <c r="J50" s="105">
        <v>316120</v>
      </c>
      <c r="K50" s="105">
        <v>237415</v>
      </c>
      <c r="L50" s="105">
        <v>550441</v>
      </c>
      <c r="M50" s="105">
        <v>149961</v>
      </c>
      <c r="N50" s="76" cm="1">
        <f t="array" ref="N50">SUM((H50:L50)/5)</f>
        <v>358235.8</v>
      </c>
      <c r="O50" s="74">
        <v>358000</v>
      </c>
      <c r="P50" s="66"/>
      <c r="Q50" s="102">
        <v>8.01</v>
      </c>
      <c r="R50" s="102">
        <v>22.34</v>
      </c>
      <c r="S50" s="103">
        <v>0</v>
      </c>
      <c r="T50" s="103">
        <v>0</v>
      </c>
      <c r="U50" s="77">
        <f t="shared" si="7"/>
        <v>107400</v>
      </c>
      <c r="V50" s="77">
        <f t="shared" si="8"/>
        <v>250599.99999999997</v>
      </c>
      <c r="W50" s="66"/>
      <c r="X50" s="77">
        <v>2.1040000000000001</v>
      </c>
      <c r="Y50" s="77">
        <v>8.5960000000000001</v>
      </c>
      <c r="Z50" s="104">
        <f t="shared" si="9"/>
        <v>13.3238</v>
      </c>
      <c r="AA50" s="66"/>
      <c r="AB50" s="77">
        <v>365</v>
      </c>
      <c r="AC50" s="82">
        <f t="shared" si="10"/>
        <v>4088.22</v>
      </c>
      <c r="AD50" s="82">
        <f t="shared" si="11"/>
        <v>4350.49</v>
      </c>
      <c r="AE50" s="82">
        <f t="shared" si="12"/>
        <v>9232.1</v>
      </c>
      <c r="AF50" s="82">
        <f t="shared" si="12"/>
        <v>33389.440000000002</v>
      </c>
      <c r="AG50" s="82"/>
      <c r="AH50" s="82"/>
      <c r="AI50" s="84">
        <f t="shared" si="13"/>
        <v>51060.25</v>
      </c>
      <c r="AJ50" s="82"/>
      <c r="AK50" s="84"/>
      <c r="AL50" s="66"/>
    </row>
    <row r="51" spans="3:38" x14ac:dyDescent="0.3">
      <c r="C51" s="94" t="s">
        <v>429</v>
      </c>
      <c r="D51" s="238" t="s">
        <v>408</v>
      </c>
      <c r="E51" s="42" t="s">
        <v>469</v>
      </c>
      <c r="G51" s="66"/>
      <c r="H51" s="105">
        <v>844123</v>
      </c>
      <c r="I51" s="105">
        <v>819881</v>
      </c>
      <c r="J51" s="105">
        <v>818319</v>
      </c>
      <c r="K51" s="105">
        <v>832149</v>
      </c>
      <c r="L51" s="105">
        <v>811296</v>
      </c>
      <c r="M51" s="105">
        <v>161088</v>
      </c>
      <c r="N51" s="76" cm="1">
        <f t="array" ref="N51">SUM((H51:L51)/5)</f>
        <v>825153.60000000009</v>
      </c>
      <c r="O51" s="74">
        <v>825000</v>
      </c>
      <c r="P51" s="66"/>
      <c r="Q51" s="102">
        <v>14</v>
      </c>
      <c r="R51" s="102">
        <v>26.37</v>
      </c>
      <c r="S51" s="103">
        <v>0</v>
      </c>
      <c r="T51" s="103">
        <v>0</v>
      </c>
      <c r="U51" s="77">
        <f t="shared" si="7"/>
        <v>247500</v>
      </c>
      <c r="V51" s="77">
        <f t="shared" si="8"/>
        <v>577500</v>
      </c>
      <c r="W51" s="66"/>
      <c r="X51" s="77">
        <v>2.105</v>
      </c>
      <c r="Y51" s="77">
        <v>8.5960000000000001</v>
      </c>
      <c r="Z51" s="104">
        <f t="shared" si="9"/>
        <v>13.3238</v>
      </c>
      <c r="AA51" s="66"/>
      <c r="AB51" s="77">
        <v>365</v>
      </c>
      <c r="AC51" s="82">
        <f t="shared" si="10"/>
        <v>4825.71</v>
      </c>
      <c r="AD51" s="82">
        <f t="shared" si="11"/>
        <v>5135.29</v>
      </c>
      <c r="AE51" s="82">
        <f t="shared" si="12"/>
        <v>21275.1</v>
      </c>
      <c r="AF51" s="82">
        <f t="shared" si="12"/>
        <v>76944.95</v>
      </c>
      <c r="AG51" s="82"/>
      <c r="AH51" s="82"/>
      <c r="AI51" s="84">
        <f t="shared" si="13"/>
        <v>108181.04999999999</v>
      </c>
      <c r="AJ51" s="82"/>
      <c r="AK51" s="84"/>
      <c r="AL51" s="66"/>
    </row>
    <row r="52" spans="3:38" x14ac:dyDescent="0.3">
      <c r="C52" s="94" t="s">
        <v>431</v>
      </c>
      <c r="D52" s="238" t="s">
        <v>408</v>
      </c>
      <c r="E52" s="42" t="s">
        <v>469</v>
      </c>
      <c r="G52" s="66"/>
      <c r="H52" s="105">
        <v>444986</v>
      </c>
      <c r="I52" s="105">
        <v>220463</v>
      </c>
      <c r="J52" s="105">
        <v>600193</v>
      </c>
      <c r="K52" s="105">
        <v>562758</v>
      </c>
      <c r="L52" s="105">
        <v>265837</v>
      </c>
      <c r="M52" s="105">
        <v>72851</v>
      </c>
      <c r="N52" s="76" cm="1">
        <f t="array" ref="N52">SUM((H52:L52)/5)</f>
        <v>418847.4</v>
      </c>
      <c r="O52" s="74">
        <v>418000</v>
      </c>
      <c r="P52" s="66"/>
      <c r="Q52" s="102">
        <v>12.05</v>
      </c>
      <c r="R52" s="102">
        <v>22.86</v>
      </c>
      <c r="S52" s="103">
        <v>0</v>
      </c>
      <c r="T52" s="103">
        <v>0</v>
      </c>
      <c r="U52" s="77">
        <f t="shared" si="7"/>
        <v>125400</v>
      </c>
      <c r="V52" s="77">
        <f t="shared" si="8"/>
        <v>292600</v>
      </c>
      <c r="W52" s="66"/>
      <c r="X52" s="77">
        <v>2.1040000000000001</v>
      </c>
      <c r="Y52" s="77">
        <v>8.5960000000000001</v>
      </c>
      <c r="Z52" s="104">
        <f t="shared" si="9"/>
        <v>13.3238</v>
      </c>
      <c r="AA52" s="66"/>
      <c r="AB52" s="77">
        <v>365</v>
      </c>
      <c r="AC52" s="82">
        <f t="shared" si="10"/>
        <v>4183.38</v>
      </c>
      <c r="AD52" s="82">
        <f t="shared" si="11"/>
        <v>4451.76</v>
      </c>
      <c r="AE52" s="82">
        <f t="shared" si="12"/>
        <v>10779.38</v>
      </c>
      <c r="AF52" s="82">
        <f t="shared" si="12"/>
        <v>38985.440000000002</v>
      </c>
      <c r="AG52" s="82"/>
      <c r="AH52" s="82"/>
      <c r="AI52" s="84">
        <f t="shared" si="13"/>
        <v>58399.96</v>
      </c>
      <c r="AJ52" s="82"/>
      <c r="AK52" s="84"/>
      <c r="AL52" s="66"/>
    </row>
    <row r="53" spans="3:38" x14ac:dyDescent="0.3">
      <c r="C53" s="94" t="s">
        <v>433</v>
      </c>
      <c r="D53" s="238" t="s">
        <v>408</v>
      </c>
      <c r="E53" s="42" t="s">
        <v>469</v>
      </c>
      <c r="G53" s="66"/>
      <c r="H53" s="105">
        <v>279131</v>
      </c>
      <c r="I53" s="105">
        <v>525918</v>
      </c>
      <c r="J53" s="105">
        <v>430037</v>
      </c>
      <c r="K53" s="105">
        <v>417926</v>
      </c>
      <c r="L53" s="105">
        <v>426269</v>
      </c>
      <c r="M53" s="105">
        <v>129353</v>
      </c>
      <c r="N53" s="76" cm="1">
        <f t="array" ref="N53">SUM((H53:L53)/5)</f>
        <v>415856.19999999995</v>
      </c>
      <c r="O53" s="74">
        <v>422000</v>
      </c>
      <c r="P53" s="66"/>
      <c r="Q53" s="102">
        <v>9.19</v>
      </c>
      <c r="R53" s="102">
        <v>19.32</v>
      </c>
      <c r="S53" s="103">
        <v>0</v>
      </c>
      <c r="T53" s="103">
        <v>0</v>
      </c>
      <c r="U53" s="77">
        <f t="shared" si="7"/>
        <v>126600</v>
      </c>
      <c r="V53" s="77">
        <f t="shared" si="8"/>
        <v>295400</v>
      </c>
      <c r="W53" s="66"/>
      <c r="X53" s="77">
        <v>2.1040000000000001</v>
      </c>
      <c r="Y53" s="77">
        <v>8.5960000000000001</v>
      </c>
      <c r="Z53" s="104">
        <f t="shared" si="9"/>
        <v>13.3238</v>
      </c>
      <c r="AA53" s="66"/>
      <c r="AB53" s="77">
        <v>365</v>
      </c>
      <c r="AC53" s="82">
        <f t="shared" si="10"/>
        <v>3535.56</v>
      </c>
      <c r="AD53" s="82">
        <f t="shared" si="11"/>
        <v>3762.38</v>
      </c>
      <c r="AE53" s="82">
        <f t="shared" si="12"/>
        <v>10882.54</v>
      </c>
      <c r="AF53" s="82">
        <f t="shared" si="12"/>
        <v>39358.51</v>
      </c>
      <c r="AG53" s="82"/>
      <c r="AH53" s="82"/>
      <c r="AI53" s="84">
        <f t="shared" si="13"/>
        <v>57538.990000000005</v>
      </c>
      <c r="AJ53" s="82"/>
      <c r="AK53" s="84"/>
      <c r="AL53" s="66"/>
    </row>
    <row r="54" spans="3:38" x14ac:dyDescent="0.3">
      <c r="C54" s="94" t="s">
        <v>435</v>
      </c>
      <c r="D54" s="238" t="s">
        <v>408</v>
      </c>
      <c r="E54" s="42" t="s">
        <v>469</v>
      </c>
      <c r="G54" s="66"/>
      <c r="H54" s="105">
        <v>629458</v>
      </c>
      <c r="I54" s="105">
        <v>380282</v>
      </c>
      <c r="J54" s="105">
        <v>475196</v>
      </c>
      <c r="K54" s="105">
        <v>505746</v>
      </c>
      <c r="L54" s="105">
        <v>464466</v>
      </c>
      <c r="M54" s="105">
        <v>144405</v>
      </c>
      <c r="N54" s="76" cm="1">
        <f t="array" ref="N54">SUM((H54:L54)/5)</f>
        <v>491029.60000000003</v>
      </c>
      <c r="O54" s="74">
        <v>492000</v>
      </c>
      <c r="P54" s="66"/>
      <c r="Q54" s="102">
        <v>9.89</v>
      </c>
      <c r="R54" s="102">
        <v>21.97</v>
      </c>
      <c r="S54" s="103">
        <v>0</v>
      </c>
      <c r="T54" s="103">
        <v>0</v>
      </c>
      <c r="U54" s="77">
        <f t="shared" si="7"/>
        <v>147600</v>
      </c>
      <c r="V54" s="77">
        <f t="shared" si="8"/>
        <v>344400</v>
      </c>
      <c r="W54" s="66"/>
      <c r="X54" s="77">
        <v>2.1040000000000001</v>
      </c>
      <c r="Y54" s="77">
        <v>8.5960000000000001</v>
      </c>
      <c r="Z54" s="104">
        <f t="shared" si="9"/>
        <v>13.3238</v>
      </c>
      <c r="AA54" s="66"/>
      <c r="AB54" s="77">
        <v>365</v>
      </c>
      <c r="AC54" s="82">
        <f t="shared" si="10"/>
        <v>4020.51</v>
      </c>
      <c r="AD54" s="82">
        <f t="shared" si="11"/>
        <v>4278.4399999999996</v>
      </c>
      <c r="AE54" s="82">
        <f t="shared" si="12"/>
        <v>12687.7</v>
      </c>
      <c r="AF54" s="82">
        <f t="shared" si="12"/>
        <v>45887.17</v>
      </c>
      <c r="AG54" s="82"/>
      <c r="AH54" s="82"/>
      <c r="AI54" s="84">
        <f t="shared" si="13"/>
        <v>66873.820000000007</v>
      </c>
      <c r="AJ54" s="82"/>
      <c r="AK54" s="84"/>
      <c r="AL54" s="66"/>
    </row>
    <row r="55" spans="3:38" x14ac:dyDescent="0.3">
      <c r="C55" s="94" t="s">
        <v>481</v>
      </c>
      <c r="D55" s="238" t="s">
        <v>408</v>
      </c>
      <c r="E55" s="42" t="s">
        <v>469</v>
      </c>
      <c r="G55" s="66"/>
      <c r="H55" s="105">
        <v>314522</v>
      </c>
      <c r="I55" s="105">
        <v>262832</v>
      </c>
      <c r="J55" s="105">
        <v>283457</v>
      </c>
      <c r="K55" s="105">
        <v>275952</v>
      </c>
      <c r="L55" s="105">
        <v>286531</v>
      </c>
      <c r="M55" s="105">
        <v>147684</v>
      </c>
      <c r="N55" s="76" cm="1">
        <f t="array" ref="N55">SUM((H55:L55)/5)</f>
        <v>284658.8</v>
      </c>
      <c r="O55" s="74">
        <v>284000</v>
      </c>
      <c r="P55" s="66"/>
      <c r="Q55" s="102">
        <v>5.62</v>
      </c>
      <c r="R55" s="102">
        <v>13.64</v>
      </c>
      <c r="S55" s="103">
        <v>0</v>
      </c>
      <c r="T55" s="103">
        <v>0</v>
      </c>
      <c r="U55" s="77">
        <f t="shared" si="7"/>
        <v>85200</v>
      </c>
      <c r="V55" s="77">
        <f t="shared" si="8"/>
        <v>198800</v>
      </c>
      <c r="W55" s="66"/>
      <c r="X55" s="77">
        <v>2.1040000000000001</v>
      </c>
      <c r="Y55" s="77">
        <v>8.5960000000000001</v>
      </c>
      <c r="Z55" s="104">
        <f t="shared" si="9"/>
        <v>13.3238</v>
      </c>
      <c r="AA55" s="66"/>
      <c r="AB55" s="77">
        <v>365</v>
      </c>
      <c r="AC55" s="82">
        <f t="shared" si="10"/>
        <v>2496.12</v>
      </c>
      <c r="AD55" s="82">
        <f t="shared" si="11"/>
        <v>2656.25</v>
      </c>
      <c r="AE55" s="82">
        <f t="shared" si="12"/>
        <v>7323.79</v>
      </c>
      <c r="AF55" s="82">
        <f t="shared" si="12"/>
        <v>26487.71</v>
      </c>
      <c r="AG55" s="82"/>
      <c r="AH55" s="82"/>
      <c r="AI55" s="84">
        <f t="shared" si="13"/>
        <v>38963.869999999995</v>
      </c>
      <c r="AJ55" s="82"/>
      <c r="AK55" s="84"/>
      <c r="AL55" s="66"/>
    </row>
    <row r="56" spans="3:38" x14ac:dyDescent="0.3">
      <c r="C56" s="94" t="s">
        <v>441</v>
      </c>
      <c r="D56" s="238" t="s">
        <v>408</v>
      </c>
      <c r="E56" s="42" t="s">
        <v>469</v>
      </c>
      <c r="G56" s="66"/>
      <c r="H56" s="105">
        <v>449852</v>
      </c>
      <c r="I56" s="105">
        <v>417991</v>
      </c>
      <c r="J56" s="105">
        <v>427848</v>
      </c>
      <c r="K56" s="105">
        <v>471789</v>
      </c>
      <c r="L56" s="105">
        <v>496075</v>
      </c>
      <c r="M56" s="105">
        <v>186050</v>
      </c>
      <c r="N56" s="76" cm="1">
        <f t="array" ref="N56">SUM((H56:L56)/5)</f>
        <v>452711</v>
      </c>
      <c r="O56" s="74">
        <v>480000</v>
      </c>
      <c r="P56" s="66"/>
      <c r="Q56" s="102">
        <v>8.7200000000000006</v>
      </c>
      <c r="R56" s="102">
        <v>20.13</v>
      </c>
      <c r="S56" s="103">
        <v>0</v>
      </c>
      <c r="T56" s="103">
        <v>0</v>
      </c>
      <c r="U56" s="77">
        <f t="shared" si="7"/>
        <v>144000</v>
      </c>
      <c r="V56" s="77">
        <f t="shared" si="8"/>
        <v>336000</v>
      </c>
      <c r="W56" s="66"/>
      <c r="X56" s="77">
        <v>2.1040000000000001</v>
      </c>
      <c r="Y56" s="77">
        <v>8.5960000000000001</v>
      </c>
      <c r="Z56" s="104">
        <f t="shared" si="9"/>
        <v>13.3238</v>
      </c>
      <c r="AA56" s="66"/>
      <c r="AB56" s="77">
        <v>365</v>
      </c>
      <c r="AC56" s="82">
        <f t="shared" si="10"/>
        <v>3683.79</v>
      </c>
      <c r="AD56" s="82">
        <f t="shared" si="11"/>
        <v>3920.12</v>
      </c>
      <c r="AE56" s="82">
        <f t="shared" si="12"/>
        <v>12378.24</v>
      </c>
      <c r="AF56" s="82">
        <f t="shared" si="12"/>
        <v>44767.97</v>
      </c>
      <c r="AG56" s="82"/>
      <c r="AH56" s="82"/>
      <c r="AI56" s="84">
        <f t="shared" si="13"/>
        <v>64750.12</v>
      </c>
      <c r="AJ56" s="82"/>
      <c r="AK56" s="84"/>
      <c r="AL56" s="66"/>
    </row>
    <row r="57" spans="3:38" x14ac:dyDescent="0.3">
      <c r="C57" s="94" t="s">
        <v>443</v>
      </c>
      <c r="D57" s="238" t="s">
        <v>408</v>
      </c>
      <c r="E57" s="42" t="s">
        <v>469</v>
      </c>
      <c r="G57" s="66"/>
      <c r="H57" s="105">
        <v>388074</v>
      </c>
      <c r="I57" s="105">
        <v>340194</v>
      </c>
      <c r="J57" s="105">
        <v>620111</v>
      </c>
      <c r="K57" s="105">
        <v>282988</v>
      </c>
      <c r="L57" s="105">
        <v>750354</v>
      </c>
      <c r="M57" s="105">
        <v>294822</v>
      </c>
      <c r="N57" s="76" cm="1">
        <f t="array" ref="N57">SUM((H57:L57)/5)</f>
        <v>476344.19999999995</v>
      </c>
      <c r="O57" s="74">
        <v>477000</v>
      </c>
      <c r="P57" s="66"/>
      <c r="Q57" s="102">
        <v>6.56</v>
      </c>
      <c r="R57" s="102">
        <v>25.53</v>
      </c>
      <c r="S57" s="103">
        <v>0</v>
      </c>
      <c r="T57" s="103">
        <v>0</v>
      </c>
      <c r="U57" s="77">
        <f t="shared" si="7"/>
        <v>143100</v>
      </c>
      <c r="V57" s="77">
        <f t="shared" si="8"/>
        <v>333900</v>
      </c>
      <c r="W57" s="66"/>
      <c r="X57" s="77">
        <v>2.1040000000000001</v>
      </c>
      <c r="Y57" s="77">
        <v>8.5960000000000001</v>
      </c>
      <c r="Z57" s="104">
        <f t="shared" si="9"/>
        <v>13.3238</v>
      </c>
      <c r="AA57" s="66"/>
      <c r="AB57" s="77">
        <v>365</v>
      </c>
      <c r="AC57" s="82">
        <f t="shared" si="10"/>
        <v>4671.99</v>
      </c>
      <c r="AD57" s="82">
        <f t="shared" si="11"/>
        <v>4971.71</v>
      </c>
      <c r="AE57" s="82">
        <f t="shared" si="12"/>
        <v>12300.88</v>
      </c>
      <c r="AF57" s="82">
        <f t="shared" si="12"/>
        <v>44488.17</v>
      </c>
      <c r="AG57" s="82"/>
      <c r="AH57" s="82"/>
      <c r="AI57" s="84">
        <f t="shared" si="13"/>
        <v>66432.75</v>
      </c>
      <c r="AJ57" s="82"/>
      <c r="AK57" s="84"/>
      <c r="AL57" s="66"/>
    </row>
    <row r="58" spans="3:38" x14ac:dyDescent="0.3">
      <c r="C58" s="94" t="s">
        <v>445</v>
      </c>
      <c r="D58" s="238" t="s">
        <v>408</v>
      </c>
      <c r="E58" s="42" t="s">
        <v>469</v>
      </c>
      <c r="G58" s="66"/>
      <c r="H58" s="105">
        <v>404197</v>
      </c>
      <c r="I58" s="105">
        <v>357585</v>
      </c>
      <c r="J58" s="105">
        <v>414850</v>
      </c>
      <c r="K58" s="105">
        <v>412104</v>
      </c>
      <c r="L58" s="105">
        <v>366281</v>
      </c>
      <c r="M58" s="105">
        <v>146112</v>
      </c>
      <c r="N58" s="76" cm="1">
        <f t="array" ref="N58">SUM((H58:L58)/5)</f>
        <v>391003.4</v>
      </c>
      <c r="O58" s="74">
        <v>391000</v>
      </c>
      <c r="P58" s="66"/>
      <c r="Q58" s="102">
        <v>6.15</v>
      </c>
      <c r="R58" s="102">
        <v>11.63</v>
      </c>
      <c r="S58" s="103">
        <v>0</v>
      </c>
      <c r="T58" s="103">
        <v>0</v>
      </c>
      <c r="U58" s="77">
        <f t="shared" si="7"/>
        <v>117300</v>
      </c>
      <c r="V58" s="77">
        <f t="shared" si="8"/>
        <v>273700</v>
      </c>
      <c r="W58" s="66"/>
      <c r="X58" s="77">
        <v>2.101</v>
      </c>
      <c r="Y58" s="77">
        <v>8.5920000000000005</v>
      </c>
      <c r="Z58" s="104">
        <f t="shared" si="9"/>
        <v>13.317600000000002</v>
      </c>
      <c r="AA58" s="66"/>
      <c r="AB58" s="77">
        <v>365</v>
      </c>
      <c r="AC58" s="82">
        <f t="shared" si="10"/>
        <v>2128.29</v>
      </c>
      <c r="AD58" s="82">
        <f t="shared" si="11"/>
        <v>2264.83</v>
      </c>
      <c r="AE58" s="82">
        <f t="shared" si="12"/>
        <v>10078.42</v>
      </c>
      <c r="AF58" s="82">
        <f t="shared" si="12"/>
        <v>36450.269999999997</v>
      </c>
      <c r="AG58" s="82"/>
      <c r="AH58" s="82"/>
      <c r="AI58" s="84">
        <f t="shared" si="13"/>
        <v>50921.81</v>
      </c>
      <c r="AJ58" s="82"/>
      <c r="AK58" s="84"/>
      <c r="AL58" s="66"/>
    </row>
    <row r="59" spans="3:38" x14ac:dyDescent="0.3">
      <c r="C59" s="94" t="s">
        <v>447</v>
      </c>
      <c r="D59" s="238" t="s">
        <v>408</v>
      </c>
      <c r="E59" s="42" t="s">
        <v>469</v>
      </c>
      <c r="G59" s="66"/>
      <c r="H59" s="105">
        <v>474952</v>
      </c>
      <c r="I59" s="105">
        <v>484037</v>
      </c>
      <c r="J59" s="105">
        <v>504672</v>
      </c>
      <c r="K59" s="105">
        <v>470823</v>
      </c>
      <c r="L59" s="105">
        <v>508084</v>
      </c>
      <c r="M59" s="105">
        <v>184811</v>
      </c>
      <c r="N59" s="76" cm="1">
        <f t="array" ref="N59">SUM((H59:L59)/5)</f>
        <v>488513.59999999992</v>
      </c>
      <c r="O59" s="74">
        <v>488500</v>
      </c>
      <c r="P59" s="66"/>
      <c r="Q59" s="102">
        <v>9.94</v>
      </c>
      <c r="R59" s="102">
        <v>21.91</v>
      </c>
      <c r="S59" s="106">
        <v>0.56799999999999995</v>
      </c>
      <c r="T59" s="103">
        <v>0.56799999999999995</v>
      </c>
      <c r="U59" s="77">
        <f t="shared" si="7"/>
        <v>146550</v>
      </c>
      <c r="V59" s="77">
        <f t="shared" si="8"/>
        <v>341950</v>
      </c>
      <c r="W59" s="66"/>
      <c r="X59" s="77">
        <v>2.1040000000000001</v>
      </c>
      <c r="Y59" s="77">
        <v>8.5960000000000001</v>
      </c>
      <c r="Z59" s="104">
        <f t="shared" si="9"/>
        <v>13.3238</v>
      </c>
      <c r="AA59" s="66"/>
      <c r="AB59" s="77">
        <v>365</v>
      </c>
      <c r="AC59" s="82">
        <f t="shared" si="10"/>
        <v>4009.53</v>
      </c>
      <c r="AD59" s="82">
        <f t="shared" si="11"/>
        <v>4266.75</v>
      </c>
      <c r="AE59" s="82">
        <f t="shared" si="12"/>
        <v>12597.44</v>
      </c>
      <c r="AF59" s="82">
        <f t="shared" si="12"/>
        <v>45560.73</v>
      </c>
      <c r="AG59" s="82"/>
      <c r="AH59" s="82"/>
      <c r="AI59" s="84">
        <f t="shared" si="13"/>
        <v>66434.450000000012</v>
      </c>
      <c r="AJ59" s="82"/>
      <c r="AK59" s="84"/>
      <c r="AL59" s="66"/>
    </row>
    <row r="60" spans="3:38" x14ac:dyDescent="0.3">
      <c r="C60" s="94" t="s">
        <v>715</v>
      </c>
      <c r="D60" s="238" t="s">
        <v>408</v>
      </c>
      <c r="E60" s="42" t="s">
        <v>469</v>
      </c>
      <c r="G60" s="66"/>
      <c r="H60" s="105">
        <v>4019</v>
      </c>
      <c r="I60" s="105">
        <v>2174</v>
      </c>
      <c r="J60" s="105">
        <v>2869</v>
      </c>
      <c r="K60" s="105">
        <v>0</v>
      </c>
      <c r="L60" s="105">
        <v>8301</v>
      </c>
      <c r="M60" s="105">
        <v>669</v>
      </c>
      <c r="N60" s="76" cm="1">
        <f t="array" ref="N60">SUM((H60:L60)/5)</f>
        <v>3472.6</v>
      </c>
      <c r="O60" s="74">
        <v>4000</v>
      </c>
      <c r="P60" s="66"/>
      <c r="Q60" s="102">
        <v>0.38</v>
      </c>
      <c r="R60" s="102">
        <v>0.51</v>
      </c>
      <c r="S60" s="103">
        <v>0</v>
      </c>
      <c r="T60" s="103">
        <v>0</v>
      </c>
      <c r="U60" s="77">
        <f t="shared" si="7"/>
        <v>1200</v>
      </c>
      <c r="V60" s="77">
        <f t="shared" si="8"/>
        <v>2800</v>
      </c>
      <c r="W60" s="66"/>
      <c r="X60" s="77">
        <v>2.1110000000000002</v>
      </c>
      <c r="Y60" s="77">
        <v>8.6029999999999998</v>
      </c>
      <c r="Z60" s="104">
        <f t="shared" si="9"/>
        <v>13.33465</v>
      </c>
      <c r="AA60" s="66"/>
      <c r="AB60" s="77">
        <v>365</v>
      </c>
      <c r="AC60" s="82">
        <f t="shared" si="10"/>
        <v>93.33</v>
      </c>
      <c r="AD60" s="82">
        <f t="shared" si="11"/>
        <v>99.32</v>
      </c>
      <c r="AE60" s="82">
        <f t="shared" si="12"/>
        <v>103.24</v>
      </c>
      <c r="AF60" s="82">
        <f t="shared" si="12"/>
        <v>373.37</v>
      </c>
      <c r="AG60" s="82"/>
      <c r="AH60" s="82"/>
      <c r="AI60" s="84">
        <f t="shared" si="13"/>
        <v>669.26</v>
      </c>
      <c r="AJ60" s="82"/>
      <c r="AK60" s="84"/>
      <c r="AL60" s="66"/>
    </row>
    <row r="61" spans="3:38" x14ac:dyDescent="0.3">
      <c r="C61" s="94" t="s">
        <v>482</v>
      </c>
      <c r="D61" s="238" t="s">
        <v>408</v>
      </c>
      <c r="E61" s="42" t="s">
        <v>469</v>
      </c>
      <c r="G61" s="66"/>
      <c r="H61" s="105">
        <v>12729</v>
      </c>
      <c r="I61" s="105">
        <v>12045</v>
      </c>
      <c r="J61" s="105">
        <v>13289</v>
      </c>
      <c r="K61" s="105">
        <v>12984</v>
      </c>
      <c r="L61" s="105">
        <v>12759</v>
      </c>
      <c r="M61" s="105">
        <v>1603</v>
      </c>
      <c r="N61" s="76" cm="1">
        <f t="array" ref="N61">SUM((H61:L61)/5)</f>
        <v>12761.2</v>
      </c>
      <c r="O61" s="74">
        <v>12700</v>
      </c>
      <c r="P61" s="66"/>
      <c r="Q61" s="102">
        <v>0.72</v>
      </c>
      <c r="R61" s="102">
        <v>1.1499999999999999</v>
      </c>
      <c r="S61" s="103">
        <v>0</v>
      </c>
      <c r="T61" s="103">
        <v>0</v>
      </c>
      <c r="U61" s="77">
        <f t="shared" si="7"/>
        <v>3810</v>
      </c>
      <c r="V61" s="77">
        <f t="shared" si="8"/>
        <v>8890</v>
      </c>
      <c r="W61" s="66"/>
      <c r="X61" s="77">
        <v>2.1110000000000002</v>
      </c>
      <c r="Y61" s="77">
        <v>8.6029999999999998</v>
      </c>
      <c r="Z61" s="104">
        <f t="shared" si="9"/>
        <v>13.33465</v>
      </c>
      <c r="AA61" s="66"/>
      <c r="AB61" s="77">
        <v>365</v>
      </c>
      <c r="AC61" s="82">
        <f t="shared" si="10"/>
        <v>210.45</v>
      </c>
      <c r="AD61" s="82">
        <f t="shared" si="11"/>
        <v>223.95</v>
      </c>
      <c r="AE61" s="82">
        <f t="shared" si="12"/>
        <v>327.77</v>
      </c>
      <c r="AF61" s="82">
        <f t="shared" si="12"/>
        <v>1185.45</v>
      </c>
      <c r="AG61" s="82"/>
      <c r="AH61" s="82"/>
      <c r="AI61" s="84">
        <f t="shared" si="13"/>
        <v>1947.62</v>
      </c>
      <c r="AJ61" s="82"/>
      <c r="AK61" s="84"/>
      <c r="AL61" s="66"/>
    </row>
    <row r="62" spans="3:38" x14ac:dyDescent="0.3">
      <c r="C62" s="94" t="s">
        <v>453</v>
      </c>
      <c r="D62" s="238" t="s">
        <v>408</v>
      </c>
      <c r="E62" s="42" t="s">
        <v>469</v>
      </c>
      <c r="G62" s="66"/>
      <c r="H62" s="105">
        <v>481754</v>
      </c>
      <c r="I62" s="105">
        <v>428316</v>
      </c>
      <c r="J62" s="105">
        <v>468439</v>
      </c>
      <c r="K62" s="105">
        <v>483689</v>
      </c>
      <c r="L62" s="105">
        <v>442354</v>
      </c>
      <c r="M62" s="105">
        <v>165078</v>
      </c>
      <c r="N62" s="76" cm="1">
        <f t="array" ref="N62">SUM((H62:L62)/5)</f>
        <v>460910.39999999997</v>
      </c>
      <c r="O62" s="74">
        <v>461000</v>
      </c>
      <c r="P62" s="66"/>
      <c r="Q62" s="102">
        <v>9.2100000000000009</v>
      </c>
      <c r="R62" s="102">
        <v>20.03</v>
      </c>
      <c r="S62" s="103">
        <v>0</v>
      </c>
      <c r="T62" s="103">
        <v>0</v>
      </c>
      <c r="U62" s="77">
        <f t="shared" si="7"/>
        <v>138300</v>
      </c>
      <c r="V62" s="77">
        <f t="shared" si="8"/>
        <v>322700</v>
      </c>
      <c r="W62" s="66"/>
      <c r="X62" s="77">
        <v>2.1040000000000001</v>
      </c>
      <c r="Y62" s="77">
        <v>8.5960000000000001</v>
      </c>
      <c r="Z62" s="104">
        <f t="shared" si="9"/>
        <v>13.3238</v>
      </c>
      <c r="AA62" s="66"/>
      <c r="AB62" s="77">
        <v>365</v>
      </c>
      <c r="AC62" s="82">
        <f t="shared" si="10"/>
        <v>3665.49</v>
      </c>
      <c r="AD62" s="82">
        <f t="shared" si="11"/>
        <v>3900.64</v>
      </c>
      <c r="AE62" s="82">
        <f t="shared" si="12"/>
        <v>11888.27</v>
      </c>
      <c r="AF62" s="82">
        <f t="shared" si="12"/>
        <v>42995.9</v>
      </c>
      <c r="AG62" s="82"/>
      <c r="AH62" s="82"/>
      <c r="AI62" s="84">
        <f t="shared" si="13"/>
        <v>62450.3</v>
      </c>
      <c r="AJ62" s="82"/>
      <c r="AK62" s="84"/>
      <c r="AL62" s="66"/>
    </row>
    <row r="63" spans="3:38" x14ac:dyDescent="0.3">
      <c r="C63" s="94" t="s">
        <v>455</v>
      </c>
      <c r="D63" s="238" t="s">
        <v>408</v>
      </c>
      <c r="E63" s="42" t="s">
        <v>469</v>
      </c>
      <c r="G63" s="66"/>
      <c r="H63" s="105">
        <v>338020</v>
      </c>
      <c r="I63" s="105">
        <v>401130</v>
      </c>
      <c r="J63" s="105">
        <v>395547</v>
      </c>
      <c r="K63" s="105">
        <v>366943</v>
      </c>
      <c r="L63" s="105">
        <v>417693</v>
      </c>
      <c r="M63" s="105">
        <v>131795</v>
      </c>
      <c r="N63" s="76" cm="1">
        <f t="array" ref="N63">SUM((H63:L63)/5)</f>
        <v>383866.6</v>
      </c>
      <c r="O63" s="74">
        <v>385000</v>
      </c>
      <c r="P63" s="66"/>
      <c r="Q63" s="102">
        <v>8.35</v>
      </c>
      <c r="R63" s="102">
        <v>18.05</v>
      </c>
      <c r="S63" s="103">
        <v>0</v>
      </c>
      <c r="T63" s="103">
        <v>0</v>
      </c>
      <c r="U63" s="77">
        <f t="shared" si="7"/>
        <v>115500</v>
      </c>
      <c r="V63" s="77">
        <f t="shared" si="8"/>
        <v>269500</v>
      </c>
      <c r="W63" s="66"/>
      <c r="X63" s="77">
        <v>2.1040000000000001</v>
      </c>
      <c r="Y63" s="77">
        <v>8.5960000000000001</v>
      </c>
      <c r="Z63" s="104">
        <f t="shared" si="9"/>
        <v>13.3238</v>
      </c>
      <c r="AA63" s="66"/>
      <c r="AB63" s="77">
        <v>365</v>
      </c>
      <c r="AC63" s="82">
        <f t="shared" si="10"/>
        <v>3303.15</v>
      </c>
      <c r="AD63" s="82">
        <f t="shared" si="11"/>
        <v>3515.06</v>
      </c>
      <c r="AE63" s="82">
        <f t="shared" si="12"/>
        <v>9928.3799999999992</v>
      </c>
      <c r="AF63" s="82">
        <f t="shared" si="12"/>
        <v>35907.64</v>
      </c>
      <c r="AG63" s="82"/>
      <c r="AH63" s="82"/>
      <c r="AI63" s="84">
        <f t="shared" si="13"/>
        <v>52654.229999999996</v>
      </c>
      <c r="AJ63" s="82"/>
      <c r="AK63" s="84"/>
      <c r="AL63" s="66"/>
    </row>
    <row r="64" spans="3:38" x14ac:dyDescent="0.3">
      <c r="C64" s="94" t="s">
        <v>457</v>
      </c>
      <c r="D64" s="238" t="s">
        <v>408</v>
      </c>
      <c r="E64" s="42" t="s">
        <v>469</v>
      </c>
      <c r="G64" s="66"/>
      <c r="H64" s="105">
        <v>266741</v>
      </c>
      <c r="I64" s="105">
        <v>105684</v>
      </c>
      <c r="J64" s="105">
        <v>402908</v>
      </c>
      <c r="K64" s="105">
        <v>403474</v>
      </c>
      <c r="L64" s="105">
        <v>270912</v>
      </c>
      <c r="M64" s="105">
        <v>151355</v>
      </c>
      <c r="N64" s="76" cm="1">
        <f t="array" ref="N64">SUM((H64:L64)/5)</f>
        <v>289943.80000000005</v>
      </c>
      <c r="O64" s="74">
        <v>325000</v>
      </c>
      <c r="P64" s="66"/>
      <c r="Q64" s="102">
        <v>8.89</v>
      </c>
      <c r="R64" s="102">
        <v>28.99</v>
      </c>
      <c r="S64" s="103">
        <v>0</v>
      </c>
      <c r="T64" s="103">
        <v>0</v>
      </c>
      <c r="U64" s="77">
        <f t="shared" si="7"/>
        <v>97500</v>
      </c>
      <c r="V64" s="77">
        <f t="shared" si="8"/>
        <v>227500</v>
      </c>
      <c r="W64" s="66"/>
      <c r="X64" s="77">
        <v>2.1040000000000001</v>
      </c>
      <c r="Y64" s="77">
        <v>8.5960000000000001</v>
      </c>
      <c r="Z64" s="104">
        <f t="shared" si="9"/>
        <v>13.3238</v>
      </c>
      <c r="AA64" s="66"/>
      <c r="AB64" s="77">
        <v>365</v>
      </c>
      <c r="AC64" s="82">
        <f t="shared" si="10"/>
        <v>5305.17</v>
      </c>
      <c r="AD64" s="82">
        <f t="shared" si="11"/>
        <v>5645.51</v>
      </c>
      <c r="AE64" s="82">
        <f t="shared" si="12"/>
        <v>8381.1</v>
      </c>
      <c r="AF64" s="82">
        <f t="shared" si="12"/>
        <v>30311.65</v>
      </c>
      <c r="AG64" s="82"/>
      <c r="AH64" s="82"/>
      <c r="AI64" s="84">
        <f t="shared" si="13"/>
        <v>49643.43</v>
      </c>
      <c r="AJ64" s="82"/>
      <c r="AK64" s="84"/>
      <c r="AL64" s="66"/>
    </row>
    <row r="65" spans="3:38" x14ac:dyDescent="0.3">
      <c r="C65" s="94" t="s">
        <v>460</v>
      </c>
      <c r="D65" s="238" t="s">
        <v>408</v>
      </c>
      <c r="E65" s="42" t="s">
        <v>469</v>
      </c>
      <c r="G65" s="66"/>
      <c r="H65" s="105">
        <v>297100</v>
      </c>
      <c r="I65" s="105">
        <v>121524</v>
      </c>
      <c r="J65" s="105">
        <v>0</v>
      </c>
      <c r="K65" s="105">
        <v>0</v>
      </c>
      <c r="L65" s="105">
        <v>1471802</v>
      </c>
      <c r="M65" s="105">
        <v>53715</v>
      </c>
      <c r="N65" s="76" cm="1">
        <f t="array" ref="N65">SUM((H65:L65)/5)</f>
        <v>378085.2</v>
      </c>
      <c r="O65" s="74">
        <v>380000</v>
      </c>
      <c r="P65" s="66"/>
      <c r="Q65" s="102">
        <v>4.18</v>
      </c>
      <c r="R65" s="102">
        <v>29.93</v>
      </c>
      <c r="S65" s="103">
        <v>0</v>
      </c>
      <c r="T65" s="103">
        <v>0</v>
      </c>
      <c r="U65" s="77">
        <f t="shared" si="7"/>
        <v>114000</v>
      </c>
      <c r="V65" s="77">
        <f t="shared" si="8"/>
        <v>266000</v>
      </c>
      <c r="W65" s="66"/>
      <c r="X65" s="77">
        <v>2.1040000000000001</v>
      </c>
      <c r="Y65" s="77">
        <v>8.5960000000000001</v>
      </c>
      <c r="Z65" s="104">
        <f t="shared" si="9"/>
        <v>13.3238</v>
      </c>
      <c r="AA65" s="66"/>
      <c r="AB65" s="77">
        <v>365</v>
      </c>
      <c r="AC65" s="82">
        <f t="shared" si="10"/>
        <v>5477.19</v>
      </c>
      <c r="AD65" s="82">
        <f t="shared" si="11"/>
        <v>5828.57</v>
      </c>
      <c r="AE65" s="82">
        <f t="shared" si="12"/>
        <v>9799.44</v>
      </c>
      <c r="AF65" s="82">
        <f t="shared" si="12"/>
        <v>35441.31</v>
      </c>
      <c r="AG65" s="82"/>
      <c r="AH65" s="82"/>
      <c r="AI65" s="84">
        <f t="shared" si="13"/>
        <v>56546.509999999995</v>
      </c>
      <c r="AJ65" s="82"/>
      <c r="AK65" s="84"/>
      <c r="AL65" s="66"/>
    </row>
    <row r="66" spans="3:38" x14ac:dyDescent="0.3">
      <c r="C66" s="94" t="s">
        <v>483</v>
      </c>
      <c r="D66" s="238" t="s">
        <v>408</v>
      </c>
      <c r="E66" s="42" t="s">
        <v>469</v>
      </c>
      <c r="G66" s="66"/>
      <c r="H66" s="105">
        <v>451683</v>
      </c>
      <c r="I66" s="105">
        <v>417026</v>
      </c>
      <c r="J66" s="105">
        <v>396597</v>
      </c>
      <c r="K66" s="105">
        <v>398875</v>
      </c>
      <c r="L66" s="105">
        <v>347621</v>
      </c>
      <c r="M66" s="105">
        <v>180734</v>
      </c>
      <c r="N66" s="76" cm="1">
        <f t="array" ref="N66">SUM((H66:L66)/5)</f>
        <v>402360.39999999997</v>
      </c>
      <c r="O66" s="74">
        <v>402000</v>
      </c>
      <c r="P66" s="66"/>
      <c r="Q66" s="102">
        <v>8.3000000000000007</v>
      </c>
      <c r="R66" s="102">
        <v>17.13</v>
      </c>
      <c r="S66" s="103">
        <v>0</v>
      </c>
      <c r="T66" s="103">
        <v>0</v>
      </c>
      <c r="U66" s="77">
        <f t="shared" si="7"/>
        <v>120600</v>
      </c>
      <c r="V66" s="77">
        <f t="shared" si="8"/>
        <v>281400</v>
      </c>
      <c r="W66" s="66"/>
      <c r="X66" s="77">
        <v>2.1040000000000001</v>
      </c>
      <c r="Y66" s="77">
        <v>8.5960000000000001</v>
      </c>
      <c r="Z66" s="104">
        <f t="shared" si="9"/>
        <v>13.3238</v>
      </c>
      <c r="AA66" s="66"/>
      <c r="AB66" s="77">
        <v>365</v>
      </c>
      <c r="AC66" s="82">
        <f t="shared" si="10"/>
        <v>3134.79</v>
      </c>
      <c r="AD66" s="82">
        <f t="shared" si="11"/>
        <v>3335.9</v>
      </c>
      <c r="AE66" s="82">
        <f t="shared" si="12"/>
        <v>10366.780000000001</v>
      </c>
      <c r="AF66" s="82">
        <f t="shared" si="12"/>
        <v>37493.17</v>
      </c>
      <c r="AG66" s="82"/>
      <c r="AH66" s="82"/>
      <c r="AI66" s="84">
        <f t="shared" si="13"/>
        <v>54330.64</v>
      </c>
      <c r="AJ66" s="82"/>
      <c r="AK66" s="84"/>
      <c r="AL66" s="66"/>
    </row>
    <row r="67" spans="3:38" x14ac:dyDescent="0.3">
      <c r="C67" s="94" t="s">
        <v>484</v>
      </c>
      <c r="D67" s="238" t="s">
        <v>408</v>
      </c>
      <c r="E67" s="42" t="s">
        <v>469</v>
      </c>
      <c r="G67" s="66"/>
      <c r="H67" s="105">
        <v>507188</v>
      </c>
      <c r="I67" s="105">
        <v>464624</v>
      </c>
      <c r="J67" s="105">
        <v>500851</v>
      </c>
      <c r="K67" s="105">
        <v>596995</v>
      </c>
      <c r="L67" s="105">
        <v>420755</v>
      </c>
      <c r="M67" s="105">
        <v>125974</v>
      </c>
      <c r="N67" s="76" cm="1">
        <f t="array" ref="N67">SUM((H67:L67)/5)</f>
        <v>498082.60000000003</v>
      </c>
      <c r="O67" s="74">
        <v>498000</v>
      </c>
      <c r="P67" s="66"/>
      <c r="Q67" s="102">
        <v>10.029999999999999</v>
      </c>
      <c r="R67" s="102">
        <v>20.69</v>
      </c>
      <c r="S67" s="103">
        <v>0</v>
      </c>
      <c r="T67" s="103">
        <v>0</v>
      </c>
      <c r="U67" s="77">
        <f t="shared" si="7"/>
        <v>149400</v>
      </c>
      <c r="V67" s="77">
        <f t="shared" si="8"/>
        <v>348600</v>
      </c>
      <c r="W67" s="66"/>
      <c r="X67" s="77">
        <v>2.1040000000000001</v>
      </c>
      <c r="Y67" s="77">
        <v>8.5960000000000001</v>
      </c>
      <c r="Z67" s="104">
        <f t="shared" si="9"/>
        <v>13.3238</v>
      </c>
      <c r="AA67" s="66"/>
      <c r="AB67" s="77">
        <v>365</v>
      </c>
      <c r="AC67" s="82">
        <f t="shared" si="10"/>
        <v>3786.27</v>
      </c>
      <c r="AD67" s="82">
        <f t="shared" si="11"/>
        <v>4029.17</v>
      </c>
      <c r="AE67" s="82">
        <f t="shared" si="12"/>
        <v>12842.42</v>
      </c>
      <c r="AF67" s="82">
        <f t="shared" si="12"/>
        <v>46446.77</v>
      </c>
      <c r="AG67" s="82"/>
      <c r="AH67" s="82"/>
      <c r="AI67" s="84">
        <f t="shared" si="13"/>
        <v>67104.63</v>
      </c>
      <c r="AJ67" s="82"/>
      <c r="AK67" s="84"/>
      <c r="AL67" s="66"/>
    </row>
    <row r="68" spans="3:38" x14ac:dyDescent="0.3">
      <c r="C68" s="94" t="s">
        <v>465</v>
      </c>
      <c r="D68" s="238" t="s">
        <v>408</v>
      </c>
      <c r="E68" s="42" t="s">
        <v>469</v>
      </c>
      <c r="G68" s="66"/>
      <c r="H68" s="105">
        <v>483764</v>
      </c>
      <c r="I68" s="105">
        <v>403361</v>
      </c>
      <c r="J68" s="105">
        <v>481587</v>
      </c>
      <c r="K68" s="105">
        <v>526891</v>
      </c>
      <c r="L68" s="105">
        <v>584829</v>
      </c>
      <c r="M68" s="105">
        <v>372845</v>
      </c>
      <c r="N68" s="76" cm="1">
        <f t="array" ref="N68">SUM((H68:L68)/5)</f>
        <v>496086.4</v>
      </c>
      <c r="O68" s="74">
        <v>496000</v>
      </c>
      <c r="P68" s="66"/>
      <c r="Q68" s="102">
        <v>10.94</v>
      </c>
      <c r="R68" s="102">
        <v>25.37</v>
      </c>
      <c r="S68" s="103">
        <v>0</v>
      </c>
      <c r="T68" s="103">
        <v>0</v>
      </c>
      <c r="U68" s="77">
        <f t="shared" si="7"/>
        <v>148800</v>
      </c>
      <c r="V68" s="77">
        <f t="shared" si="8"/>
        <v>347200</v>
      </c>
      <c r="W68" s="66"/>
      <c r="X68" s="77">
        <v>2.1040000000000001</v>
      </c>
      <c r="Y68" s="77">
        <v>8.5960000000000001</v>
      </c>
      <c r="Z68" s="104">
        <f t="shared" si="9"/>
        <v>13.3238</v>
      </c>
      <c r="AA68" s="66"/>
      <c r="AB68" s="77">
        <v>365</v>
      </c>
      <c r="AC68" s="82">
        <f t="shared" si="10"/>
        <v>4642.71</v>
      </c>
      <c r="AD68" s="82">
        <f t="shared" si="11"/>
        <v>4940.55</v>
      </c>
      <c r="AE68" s="82">
        <f t="shared" si="12"/>
        <v>12790.85</v>
      </c>
      <c r="AF68" s="82">
        <f t="shared" si="12"/>
        <v>46260.23</v>
      </c>
      <c r="AG68" s="82"/>
      <c r="AH68" s="82"/>
      <c r="AI68" s="84">
        <f t="shared" si="13"/>
        <v>68634.34</v>
      </c>
      <c r="AJ68" s="82"/>
      <c r="AK68" s="84"/>
      <c r="AL68" s="66"/>
    </row>
    <row r="69" spans="3:38" x14ac:dyDescent="0.3">
      <c r="C69" s="94" t="s">
        <v>467</v>
      </c>
      <c r="D69" s="238" t="s">
        <v>408</v>
      </c>
      <c r="E69" s="42" t="s">
        <v>469</v>
      </c>
      <c r="G69" s="66"/>
      <c r="H69" s="105">
        <v>553358</v>
      </c>
      <c r="I69" s="105">
        <v>407291</v>
      </c>
      <c r="J69" s="105">
        <v>565190</v>
      </c>
      <c r="K69" s="105">
        <v>607048</v>
      </c>
      <c r="L69" s="105">
        <v>498825</v>
      </c>
      <c r="M69" s="105">
        <v>158158</v>
      </c>
      <c r="N69" s="76" cm="1">
        <f t="array" ref="N69">SUM((H69:L69)/5)</f>
        <v>526342.40000000002</v>
      </c>
      <c r="O69" s="74">
        <v>525000</v>
      </c>
      <c r="P69" s="66"/>
      <c r="Q69" s="102">
        <v>12.27</v>
      </c>
      <c r="R69" s="102">
        <v>23.3</v>
      </c>
      <c r="S69" s="103">
        <v>0</v>
      </c>
      <c r="T69" s="103">
        <v>0</v>
      </c>
      <c r="U69" s="77">
        <f t="shared" si="7"/>
        <v>157500</v>
      </c>
      <c r="V69" s="77">
        <f t="shared" si="8"/>
        <v>367500</v>
      </c>
      <c r="W69" s="66"/>
      <c r="X69" s="77">
        <v>2.1040000000000001</v>
      </c>
      <c r="Y69" s="77">
        <v>8.5960000000000001</v>
      </c>
      <c r="Z69" s="104">
        <f t="shared" si="9"/>
        <v>13.3238</v>
      </c>
      <c r="AA69" s="66"/>
      <c r="AB69" s="77">
        <v>365</v>
      </c>
      <c r="AC69" s="82">
        <f t="shared" si="10"/>
        <v>4263.8999999999996</v>
      </c>
      <c r="AD69" s="82">
        <f t="shared" si="11"/>
        <v>4537.4399999999996</v>
      </c>
      <c r="AE69" s="82">
        <f t="shared" si="12"/>
        <v>13538.7</v>
      </c>
      <c r="AF69" s="82">
        <f t="shared" si="12"/>
        <v>48964.97</v>
      </c>
      <c r="AG69" s="82"/>
      <c r="AH69" s="82"/>
      <c r="AI69" s="84">
        <f t="shared" si="13"/>
        <v>71305.010000000009</v>
      </c>
      <c r="AJ69" s="82"/>
      <c r="AK69" s="84"/>
      <c r="AL69" s="66"/>
    </row>
    <row r="70" spans="3:38" x14ac:dyDescent="0.3">
      <c r="G70" s="66"/>
      <c r="H70" s="105"/>
      <c r="I70" s="105"/>
      <c r="J70" s="105"/>
      <c r="K70" s="105"/>
      <c r="L70" s="105"/>
      <c r="M70" s="105"/>
      <c r="P70" s="66"/>
      <c r="Q70" s="102"/>
      <c r="R70" s="102"/>
      <c r="S70" s="102"/>
      <c r="T70" s="102"/>
      <c r="U70" s="77"/>
      <c r="V70" s="77"/>
      <c r="W70" s="66"/>
      <c r="X70" s="77"/>
      <c r="Y70" s="77"/>
      <c r="Z70" s="104"/>
      <c r="AA70" s="66"/>
      <c r="AB70" s="77"/>
      <c r="AC70" s="82"/>
      <c r="AD70" s="82"/>
      <c r="AE70" s="82"/>
      <c r="AF70" s="82"/>
      <c r="AG70" s="82"/>
      <c r="AH70" s="82"/>
      <c r="AI70" s="84"/>
      <c r="AJ70" s="82"/>
      <c r="AK70" s="84"/>
      <c r="AL70" s="66"/>
    </row>
    <row r="71" spans="3:38" x14ac:dyDescent="0.3">
      <c r="G71" s="66"/>
      <c r="H71" s="105"/>
      <c r="I71" s="105"/>
      <c r="J71" s="105"/>
      <c r="K71" s="105"/>
      <c r="L71" s="105"/>
      <c r="M71" s="105"/>
      <c r="P71" s="66"/>
      <c r="Q71" s="102"/>
      <c r="R71" s="102"/>
      <c r="S71" s="102"/>
      <c r="T71" s="102"/>
      <c r="U71" s="77"/>
      <c r="V71" s="77"/>
      <c r="W71" s="66"/>
      <c r="X71" s="77"/>
      <c r="Y71" s="77"/>
      <c r="Z71" s="104"/>
      <c r="AA71" s="66"/>
      <c r="AB71" s="77"/>
      <c r="AC71" s="82"/>
      <c r="AD71" s="82"/>
      <c r="AE71" s="82"/>
      <c r="AF71" s="82"/>
      <c r="AG71" s="82"/>
      <c r="AH71" s="82"/>
      <c r="AI71" s="84"/>
      <c r="AJ71" s="82"/>
      <c r="AK71" s="84"/>
      <c r="AL71" s="66"/>
    </row>
    <row r="72" spans="3:38" x14ac:dyDescent="0.3">
      <c r="G72" s="66"/>
      <c r="H72" s="74"/>
      <c r="I72" s="74"/>
      <c r="J72" s="74"/>
      <c r="K72" s="74"/>
      <c r="L72" s="74"/>
      <c r="M72" s="74"/>
      <c r="P72" s="66"/>
      <c r="Q72" s="102"/>
      <c r="R72" s="102"/>
      <c r="S72" s="102"/>
      <c r="T72" s="102"/>
      <c r="U72" s="77"/>
      <c r="V72" s="77"/>
      <c r="W72" s="66"/>
      <c r="X72" s="77"/>
      <c r="Y72" s="77"/>
      <c r="Z72" s="104"/>
      <c r="AA72" s="66"/>
      <c r="AB72" s="77"/>
      <c r="AC72" s="82"/>
      <c r="AD72" s="82"/>
      <c r="AE72" s="82"/>
      <c r="AF72" s="82"/>
      <c r="AG72" s="82"/>
      <c r="AH72" s="82"/>
      <c r="AI72" s="84"/>
      <c r="AJ72" s="82"/>
      <c r="AK72" s="84"/>
      <c r="AL72" s="66"/>
    </row>
    <row r="73" spans="3:38" x14ac:dyDescent="0.3">
      <c r="G73" s="66"/>
      <c r="H73" s="74"/>
      <c r="I73" s="74"/>
      <c r="J73" s="74"/>
      <c r="K73" s="74"/>
      <c r="L73" s="74"/>
      <c r="M73" s="74"/>
      <c r="P73" s="66"/>
      <c r="Q73" s="102"/>
      <c r="R73" s="102"/>
      <c r="S73" s="102"/>
      <c r="T73" s="102"/>
      <c r="U73" s="77"/>
      <c r="V73" s="77"/>
      <c r="W73" s="66"/>
      <c r="X73" s="77"/>
      <c r="Y73" s="77"/>
      <c r="Z73" s="104"/>
      <c r="AA73" s="66"/>
      <c r="AB73" s="77"/>
      <c r="AC73" s="82"/>
      <c r="AD73" s="82"/>
      <c r="AE73" s="82"/>
      <c r="AF73" s="82"/>
      <c r="AG73" s="82"/>
      <c r="AH73" s="82"/>
      <c r="AI73" s="84"/>
      <c r="AJ73" s="82"/>
      <c r="AK73" s="84"/>
      <c r="AL73" s="66"/>
    </row>
    <row r="74" spans="3:38" x14ac:dyDescent="0.3">
      <c r="G74" s="66"/>
      <c r="H74" s="74"/>
      <c r="I74" s="74"/>
      <c r="J74" s="74"/>
      <c r="K74" s="74"/>
      <c r="L74" s="74"/>
      <c r="M74" s="74"/>
      <c r="P74" s="66"/>
      <c r="Q74" s="102"/>
      <c r="R74" s="102"/>
      <c r="S74" s="102"/>
      <c r="T74" s="102"/>
      <c r="U74" s="77"/>
      <c r="V74" s="77"/>
      <c r="W74" s="66"/>
      <c r="X74" s="77"/>
      <c r="Y74" s="77"/>
      <c r="Z74" s="104"/>
      <c r="AA74" s="66"/>
      <c r="AB74" s="77"/>
      <c r="AC74" s="82"/>
      <c r="AD74" s="82"/>
      <c r="AE74" s="82"/>
      <c r="AF74" s="82"/>
      <c r="AG74" s="82"/>
      <c r="AH74" s="82"/>
      <c r="AI74" s="84"/>
      <c r="AJ74" s="82"/>
      <c r="AK74" s="84"/>
      <c r="AL74" s="66"/>
    </row>
    <row r="75" spans="3:38" x14ac:dyDescent="0.3">
      <c r="G75" s="66"/>
      <c r="H75" s="74"/>
      <c r="I75" s="74"/>
      <c r="J75" s="74"/>
      <c r="K75" s="74"/>
      <c r="L75" s="74"/>
      <c r="M75" s="74"/>
      <c r="P75" s="66"/>
      <c r="Q75" s="102"/>
      <c r="R75" s="102"/>
      <c r="S75" s="102"/>
      <c r="T75" s="102"/>
      <c r="U75" s="77"/>
      <c r="V75" s="77"/>
      <c r="W75" s="66"/>
      <c r="X75" s="77"/>
      <c r="Y75" s="77"/>
      <c r="Z75" s="104"/>
      <c r="AA75" s="66"/>
      <c r="AB75" s="77"/>
      <c r="AC75" s="82"/>
      <c r="AD75" s="82"/>
      <c r="AE75" s="82"/>
      <c r="AF75" s="82"/>
      <c r="AG75" s="82"/>
      <c r="AH75" s="82"/>
      <c r="AI75" s="84"/>
      <c r="AJ75" s="82"/>
      <c r="AK75" s="84"/>
      <c r="AL75" s="66"/>
    </row>
    <row r="76" spans="3:38" x14ac:dyDescent="0.3">
      <c r="G76" s="66"/>
      <c r="H76" s="74"/>
      <c r="I76" s="74"/>
      <c r="J76" s="74"/>
      <c r="K76" s="74"/>
      <c r="L76" s="74"/>
      <c r="M76" s="74"/>
      <c r="P76" s="66"/>
      <c r="Q76" s="102"/>
      <c r="R76" s="102"/>
      <c r="S76" s="102"/>
      <c r="T76" s="102"/>
      <c r="U76" s="77"/>
      <c r="V76" s="77"/>
      <c r="W76" s="66"/>
      <c r="X76" s="77"/>
      <c r="Y76" s="77"/>
      <c r="Z76" s="104"/>
      <c r="AA76" s="66"/>
      <c r="AB76" s="77"/>
      <c r="AC76" s="82"/>
      <c r="AD76" s="82"/>
      <c r="AE76" s="82"/>
      <c r="AF76" s="82"/>
      <c r="AG76" s="82"/>
      <c r="AH76" s="82"/>
      <c r="AI76" s="84"/>
      <c r="AJ76" s="82"/>
      <c r="AK76" s="84"/>
      <c r="AL76" s="66"/>
    </row>
    <row r="77" spans="3:38" x14ac:dyDescent="0.3">
      <c r="G77" s="66"/>
      <c r="H77" s="74"/>
      <c r="I77" s="74"/>
      <c r="J77" s="74"/>
      <c r="K77" s="74"/>
      <c r="L77" s="74"/>
      <c r="M77" s="74"/>
      <c r="P77" s="66"/>
      <c r="Q77" s="102"/>
      <c r="R77" s="102"/>
      <c r="S77" s="102"/>
      <c r="T77" s="102"/>
      <c r="U77" s="77"/>
      <c r="V77" s="77"/>
      <c r="W77" s="66"/>
      <c r="X77" s="77"/>
      <c r="Y77" s="77"/>
      <c r="Z77" s="104"/>
      <c r="AA77" s="66"/>
      <c r="AB77" s="77"/>
      <c r="AC77" s="82"/>
      <c r="AD77" s="82"/>
      <c r="AE77" s="82"/>
      <c r="AF77" s="82"/>
      <c r="AG77" s="82"/>
      <c r="AH77" s="82"/>
      <c r="AI77" s="84"/>
      <c r="AJ77" s="82"/>
      <c r="AK77" s="84"/>
      <c r="AL77" s="66"/>
    </row>
    <row r="78" spans="3:38" x14ac:dyDescent="0.3">
      <c r="G78" s="66"/>
      <c r="H78" s="74"/>
      <c r="I78" s="74"/>
      <c r="J78" s="74"/>
      <c r="K78" s="74"/>
      <c r="L78" s="74"/>
      <c r="M78" s="74"/>
      <c r="P78" s="66"/>
      <c r="Q78" s="102"/>
      <c r="R78" s="102"/>
      <c r="S78" s="102"/>
      <c r="T78" s="102"/>
      <c r="U78" s="77"/>
      <c r="V78" s="77"/>
      <c r="W78" s="66"/>
      <c r="X78" s="77"/>
      <c r="Y78" s="77"/>
      <c r="Z78" s="104"/>
      <c r="AA78" s="66"/>
      <c r="AB78" s="77"/>
      <c r="AC78" s="82"/>
      <c r="AD78" s="82"/>
      <c r="AE78" s="82"/>
      <c r="AF78" s="82"/>
      <c r="AG78" s="82"/>
      <c r="AH78" s="82"/>
      <c r="AI78" s="84"/>
      <c r="AJ78" s="82"/>
      <c r="AK78" s="84"/>
      <c r="AL78" s="66"/>
    </row>
    <row r="79" spans="3:38" x14ac:dyDescent="0.3">
      <c r="G79" s="66"/>
      <c r="P79" s="66"/>
      <c r="Q79" s="102"/>
      <c r="R79" s="102"/>
      <c r="S79" s="102"/>
      <c r="T79" s="102"/>
      <c r="U79" s="77"/>
      <c r="V79" s="77"/>
      <c r="W79" s="66"/>
      <c r="X79" s="77"/>
      <c r="Y79" s="77"/>
      <c r="Z79" s="104"/>
      <c r="AA79" s="66"/>
      <c r="AB79" s="77"/>
      <c r="AC79" s="82"/>
      <c r="AD79" s="82"/>
      <c r="AE79" s="82"/>
      <c r="AF79" s="82"/>
      <c r="AG79" s="82"/>
      <c r="AH79" s="82"/>
      <c r="AI79" s="84"/>
      <c r="AJ79" s="82"/>
      <c r="AK79" s="84"/>
      <c r="AL79" s="66"/>
    </row>
    <row r="80" spans="3:38" x14ac:dyDescent="0.3">
      <c r="G80" s="66"/>
      <c r="P80" s="66"/>
      <c r="Q80" s="102"/>
      <c r="R80" s="102"/>
      <c r="S80" s="102"/>
      <c r="T80" s="102"/>
      <c r="U80" s="77"/>
      <c r="V80" s="77"/>
      <c r="W80" s="66"/>
      <c r="X80" s="77"/>
      <c r="Y80" s="77"/>
      <c r="Z80" s="104"/>
      <c r="AA80" s="66"/>
      <c r="AB80" s="77"/>
      <c r="AC80" s="82"/>
      <c r="AD80" s="82"/>
      <c r="AE80" s="82"/>
      <c r="AF80" s="82"/>
      <c r="AG80" s="82"/>
      <c r="AH80" s="82"/>
      <c r="AI80" s="84"/>
      <c r="AJ80" s="82"/>
      <c r="AK80" s="84"/>
      <c r="AL80" s="66"/>
    </row>
    <row r="81" spans="7:38" x14ac:dyDescent="0.3">
      <c r="G81" s="66"/>
      <c r="P81" s="66"/>
      <c r="Q81" s="102"/>
      <c r="R81" s="102"/>
      <c r="S81" s="102"/>
      <c r="T81" s="102"/>
      <c r="U81" s="77"/>
      <c r="V81" s="77"/>
      <c r="W81" s="66"/>
      <c r="X81" s="77"/>
      <c r="Y81" s="77"/>
      <c r="Z81" s="104"/>
      <c r="AA81" s="66"/>
      <c r="AB81" s="77"/>
      <c r="AC81" s="82"/>
      <c r="AD81" s="82"/>
      <c r="AE81" s="82"/>
      <c r="AF81" s="82"/>
      <c r="AG81" s="82"/>
      <c r="AH81" s="82"/>
      <c r="AI81" s="84"/>
      <c r="AJ81" s="82"/>
      <c r="AK81" s="84"/>
      <c r="AL81" s="66"/>
    </row>
    <row r="82" spans="7:38" x14ac:dyDescent="0.3">
      <c r="G82" s="66"/>
      <c r="P82" s="66"/>
      <c r="Q82" s="102"/>
      <c r="R82" s="102"/>
      <c r="S82" s="102"/>
      <c r="T82" s="102"/>
      <c r="U82" s="77"/>
      <c r="V82" s="77"/>
      <c r="W82" s="66"/>
      <c r="X82" s="77"/>
      <c r="Y82" s="77"/>
      <c r="Z82" s="104"/>
      <c r="AA82" s="66"/>
      <c r="AB82" s="77"/>
      <c r="AC82" s="82"/>
      <c r="AD82" s="82"/>
      <c r="AE82" s="82"/>
      <c r="AF82" s="82"/>
      <c r="AG82" s="82"/>
      <c r="AH82" s="82"/>
      <c r="AI82" s="84"/>
      <c r="AJ82" s="82"/>
      <c r="AK82" s="84"/>
      <c r="AL82" s="66"/>
    </row>
    <row r="83" spans="7:38" x14ac:dyDescent="0.3">
      <c r="G83" s="66"/>
      <c r="P83" s="66"/>
      <c r="Q83" s="102"/>
      <c r="R83" s="102"/>
      <c r="S83" s="102"/>
      <c r="T83" s="102"/>
      <c r="U83" s="77"/>
      <c r="V83" s="77"/>
      <c r="W83" s="66"/>
      <c r="X83" s="77"/>
      <c r="Y83" s="77"/>
      <c r="Z83" s="104"/>
      <c r="AA83" s="66"/>
      <c r="AB83" s="77"/>
      <c r="AC83" s="82"/>
      <c r="AD83" s="82"/>
      <c r="AE83" s="82"/>
      <c r="AF83" s="82"/>
      <c r="AG83" s="82"/>
      <c r="AH83" s="82"/>
      <c r="AI83" s="84"/>
      <c r="AJ83" s="82"/>
      <c r="AK83" s="84"/>
      <c r="AL83" s="66"/>
    </row>
    <row r="84" spans="7:38" x14ac:dyDescent="0.3">
      <c r="G84" s="66"/>
      <c r="P84" s="66"/>
      <c r="Q84" s="102"/>
      <c r="R84" s="102"/>
      <c r="S84" s="102"/>
      <c r="T84" s="102"/>
      <c r="U84" s="77"/>
      <c r="V84" s="77"/>
      <c r="W84" s="66"/>
      <c r="X84" s="77"/>
      <c r="Y84" s="77"/>
      <c r="Z84" s="104"/>
      <c r="AA84" s="66"/>
      <c r="AB84" s="77"/>
      <c r="AC84" s="82"/>
      <c r="AD84" s="82"/>
      <c r="AE84" s="82"/>
      <c r="AF84" s="82"/>
      <c r="AG84" s="82"/>
      <c r="AH84" s="82"/>
      <c r="AI84" s="84"/>
      <c r="AJ84" s="82"/>
      <c r="AK84" s="84"/>
      <c r="AL84" s="66"/>
    </row>
    <row r="85" spans="7:38" x14ac:dyDescent="0.3">
      <c r="G85" s="66"/>
      <c r="P85" s="66"/>
      <c r="Q85" s="102"/>
      <c r="R85" s="102"/>
      <c r="S85" s="102"/>
      <c r="T85" s="102"/>
      <c r="U85" s="77"/>
      <c r="V85" s="77"/>
      <c r="W85" s="66"/>
      <c r="X85" s="77"/>
      <c r="Y85" s="77"/>
      <c r="Z85" s="104"/>
      <c r="AA85" s="66"/>
      <c r="AB85" s="77"/>
      <c r="AC85" s="82"/>
      <c r="AD85" s="82"/>
      <c r="AE85" s="82"/>
      <c r="AF85" s="82"/>
      <c r="AG85" s="82"/>
      <c r="AH85" s="82"/>
      <c r="AI85" s="84"/>
      <c r="AJ85" s="82"/>
      <c r="AK85" s="84"/>
      <c r="AL85" s="66"/>
    </row>
    <row r="86" spans="7:38" x14ac:dyDescent="0.3">
      <c r="G86" s="66"/>
      <c r="P86" s="66"/>
      <c r="Q86" s="102"/>
      <c r="R86" s="102"/>
      <c r="S86" s="102"/>
      <c r="T86" s="102"/>
      <c r="U86" s="77"/>
      <c r="V86" s="77"/>
      <c r="W86" s="66"/>
      <c r="X86" s="77"/>
      <c r="Y86" s="77"/>
      <c r="Z86" s="104"/>
      <c r="AA86" s="66"/>
      <c r="AB86" s="77"/>
      <c r="AC86" s="82"/>
      <c r="AD86" s="82"/>
      <c r="AE86" s="82"/>
      <c r="AF86" s="82"/>
      <c r="AG86" s="82"/>
      <c r="AH86" s="82"/>
      <c r="AI86" s="84"/>
      <c r="AJ86" s="82"/>
      <c r="AK86" s="84"/>
      <c r="AL86" s="66"/>
    </row>
    <row r="87" spans="7:38" x14ac:dyDescent="0.3">
      <c r="G87" s="66"/>
      <c r="P87" s="66"/>
      <c r="Q87" s="102"/>
      <c r="R87" s="102"/>
      <c r="S87" s="102"/>
      <c r="T87" s="102"/>
      <c r="U87" s="77"/>
      <c r="V87" s="77"/>
      <c r="W87" s="66"/>
      <c r="X87" s="77"/>
      <c r="Y87" s="77"/>
      <c r="Z87" s="104"/>
      <c r="AA87" s="66"/>
      <c r="AB87" s="77"/>
      <c r="AC87" s="82"/>
      <c r="AD87" s="82"/>
      <c r="AE87" s="82"/>
      <c r="AF87" s="82"/>
      <c r="AG87" s="82"/>
      <c r="AH87" s="82"/>
      <c r="AI87" s="84"/>
      <c r="AJ87" s="82"/>
      <c r="AK87" s="84"/>
      <c r="AL87" s="66"/>
    </row>
    <row r="88" spans="7:38" x14ac:dyDescent="0.3">
      <c r="G88" s="66"/>
      <c r="P88" s="66"/>
      <c r="Q88" s="102"/>
      <c r="R88" s="102"/>
      <c r="S88" s="102"/>
      <c r="T88" s="102"/>
      <c r="U88" s="77"/>
      <c r="V88" s="77"/>
      <c r="W88" s="66"/>
      <c r="X88" s="77"/>
      <c r="Y88" s="77"/>
      <c r="Z88" s="104"/>
      <c r="AA88" s="66"/>
      <c r="AB88" s="77"/>
      <c r="AC88" s="82"/>
      <c r="AD88" s="82"/>
      <c r="AE88" s="82"/>
      <c r="AF88" s="82"/>
      <c r="AG88" s="82"/>
      <c r="AH88" s="82"/>
      <c r="AI88" s="84"/>
      <c r="AJ88" s="82"/>
      <c r="AK88" s="84"/>
      <c r="AL88" s="66"/>
    </row>
    <row r="89" spans="7:38" x14ac:dyDescent="0.3">
      <c r="G89" s="66"/>
      <c r="P89" s="66"/>
      <c r="Q89" s="102"/>
      <c r="R89" s="102"/>
      <c r="S89" s="102"/>
      <c r="T89" s="102"/>
      <c r="U89" s="77"/>
      <c r="V89" s="77"/>
      <c r="W89" s="66"/>
      <c r="X89" s="77"/>
      <c r="Y89" s="77"/>
      <c r="Z89" s="104"/>
      <c r="AA89" s="66"/>
      <c r="AB89" s="77"/>
      <c r="AC89" s="82"/>
      <c r="AD89" s="82"/>
      <c r="AE89" s="82"/>
      <c r="AF89" s="82"/>
      <c r="AG89" s="82"/>
      <c r="AH89" s="82"/>
      <c r="AI89" s="84"/>
      <c r="AJ89" s="82"/>
      <c r="AK89" s="84"/>
      <c r="AL89" s="66"/>
    </row>
    <row r="90" spans="7:38" x14ac:dyDescent="0.3">
      <c r="G90" s="66"/>
      <c r="P90" s="66"/>
      <c r="Q90" s="102"/>
      <c r="R90" s="102"/>
      <c r="S90" s="102"/>
      <c r="T90" s="102"/>
      <c r="U90" s="77"/>
      <c r="V90" s="77"/>
      <c r="W90" s="66"/>
      <c r="X90" s="77"/>
      <c r="Y90" s="77"/>
      <c r="Z90" s="104"/>
      <c r="AA90" s="66"/>
      <c r="AB90" s="77"/>
      <c r="AC90" s="82"/>
      <c r="AD90" s="82"/>
      <c r="AE90" s="82"/>
      <c r="AF90" s="82"/>
      <c r="AG90" s="82"/>
      <c r="AH90" s="82"/>
      <c r="AI90" s="84"/>
      <c r="AJ90" s="82"/>
      <c r="AK90" s="84"/>
      <c r="AL90" s="66"/>
    </row>
    <row r="91" spans="7:38" x14ac:dyDescent="0.3">
      <c r="G91" s="66"/>
      <c r="P91" s="66"/>
      <c r="Q91" s="102"/>
      <c r="R91" s="102"/>
      <c r="S91" s="102"/>
      <c r="T91" s="102"/>
      <c r="U91" s="77"/>
      <c r="V91" s="77"/>
      <c r="W91" s="66"/>
      <c r="X91" s="77"/>
      <c r="Y91" s="77"/>
      <c r="Z91" s="104"/>
      <c r="AA91" s="66"/>
      <c r="AB91" s="77"/>
      <c r="AC91" s="82"/>
      <c r="AD91" s="82"/>
      <c r="AE91" s="82"/>
      <c r="AF91" s="82"/>
      <c r="AG91" s="82"/>
      <c r="AH91" s="82"/>
      <c r="AI91" s="84"/>
      <c r="AJ91" s="82"/>
      <c r="AK91" s="84"/>
      <c r="AL91" s="66"/>
    </row>
    <row r="92" spans="7:38" x14ac:dyDescent="0.3">
      <c r="G92" s="66"/>
      <c r="P92" s="66"/>
      <c r="Q92" s="102"/>
      <c r="R92" s="102"/>
      <c r="S92" s="102"/>
      <c r="T92" s="102"/>
      <c r="U92" s="77"/>
      <c r="V92" s="77"/>
      <c r="W92" s="66"/>
      <c r="X92" s="77"/>
      <c r="Y92" s="77"/>
      <c r="Z92" s="104"/>
      <c r="AA92" s="66"/>
      <c r="AB92" s="77"/>
      <c r="AC92" s="82"/>
      <c r="AD92" s="82"/>
      <c r="AE92" s="82"/>
      <c r="AF92" s="82"/>
      <c r="AG92" s="82"/>
      <c r="AH92" s="82"/>
      <c r="AI92" s="84"/>
      <c r="AJ92" s="82"/>
      <c r="AK92" s="84"/>
      <c r="AL92" s="66"/>
    </row>
    <row r="93" spans="7:38" x14ac:dyDescent="0.3">
      <c r="G93" s="66"/>
      <c r="P93" s="66"/>
      <c r="Q93" s="102"/>
      <c r="R93" s="102"/>
      <c r="S93" s="102"/>
      <c r="T93" s="102"/>
      <c r="U93" s="77"/>
      <c r="V93" s="77"/>
      <c r="W93" s="66"/>
      <c r="X93" s="77"/>
      <c r="Y93" s="77"/>
      <c r="Z93" s="104"/>
      <c r="AA93" s="66"/>
      <c r="AB93" s="77"/>
      <c r="AC93" s="82"/>
      <c r="AD93" s="82"/>
      <c r="AE93" s="82"/>
      <c r="AF93" s="82"/>
      <c r="AG93" s="82"/>
      <c r="AH93" s="82"/>
      <c r="AI93" s="84"/>
      <c r="AJ93" s="82"/>
      <c r="AK93" s="84"/>
      <c r="AL93" s="66"/>
    </row>
    <row r="94" spans="7:38" x14ac:dyDescent="0.3">
      <c r="G94" s="66"/>
      <c r="P94" s="66"/>
      <c r="Q94" s="102"/>
      <c r="R94" s="102"/>
      <c r="S94" s="102"/>
      <c r="T94" s="102"/>
      <c r="U94" s="77"/>
      <c r="V94" s="77"/>
      <c r="W94" s="66"/>
      <c r="X94" s="77"/>
      <c r="Y94" s="77"/>
      <c r="Z94" s="104"/>
      <c r="AA94" s="66"/>
      <c r="AB94" s="77"/>
      <c r="AC94" s="82"/>
      <c r="AD94" s="82"/>
      <c r="AE94" s="82"/>
      <c r="AF94" s="82"/>
      <c r="AG94" s="82"/>
      <c r="AH94" s="82"/>
      <c r="AI94" s="84"/>
      <c r="AJ94" s="82"/>
      <c r="AK94" s="84"/>
      <c r="AL94" s="66"/>
    </row>
    <row r="95" spans="7:38" x14ac:dyDescent="0.3">
      <c r="G95" s="66"/>
      <c r="P95" s="66"/>
      <c r="Q95" s="102"/>
      <c r="R95" s="102"/>
      <c r="S95" s="102"/>
      <c r="T95" s="102"/>
      <c r="U95" s="77"/>
      <c r="V95" s="77"/>
      <c r="W95" s="66"/>
      <c r="X95" s="77"/>
      <c r="Y95" s="77"/>
      <c r="Z95" s="104"/>
      <c r="AA95" s="66"/>
      <c r="AB95" s="77"/>
      <c r="AC95" s="82"/>
      <c r="AD95" s="82"/>
      <c r="AE95" s="82"/>
      <c r="AF95" s="82"/>
      <c r="AG95" s="82"/>
      <c r="AH95" s="82"/>
      <c r="AI95" s="84"/>
      <c r="AJ95" s="82"/>
      <c r="AK95" s="84"/>
      <c r="AL95" s="66"/>
    </row>
    <row r="96" spans="7:38" x14ac:dyDescent="0.3">
      <c r="G96" s="66"/>
      <c r="P96" s="66"/>
      <c r="Q96" s="102"/>
      <c r="R96" s="102"/>
      <c r="S96" s="102"/>
      <c r="T96" s="102"/>
      <c r="U96" s="77"/>
      <c r="V96" s="77"/>
      <c r="W96" s="66"/>
      <c r="X96" s="77"/>
      <c r="Y96" s="77"/>
      <c r="Z96" s="104"/>
      <c r="AA96" s="66"/>
      <c r="AB96" s="77"/>
      <c r="AC96" s="82"/>
      <c r="AD96" s="82"/>
      <c r="AE96" s="82"/>
      <c r="AF96" s="82"/>
      <c r="AG96" s="82"/>
      <c r="AH96" s="82"/>
      <c r="AI96" s="84"/>
      <c r="AJ96" s="82"/>
      <c r="AK96" s="84"/>
      <c r="AL96" s="66"/>
    </row>
    <row r="97" spans="1:38" x14ac:dyDescent="0.3">
      <c r="G97" s="66"/>
      <c r="P97" s="66"/>
      <c r="Q97" s="102"/>
      <c r="R97" s="102"/>
      <c r="S97" s="102"/>
      <c r="T97" s="102"/>
      <c r="U97" s="77"/>
      <c r="V97" s="77"/>
      <c r="W97" s="66"/>
      <c r="X97" s="77"/>
      <c r="Y97" s="77"/>
      <c r="Z97" s="104"/>
      <c r="AA97" s="66"/>
      <c r="AB97" s="77"/>
      <c r="AC97" s="82"/>
      <c r="AD97" s="82"/>
      <c r="AE97" s="82"/>
      <c r="AF97" s="82"/>
      <c r="AG97" s="82"/>
      <c r="AH97" s="82"/>
      <c r="AI97" s="84"/>
      <c r="AJ97" s="82"/>
      <c r="AK97" s="84"/>
      <c r="AL97" s="66"/>
    </row>
    <row r="98" spans="1:38" x14ac:dyDescent="0.3">
      <c r="G98" s="66"/>
      <c r="P98" s="66"/>
      <c r="Q98" s="102"/>
      <c r="R98" s="102"/>
      <c r="S98" s="102"/>
      <c r="T98" s="102"/>
      <c r="U98" s="77"/>
      <c r="V98" s="77"/>
      <c r="W98" s="66"/>
      <c r="X98" s="77"/>
      <c r="Y98" s="77"/>
      <c r="Z98" s="104"/>
      <c r="AA98" s="66"/>
      <c r="AB98" s="77"/>
      <c r="AC98" s="82"/>
      <c r="AD98" s="82"/>
      <c r="AE98" s="82"/>
      <c r="AF98" s="82"/>
      <c r="AG98" s="82"/>
      <c r="AH98" s="82"/>
      <c r="AI98" s="84"/>
      <c r="AJ98" s="82"/>
      <c r="AK98" s="84"/>
      <c r="AL98" s="66"/>
    </row>
    <row r="99" spans="1:38" x14ac:dyDescent="0.3">
      <c r="A99" s="43"/>
      <c r="B99" s="43"/>
      <c r="C99" s="43"/>
      <c r="D99" s="43"/>
      <c r="E99" s="43"/>
      <c r="F99" s="43"/>
      <c r="G99" s="66"/>
      <c r="H99" s="96"/>
      <c r="I99" s="96"/>
      <c r="J99" s="96"/>
      <c r="K99" s="96"/>
      <c r="L99" s="96"/>
      <c r="M99" s="97"/>
      <c r="N99" s="107"/>
      <c r="O99" s="108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109"/>
      <c r="AF99" s="109"/>
      <c r="AG99" s="43"/>
      <c r="AH99" s="43"/>
      <c r="AI99" s="60"/>
      <c r="AJ99" s="43"/>
      <c r="AK99" s="43"/>
      <c r="AL99" s="43"/>
    </row>
    <row r="101" spans="1:38" x14ac:dyDescent="0.3">
      <c r="AI101" s="110"/>
    </row>
  </sheetData>
  <sheetProtection algorithmName="SHA-512" hashValue="Qv97o3vPiWXe+tHrRA5PmpRoktQ4gdy6MWd1GRXmrMIizR2Dx4p/Eg5mK0Sx+vFQ1jv2TrxxAU/fZoY24fpABg==" saltValue="eJXrlOCkrEfkLB89iICozw==" spinCount="100000" sheet="1" objects="1" scenarios="1" formatColumns="0" formatRows="0" autoFilter="0"/>
  <mergeCells count="38">
    <mergeCell ref="F6:F7"/>
    <mergeCell ref="Q1:V1"/>
    <mergeCell ref="X1:Z1"/>
    <mergeCell ref="AB1:AK1"/>
    <mergeCell ref="H2:O3"/>
    <mergeCell ref="R2:S2"/>
    <mergeCell ref="T2:U2"/>
    <mergeCell ref="X2:Z2"/>
    <mergeCell ref="R3:S3"/>
    <mergeCell ref="T3:U3"/>
    <mergeCell ref="X3:Y3"/>
    <mergeCell ref="X6:X7"/>
    <mergeCell ref="AB3:AD3"/>
    <mergeCell ref="AE3:AF3"/>
    <mergeCell ref="R4:S4"/>
    <mergeCell ref="T4:U4"/>
    <mergeCell ref="A6:A7"/>
    <mergeCell ref="B6:B7"/>
    <mergeCell ref="C6:C7"/>
    <mergeCell ref="D6:D7"/>
    <mergeCell ref="E6:E7"/>
    <mergeCell ref="N6:N7"/>
    <mergeCell ref="O6:O7"/>
    <mergeCell ref="Q6:R6"/>
    <mergeCell ref="S6:T6"/>
    <mergeCell ref="U6:V6"/>
    <mergeCell ref="AK6:AK7"/>
    <mergeCell ref="Y6:Y7"/>
    <mergeCell ref="Z6:Z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6e0bc9-2597-446d-a9cd-37c2889c4289">
      <Terms xmlns="http://schemas.microsoft.com/office/infopath/2007/PartnerControls"/>
    </lcf76f155ced4ddcb4097134ff3c332f>
    <TaxCatchAll xmlns="6f2ae423-ba33-4d23-be3e-f2a5dfeb2f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38423A74BBD4AAE48C33044AB9817" ma:contentTypeVersion="15" ma:contentTypeDescription="Create a new document." ma:contentTypeScope="" ma:versionID="691f8220b2f47e204372284f0d516c24">
  <xsd:schema xmlns:xsd="http://www.w3.org/2001/XMLSchema" xmlns:xs="http://www.w3.org/2001/XMLSchema" xmlns:p="http://schemas.microsoft.com/office/2006/metadata/properties" xmlns:ns2="376e0bc9-2597-446d-a9cd-37c2889c4289" xmlns:ns3="6f2ae423-ba33-4d23-be3e-f2a5dfeb2fe4" targetNamespace="http://schemas.microsoft.com/office/2006/metadata/properties" ma:root="true" ma:fieldsID="6681421209bb21fc359e1c163153fca4" ns2:_="" ns3:_="">
    <xsd:import namespace="376e0bc9-2597-446d-a9cd-37c2889c4289"/>
    <xsd:import namespace="6f2ae423-ba33-4d23-be3e-f2a5dfeb2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e0bc9-2597-446d-a9cd-37c2889c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e73f336-9c49-41ab-9427-d263034a01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ae423-ba33-4d23-be3e-f2a5dfeb2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cfaabb-f65d-4b56-9e68-85e8c42a3a3b}" ma:internalName="TaxCatchAll" ma:showField="CatchAllData" ma:web="6f2ae423-ba33-4d23-be3e-f2a5dfeb2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AF0987-157C-4517-944F-D0E81711477E}">
  <ds:schemaRefs>
    <ds:schemaRef ds:uri="http://schemas.microsoft.com/office/2006/metadata/properties"/>
    <ds:schemaRef ds:uri="http://purl.org/dc/terms/"/>
    <ds:schemaRef ds:uri="376e0bc9-2597-446d-a9cd-37c2889c428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f2ae423-ba33-4d23-be3e-f2a5dfeb2fe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4601DD-261D-4E52-BB56-57BDF188C7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60AB5F-57DB-42D5-BEC6-A1ED59328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e0bc9-2597-446d-a9cd-37c2889c4289"/>
    <ds:schemaRef ds:uri="6f2ae423-ba33-4d23-be3e-f2a5dfeb2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Stock</vt:lpstr>
      <vt:lpstr>Caretaking</vt:lpstr>
      <vt:lpstr>Cleaning</vt:lpstr>
      <vt:lpstr>Gas</vt:lpstr>
      <vt:lpstr>Electricity</vt:lpstr>
      <vt:lpstr>Electricity usage</vt:lpstr>
      <vt:lpstr>Gas usage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Kulig, Sebastian</dc:creator>
  <cp:lastModifiedBy>Sebastian Kulig</cp:lastModifiedBy>
  <dcterms:created xsi:type="dcterms:W3CDTF">2023-05-03T13:25:14Z</dcterms:created>
  <dcterms:modified xsi:type="dcterms:W3CDTF">2023-05-11T07:57:52Z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0x0101002A138423A74BBD4AAE48C33044AB9817</vt:lpwstr>
  </property>
</Properties>
</file>