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43659\Desktop\"/>
    </mc:Choice>
  </mc:AlternateContent>
  <xr:revisionPtr revIDLastSave="0" documentId="8_{8A9E63A8-F88B-496A-A17D-4142D9EE7AEC}" xr6:coauthVersionLast="47" xr6:coauthVersionMax="47" xr10:uidLastSave="{00000000-0000-0000-0000-000000000000}"/>
  <bookViews>
    <workbookView xWindow="-108" yWindow="-108" windowWidth="30936" windowHeight="12576" tabRatio="599" xr2:uid="{00000000-000D-0000-FFFF-FFFF00000000}"/>
  </bookViews>
  <sheets>
    <sheet name="Tenant Charges 2023-2024" sheetId="56" r:id="rId1"/>
    <sheet name="Electricity" sheetId="75" r:id="rId2"/>
    <sheet name="Gas" sheetId="73" r:id="rId3"/>
    <sheet name="Water" sheetId="76" r:id="rId4"/>
    <sheet name="Cleaning" sheetId="66" r:id="rId5"/>
  </sheets>
  <definedNames>
    <definedName name="_xlnm._FilterDatabase" localSheetId="1" hidden="1">Electricity!$A$6:$AM$491</definedName>
    <definedName name="_xlnm._FilterDatabase" localSheetId="2" hidden="1">Gas!$A$6:$AL$70</definedName>
    <definedName name="_xlnm._FilterDatabase" localSheetId="0" hidden="1">'Tenant Charges 2023-2024'!$A$5:$DA$870</definedName>
    <definedName name="_xlnm._FilterDatabase" localSheetId="3" hidden="1">Water!$A$6:$BJ$200</definedName>
    <definedName name="_xlnm.Print_Area" localSheetId="4">Cleaning!#REF!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E491" i="75" l="1"/>
  <c r="AD491" i="75"/>
  <c r="Z491" i="75"/>
  <c r="AA491" i="75" s="1"/>
  <c r="V491" i="75"/>
  <c r="U491" i="75"/>
  <c r="N491" i="75" a="1"/>
  <c r="N491" i="75" s="1"/>
  <c r="AE490" i="75"/>
  <c r="AD490" i="75"/>
  <c r="Z490" i="75"/>
  <c r="AA490" i="75" s="1"/>
  <c r="V490" i="75"/>
  <c r="U490" i="75"/>
  <c r="AF490" i="75" s="1"/>
  <c r="N490" i="75" a="1"/>
  <c r="N490" i="75" s="1"/>
  <c r="AE489" i="75"/>
  <c r="AD489" i="75"/>
  <c r="AA489" i="75"/>
  <c r="Z489" i="75"/>
  <c r="V489" i="75"/>
  <c r="AG489" i="75" s="1"/>
  <c r="U489" i="75"/>
  <c r="AF489" i="75" s="1"/>
  <c r="N489" i="75"/>
  <c r="N489" i="75" a="1"/>
  <c r="AE487" i="75"/>
  <c r="AD487" i="75"/>
  <c r="Z487" i="75"/>
  <c r="V487" i="75"/>
  <c r="U487" i="75"/>
  <c r="N487" i="75" a="1"/>
  <c r="N487" i="75" s="1"/>
  <c r="AE486" i="75"/>
  <c r="AD486" i="75"/>
  <c r="AA486" i="75"/>
  <c r="AG486" i="75" s="1"/>
  <c r="V486" i="75"/>
  <c r="U486" i="75"/>
  <c r="AF486" i="75" s="1"/>
  <c r="N486" i="75" a="1"/>
  <c r="N486" i="75" s="1"/>
  <c r="AE485" i="75"/>
  <c r="AD485" i="75"/>
  <c r="AA485" i="75"/>
  <c r="Z485" i="75"/>
  <c r="V485" i="75"/>
  <c r="U485" i="75"/>
  <c r="AF485" i="75" s="1"/>
  <c r="N485" i="75"/>
  <c r="N485" i="75" a="1"/>
  <c r="AE484" i="75"/>
  <c r="AD484" i="75"/>
  <c r="Z484" i="75"/>
  <c r="AA484" i="75" s="1"/>
  <c r="V484" i="75"/>
  <c r="U484" i="75"/>
  <c r="N484" i="75" a="1"/>
  <c r="N484" i="75" s="1"/>
  <c r="AE483" i="75"/>
  <c r="AD483" i="75"/>
  <c r="AA483" i="75"/>
  <c r="Z483" i="75"/>
  <c r="V483" i="75"/>
  <c r="U483" i="75"/>
  <c r="N483" i="75"/>
  <c r="N483" i="75" a="1"/>
  <c r="AE482" i="75"/>
  <c r="AD482" i="75"/>
  <c r="Z482" i="75"/>
  <c r="AA482" i="75" s="1"/>
  <c r="V482" i="75"/>
  <c r="U482" i="75"/>
  <c r="N482" i="75" a="1"/>
  <c r="N482" i="75" s="1"/>
  <c r="AE481" i="75"/>
  <c r="AD481" i="75"/>
  <c r="AA481" i="75"/>
  <c r="Z481" i="75"/>
  <c r="V481" i="75"/>
  <c r="U481" i="75"/>
  <c r="AF481" i="75" s="1"/>
  <c r="N481" i="75"/>
  <c r="N481" i="75" a="1"/>
  <c r="AE480" i="75"/>
  <c r="AD480" i="75"/>
  <c r="Z480" i="75"/>
  <c r="AA480" i="75" s="1"/>
  <c r="V480" i="75"/>
  <c r="U480" i="75"/>
  <c r="N480" i="75" a="1"/>
  <c r="N480" i="75" s="1"/>
  <c r="AE479" i="75"/>
  <c r="AD479" i="75"/>
  <c r="AA479" i="75"/>
  <c r="Z479" i="75"/>
  <c r="V479" i="75"/>
  <c r="U479" i="75"/>
  <c r="N479" i="75"/>
  <c r="N479" i="75" a="1"/>
  <c r="AE478" i="75"/>
  <c r="AD478" i="75"/>
  <c r="Z478" i="75"/>
  <c r="AA478" i="75" s="1"/>
  <c r="V478" i="75"/>
  <c r="U478" i="75"/>
  <c r="N478" i="75" a="1"/>
  <c r="N478" i="75" s="1"/>
  <c r="AE477" i="75"/>
  <c r="AD477" i="75"/>
  <c r="Z477" i="75"/>
  <c r="AA477" i="75" s="1"/>
  <c r="AG477" i="75" s="1"/>
  <c r="V477" i="75"/>
  <c r="U477" i="75"/>
  <c r="N477" i="75" a="1"/>
  <c r="N477" i="75" s="1"/>
  <c r="AE476" i="75"/>
  <c r="AD476" i="75"/>
  <c r="Z476" i="75"/>
  <c r="V476" i="75"/>
  <c r="U476" i="75"/>
  <c r="N476" i="75" a="1"/>
  <c r="N476" i="75" s="1"/>
  <c r="AE475" i="75"/>
  <c r="AD475" i="75"/>
  <c r="AA475" i="75"/>
  <c r="Z475" i="75"/>
  <c r="V475" i="75"/>
  <c r="U475" i="75"/>
  <c r="AF475" i="75" s="1"/>
  <c r="N475" i="75"/>
  <c r="N475" i="75" a="1"/>
  <c r="AE474" i="75"/>
  <c r="AD474" i="75"/>
  <c r="Z474" i="75"/>
  <c r="AA474" i="75" s="1"/>
  <c r="V474" i="75"/>
  <c r="U474" i="75"/>
  <c r="N474" i="75" a="1"/>
  <c r="N474" i="75" s="1"/>
  <c r="AE473" i="75"/>
  <c r="AD473" i="75"/>
  <c r="Z473" i="75"/>
  <c r="AA473" i="75" s="1"/>
  <c r="AG473" i="75" s="1"/>
  <c r="V473" i="75"/>
  <c r="U473" i="75"/>
  <c r="N473" i="75" a="1"/>
  <c r="N473" i="75" s="1"/>
  <c r="AE472" i="75"/>
  <c r="AD472" i="75"/>
  <c r="Z472" i="75"/>
  <c r="V472" i="75"/>
  <c r="U472" i="75"/>
  <c r="N472" i="75" a="1"/>
  <c r="N472" i="75" s="1"/>
  <c r="AE471" i="75"/>
  <c r="AD471" i="75"/>
  <c r="AA471" i="75"/>
  <c r="Z471" i="75"/>
  <c r="V471" i="75"/>
  <c r="AG471" i="75" s="1"/>
  <c r="U471" i="75"/>
  <c r="AF471" i="75" s="1"/>
  <c r="N471" i="75"/>
  <c r="N471" i="75" a="1"/>
  <c r="AE470" i="75"/>
  <c r="AD470" i="75"/>
  <c r="Z470" i="75"/>
  <c r="AA470" i="75" s="1"/>
  <c r="V470" i="75"/>
  <c r="U470" i="75"/>
  <c r="AF470" i="75" s="1"/>
  <c r="N470" i="75" a="1"/>
  <c r="N470" i="75" s="1"/>
  <c r="AE469" i="75"/>
  <c r="AD469" i="75"/>
  <c r="AA469" i="75"/>
  <c r="AG469" i="75" s="1"/>
  <c r="Z469" i="75"/>
  <c r="V469" i="75"/>
  <c r="U469" i="75"/>
  <c r="N469" i="75"/>
  <c r="N469" i="75" a="1"/>
  <c r="AF468" i="75"/>
  <c r="AE468" i="75"/>
  <c r="AD468" i="75"/>
  <c r="AA468" i="75"/>
  <c r="V468" i="75"/>
  <c r="U468" i="75"/>
  <c r="N468" i="75"/>
  <c r="N468" i="75" a="1"/>
  <c r="AE467" i="75"/>
  <c r="AD467" i="75"/>
  <c r="Z467" i="75"/>
  <c r="AA467" i="75" s="1"/>
  <c r="V467" i="75"/>
  <c r="U467" i="75"/>
  <c r="N467" i="75" a="1"/>
  <c r="N467" i="75" s="1"/>
  <c r="AE466" i="75"/>
  <c r="AD466" i="75"/>
  <c r="AA466" i="75"/>
  <c r="AG466" i="75" s="1"/>
  <c r="V466" i="75"/>
  <c r="U466" i="75"/>
  <c r="AF466" i="75" s="1"/>
  <c r="N466" i="75" a="1"/>
  <c r="N466" i="75" s="1"/>
  <c r="AE465" i="75"/>
  <c r="AD465" i="75"/>
  <c r="AA465" i="75"/>
  <c r="AG465" i="75" s="1"/>
  <c r="V465" i="75"/>
  <c r="U465" i="75"/>
  <c r="AF465" i="75" s="1"/>
  <c r="N465" i="75" a="1"/>
  <c r="N465" i="75" s="1"/>
  <c r="AE464" i="75"/>
  <c r="AD464" i="75"/>
  <c r="AA464" i="75"/>
  <c r="Z464" i="75"/>
  <c r="V464" i="75"/>
  <c r="U464" i="75"/>
  <c r="AF464" i="75" s="1"/>
  <c r="N464" i="75"/>
  <c r="N464" i="75" a="1"/>
  <c r="AF463" i="75"/>
  <c r="AE463" i="75"/>
  <c r="AD463" i="75"/>
  <c r="Z463" i="75"/>
  <c r="AA463" i="75" s="1"/>
  <c r="V463" i="75"/>
  <c r="U463" i="75"/>
  <c r="N463" i="75" a="1"/>
  <c r="N463" i="75" s="1"/>
  <c r="AE462" i="75"/>
  <c r="AD462" i="75"/>
  <c r="AA462" i="75"/>
  <c r="Z462" i="75"/>
  <c r="V462" i="75"/>
  <c r="U462" i="75"/>
  <c r="N462" i="75"/>
  <c r="N462" i="75" a="1"/>
  <c r="AE461" i="75"/>
  <c r="AD461" i="75"/>
  <c r="Z461" i="75"/>
  <c r="AA461" i="75" s="1"/>
  <c r="V461" i="75"/>
  <c r="U461" i="75"/>
  <c r="N461" i="75" a="1"/>
  <c r="N461" i="75" s="1"/>
  <c r="AE460" i="75"/>
  <c r="AD460" i="75"/>
  <c r="Z460" i="75"/>
  <c r="AA460" i="75" s="1"/>
  <c r="AG460" i="75" s="1"/>
  <c r="V460" i="75"/>
  <c r="U460" i="75"/>
  <c r="N460" i="75" a="1"/>
  <c r="N460" i="75" s="1"/>
  <c r="AE459" i="75"/>
  <c r="AD459" i="75"/>
  <c r="Z459" i="75"/>
  <c r="AA459" i="75" s="1"/>
  <c r="V459" i="75"/>
  <c r="U459" i="75"/>
  <c r="N459" i="75" a="1"/>
  <c r="N459" i="75" s="1"/>
  <c r="AE457" i="75"/>
  <c r="AD457" i="75"/>
  <c r="AA457" i="75"/>
  <c r="AG457" i="75" s="1"/>
  <c r="V457" i="75"/>
  <c r="U457" i="75"/>
  <c r="AF457" i="75" s="1"/>
  <c r="N457" i="75" a="1"/>
  <c r="N457" i="75" s="1"/>
  <c r="AE454" i="75"/>
  <c r="AD454" i="75"/>
  <c r="AA454" i="75"/>
  <c r="AG454" i="75" s="1"/>
  <c r="Z454" i="75"/>
  <c r="V454" i="75"/>
  <c r="U454" i="75"/>
  <c r="N454" i="75"/>
  <c r="N454" i="75" a="1"/>
  <c r="AF453" i="75"/>
  <c r="AE453" i="75"/>
  <c r="AD453" i="75"/>
  <c r="AA453" i="75"/>
  <c r="V453" i="75"/>
  <c r="U453" i="75"/>
  <c r="N453" i="75"/>
  <c r="N453" i="75" a="1"/>
  <c r="AF452" i="75"/>
  <c r="AE452" i="75"/>
  <c r="AD452" i="75"/>
  <c r="AA452" i="75"/>
  <c r="V452" i="75"/>
  <c r="U452" i="75"/>
  <c r="N452" i="75"/>
  <c r="N452" i="75" a="1"/>
  <c r="AE451" i="75"/>
  <c r="AD451" i="75"/>
  <c r="Z451" i="75"/>
  <c r="AA451" i="75" s="1"/>
  <c r="AG451" i="75" s="1"/>
  <c r="V451" i="75"/>
  <c r="U451" i="75"/>
  <c r="N451" i="75" a="1"/>
  <c r="N451" i="75" s="1"/>
  <c r="AE450" i="75"/>
  <c r="AD450" i="75"/>
  <c r="AA450" i="75"/>
  <c r="Z450" i="75"/>
  <c r="V450" i="75"/>
  <c r="AG450" i="75" s="1"/>
  <c r="U450" i="75"/>
  <c r="N450" i="75"/>
  <c r="N450" i="75" a="1"/>
  <c r="AE449" i="75"/>
  <c r="AD449" i="75"/>
  <c r="Z449" i="75"/>
  <c r="AA449" i="75" s="1"/>
  <c r="V449" i="75"/>
  <c r="U449" i="75"/>
  <c r="AF449" i="75" s="1"/>
  <c r="N449" i="75" a="1"/>
  <c r="N449" i="75" s="1"/>
  <c r="AE448" i="75"/>
  <c r="AD448" i="75"/>
  <c r="AA448" i="75"/>
  <c r="AG448" i="75" s="1"/>
  <c r="Z448" i="75"/>
  <c r="V448" i="75"/>
  <c r="U448" i="75"/>
  <c r="AF448" i="75" s="1"/>
  <c r="N448" i="75"/>
  <c r="N448" i="75" a="1"/>
  <c r="AE447" i="75"/>
  <c r="AD447" i="75"/>
  <c r="AA447" i="75"/>
  <c r="V447" i="75"/>
  <c r="U447" i="75"/>
  <c r="AF447" i="75" s="1"/>
  <c r="N447" i="75"/>
  <c r="N447" i="75" a="1"/>
  <c r="AE446" i="75"/>
  <c r="AD446" i="75"/>
  <c r="Z446" i="75"/>
  <c r="AA446" i="75" s="1"/>
  <c r="V446" i="75"/>
  <c r="U446" i="75"/>
  <c r="N446" i="75" a="1"/>
  <c r="N446" i="75" s="1"/>
  <c r="AE445" i="75"/>
  <c r="AD445" i="75"/>
  <c r="AA445" i="75"/>
  <c r="AG445" i="75" s="1"/>
  <c r="Z445" i="75"/>
  <c r="V445" i="75"/>
  <c r="U445" i="75"/>
  <c r="N445" i="75"/>
  <c r="N445" i="75" a="1"/>
  <c r="AE444" i="75"/>
  <c r="AD444" i="75"/>
  <c r="Z444" i="75"/>
  <c r="V444" i="75"/>
  <c r="U444" i="75"/>
  <c r="N444" i="75" a="1"/>
  <c r="N444" i="75" s="1"/>
  <c r="AE443" i="75"/>
  <c r="AD443" i="75"/>
  <c r="AA443" i="75"/>
  <c r="Z443" i="75"/>
  <c r="V443" i="75"/>
  <c r="AG443" i="75" s="1"/>
  <c r="U443" i="75"/>
  <c r="N443" i="75"/>
  <c r="N443" i="75" a="1"/>
  <c r="AE442" i="75"/>
  <c r="AD442" i="75"/>
  <c r="Z442" i="75"/>
  <c r="AA442" i="75" s="1"/>
  <c r="V442" i="75"/>
  <c r="U442" i="75"/>
  <c r="AF442" i="75" s="1"/>
  <c r="N442" i="75" a="1"/>
  <c r="N442" i="75" s="1"/>
  <c r="AE441" i="75"/>
  <c r="AD441" i="75"/>
  <c r="AA441" i="75"/>
  <c r="AG441" i="75" s="1"/>
  <c r="Z441" i="75"/>
  <c r="V441" i="75"/>
  <c r="U441" i="75"/>
  <c r="N441" i="75"/>
  <c r="N441" i="75" a="1"/>
  <c r="AE440" i="75"/>
  <c r="AD440" i="75"/>
  <c r="Z440" i="75"/>
  <c r="AA440" i="75" s="1"/>
  <c r="AG440" i="75" s="1"/>
  <c r="V440" i="75"/>
  <c r="U440" i="75"/>
  <c r="N440" i="75" a="1"/>
  <c r="N440" i="75" s="1"/>
  <c r="AE439" i="75"/>
  <c r="AD439" i="75"/>
  <c r="Z439" i="75"/>
  <c r="AA439" i="75" s="1"/>
  <c r="V439" i="75"/>
  <c r="U439" i="75"/>
  <c r="N439" i="75" a="1"/>
  <c r="N439" i="75" s="1"/>
  <c r="AE438" i="75"/>
  <c r="AD438" i="75"/>
  <c r="Z438" i="75"/>
  <c r="AA438" i="75" s="1"/>
  <c r="V438" i="75"/>
  <c r="U438" i="75"/>
  <c r="AF438" i="75" s="1"/>
  <c r="N438" i="75" a="1"/>
  <c r="N438" i="75" s="1"/>
  <c r="AE437" i="75"/>
  <c r="AD437" i="75"/>
  <c r="AA437" i="75"/>
  <c r="AG437" i="75" s="1"/>
  <c r="Z437" i="75"/>
  <c r="V437" i="75"/>
  <c r="U437" i="75"/>
  <c r="AF437" i="75" s="1"/>
  <c r="N437" i="75"/>
  <c r="N437" i="75" a="1"/>
  <c r="AE436" i="75"/>
  <c r="AD436" i="75"/>
  <c r="Z436" i="75"/>
  <c r="AA436" i="75" s="1"/>
  <c r="AG436" i="75" s="1"/>
  <c r="V436" i="75"/>
  <c r="U436" i="75"/>
  <c r="N436" i="75" a="1"/>
  <c r="N436" i="75" s="1"/>
  <c r="AE435" i="75"/>
  <c r="AD435" i="75"/>
  <c r="Z435" i="75"/>
  <c r="AA435" i="75" s="1"/>
  <c r="V435" i="75"/>
  <c r="U435" i="75"/>
  <c r="N435" i="75" a="1"/>
  <c r="N435" i="75" s="1"/>
  <c r="AE434" i="75"/>
  <c r="AD434" i="75"/>
  <c r="Z434" i="75"/>
  <c r="AA434" i="75" s="1"/>
  <c r="V434" i="75"/>
  <c r="U434" i="75"/>
  <c r="AF434" i="75" s="1"/>
  <c r="N434" i="75" a="1"/>
  <c r="N434" i="75" s="1"/>
  <c r="AE433" i="75"/>
  <c r="AD433" i="75"/>
  <c r="AA433" i="75"/>
  <c r="AG433" i="75" s="1"/>
  <c r="Z433" i="75"/>
  <c r="V433" i="75"/>
  <c r="U433" i="75"/>
  <c r="AF433" i="75" s="1"/>
  <c r="N433" i="75"/>
  <c r="N433" i="75" a="1"/>
  <c r="AE432" i="75"/>
  <c r="AD432" i="75"/>
  <c r="Z432" i="75"/>
  <c r="V432" i="75"/>
  <c r="U432" i="75"/>
  <c r="N432" i="75" a="1"/>
  <c r="N432" i="75" s="1"/>
  <c r="AE431" i="75"/>
  <c r="AD431" i="75"/>
  <c r="Z431" i="75"/>
  <c r="AA431" i="75" s="1"/>
  <c r="V431" i="75"/>
  <c r="U431" i="75"/>
  <c r="N431" i="75" a="1"/>
  <c r="N431" i="75" s="1"/>
  <c r="AE430" i="75"/>
  <c r="AD430" i="75"/>
  <c r="Z430" i="75"/>
  <c r="AA430" i="75" s="1"/>
  <c r="AG430" i="75" s="1"/>
  <c r="V430" i="75"/>
  <c r="U430" i="75"/>
  <c r="N430" i="75" a="1"/>
  <c r="N430" i="75" s="1"/>
  <c r="AE429" i="75"/>
  <c r="AD429" i="75"/>
  <c r="AA429" i="75"/>
  <c r="V429" i="75"/>
  <c r="AG429" i="75" s="1"/>
  <c r="U429" i="75"/>
  <c r="AF429" i="75" s="1"/>
  <c r="N429" i="75" a="1"/>
  <c r="N429" i="75" s="1"/>
  <c r="AE428" i="75"/>
  <c r="AD428" i="75"/>
  <c r="AA428" i="75"/>
  <c r="Z428" i="75"/>
  <c r="V428" i="75"/>
  <c r="U428" i="75"/>
  <c r="AF428" i="75" s="1"/>
  <c r="N428" i="75"/>
  <c r="N428" i="75" a="1"/>
  <c r="AE427" i="75"/>
  <c r="AD427" i="75"/>
  <c r="Z427" i="75"/>
  <c r="AA427" i="75" s="1"/>
  <c r="V427" i="75"/>
  <c r="U427" i="75"/>
  <c r="AF427" i="75" s="1"/>
  <c r="N427" i="75" a="1"/>
  <c r="N427" i="75" s="1"/>
  <c r="AE426" i="75"/>
  <c r="AD426" i="75"/>
  <c r="AA426" i="75"/>
  <c r="Z426" i="75"/>
  <c r="V426" i="75"/>
  <c r="U426" i="75"/>
  <c r="N426" i="75"/>
  <c r="N426" i="75" a="1"/>
  <c r="AE425" i="75"/>
  <c r="AD425" i="75"/>
  <c r="Z425" i="75"/>
  <c r="AA425" i="75" s="1"/>
  <c r="V425" i="75"/>
  <c r="U425" i="75"/>
  <c r="N425" i="75" a="1"/>
  <c r="N425" i="75" s="1"/>
  <c r="AE424" i="75"/>
  <c r="AD424" i="75"/>
  <c r="Z424" i="75"/>
  <c r="AA424" i="75" s="1"/>
  <c r="AG424" i="75" s="1"/>
  <c r="V424" i="75"/>
  <c r="U424" i="75"/>
  <c r="N424" i="75" a="1"/>
  <c r="N424" i="75" s="1"/>
  <c r="AE423" i="75"/>
  <c r="AD423" i="75"/>
  <c r="Z423" i="75"/>
  <c r="AA423" i="75" s="1"/>
  <c r="V423" i="75"/>
  <c r="U423" i="75"/>
  <c r="N423" i="75" a="1"/>
  <c r="N423" i="75" s="1"/>
  <c r="AE422" i="75"/>
  <c r="AD422" i="75"/>
  <c r="AA422" i="75"/>
  <c r="AG422" i="75" s="1"/>
  <c r="Z422" i="75"/>
  <c r="V422" i="75"/>
  <c r="U422" i="75"/>
  <c r="AF422" i="75" s="1"/>
  <c r="N422" i="75"/>
  <c r="N422" i="75" a="1"/>
  <c r="AE421" i="75"/>
  <c r="AD421" i="75"/>
  <c r="Z421" i="75"/>
  <c r="AA421" i="75" s="1"/>
  <c r="AG421" i="75" s="1"/>
  <c r="V421" i="75"/>
  <c r="U421" i="75"/>
  <c r="AF421" i="75" s="1"/>
  <c r="N421" i="75" a="1"/>
  <c r="N421" i="75" s="1"/>
  <c r="AE420" i="75"/>
  <c r="AD420" i="75"/>
  <c r="Z420" i="75"/>
  <c r="AA420" i="75" s="1"/>
  <c r="AG420" i="75" s="1"/>
  <c r="V420" i="75"/>
  <c r="U420" i="75"/>
  <c r="N420" i="75" a="1"/>
  <c r="N420" i="75" s="1"/>
  <c r="AE419" i="75"/>
  <c r="AD419" i="75"/>
  <c r="Z419" i="75"/>
  <c r="V419" i="75"/>
  <c r="U419" i="75"/>
  <c r="N419" i="75" a="1"/>
  <c r="N419" i="75" s="1"/>
  <c r="AE418" i="75"/>
  <c r="AD418" i="75"/>
  <c r="AA418" i="75"/>
  <c r="AG418" i="75" s="1"/>
  <c r="Z418" i="75"/>
  <c r="V418" i="75"/>
  <c r="U418" i="75"/>
  <c r="N418" i="75"/>
  <c r="N418" i="75" a="1"/>
  <c r="AF417" i="75"/>
  <c r="AE417" i="75"/>
  <c r="AD417" i="75"/>
  <c r="AA417" i="75"/>
  <c r="V417" i="75"/>
  <c r="U417" i="75"/>
  <c r="N417" i="75"/>
  <c r="N417" i="75" a="1"/>
  <c r="AE416" i="75"/>
  <c r="AD416" i="75"/>
  <c r="AA416" i="75"/>
  <c r="V416" i="75"/>
  <c r="U416" i="75"/>
  <c r="AF416" i="75" s="1"/>
  <c r="N416" i="75"/>
  <c r="N416" i="75" a="1"/>
  <c r="AF415" i="75"/>
  <c r="AE415" i="75"/>
  <c r="AD415" i="75"/>
  <c r="AJ415" i="75" s="1"/>
  <c r="AA415" i="75"/>
  <c r="AG415" i="75" s="1"/>
  <c r="V415" i="75"/>
  <c r="U415" i="75"/>
  <c r="N415" i="75" a="1"/>
  <c r="N415" i="75" s="1"/>
  <c r="AF414" i="75"/>
  <c r="AE414" i="75"/>
  <c r="AD414" i="75"/>
  <c r="AA414" i="75"/>
  <c r="V414" i="75"/>
  <c r="U414" i="75"/>
  <c r="N414" i="75" a="1"/>
  <c r="N414" i="75" s="1"/>
  <c r="AE413" i="75"/>
  <c r="AD413" i="75"/>
  <c r="Z413" i="75"/>
  <c r="AA413" i="75" s="1"/>
  <c r="V413" i="75"/>
  <c r="U413" i="75"/>
  <c r="AF413" i="75" s="1"/>
  <c r="N413" i="75" a="1"/>
  <c r="N413" i="75" s="1"/>
  <c r="AE412" i="75"/>
  <c r="AD412" i="75"/>
  <c r="Z412" i="75"/>
  <c r="AA412" i="75" s="1"/>
  <c r="V412" i="75"/>
  <c r="U412" i="75"/>
  <c r="N412" i="75" a="1"/>
  <c r="N412" i="75" s="1"/>
  <c r="AF411" i="75"/>
  <c r="AE411" i="75"/>
  <c r="AD411" i="75"/>
  <c r="AA411" i="75"/>
  <c r="V411" i="75"/>
  <c r="U411" i="75"/>
  <c r="N411" i="75" a="1"/>
  <c r="N411" i="75" s="1"/>
  <c r="AF410" i="75"/>
  <c r="AE410" i="75"/>
  <c r="AD410" i="75"/>
  <c r="AA410" i="75"/>
  <c r="V410" i="75"/>
  <c r="U410" i="75"/>
  <c r="N410" i="75" a="1"/>
  <c r="N410" i="75" s="1"/>
  <c r="AE409" i="75"/>
  <c r="AD409" i="75"/>
  <c r="Z409" i="75"/>
  <c r="AA409" i="75" s="1"/>
  <c r="V409" i="75"/>
  <c r="U409" i="75"/>
  <c r="N409" i="75" a="1"/>
  <c r="N409" i="75" s="1"/>
  <c r="AE408" i="75"/>
  <c r="AD408" i="75"/>
  <c r="AA408" i="75"/>
  <c r="AG408" i="75" s="1"/>
  <c r="V408" i="75"/>
  <c r="U408" i="75"/>
  <c r="AF408" i="75" s="1"/>
  <c r="N408" i="75" a="1"/>
  <c r="N408" i="75" s="1"/>
  <c r="AF407" i="75"/>
  <c r="AE407" i="75"/>
  <c r="AD407" i="75"/>
  <c r="AA407" i="75"/>
  <c r="V407" i="75"/>
  <c r="U407" i="75"/>
  <c r="N407" i="75" a="1"/>
  <c r="N407" i="75" s="1"/>
  <c r="AE406" i="75"/>
  <c r="AD406" i="75"/>
  <c r="AA406" i="75"/>
  <c r="V406" i="75"/>
  <c r="U406" i="75"/>
  <c r="AF406" i="75" s="1"/>
  <c r="N406" i="75" a="1"/>
  <c r="N406" i="75" s="1"/>
  <c r="AE405" i="75"/>
  <c r="AD405" i="75"/>
  <c r="AA405" i="75"/>
  <c r="V405" i="75"/>
  <c r="U405" i="75"/>
  <c r="AF405" i="75" s="1"/>
  <c r="N405" i="75" a="1"/>
  <c r="N405" i="75" s="1"/>
  <c r="AE404" i="75"/>
  <c r="AD404" i="75"/>
  <c r="AA404" i="75"/>
  <c r="AG404" i="75" s="1"/>
  <c r="V404" i="75"/>
  <c r="U404" i="75"/>
  <c r="AF404" i="75" s="1"/>
  <c r="N404" i="75" a="1"/>
  <c r="N404" i="75" s="1"/>
  <c r="AF403" i="75"/>
  <c r="AE403" i="75"/>
  <c r="AD403" i="75"/>
  <c r="AA403" i="75"/>
  <c r="V403" i="75"/>
  <c r="U403" i="75"/>
  <c r="N403" i="75" a="1"/>
  <c r="N403" i="75" s="1"/>
  <c r="AE402" i="75"/>
  <c r="AD402" i="75"/>
  <c r="AA402" i="75"/>
  <c r="V402" i="75"/>
  <c r="AG402" i="75" s="1"/>
  <c r="U402" i="75"/>
  <c r="AF402" i="75" s="1"/>
  <c r="N402" i="75"/>
  <c r="N402" i="75" a="1"/>
  <c r="AE401" i="75"/>
  <c r="AD401" i="75"/>
  <c r="AA401" i="75"/>
  <c r="AG401" i="75" s="1"/>
  <c r="V401" i="75"/>
  <c r="U401" i="75"/>
  <c r="AF401" i="75" s="1"/>
  <c r="N401" i="75" a="1"/>
  <c r="N401" i="75" s="1"/>
  <c r="AE400" i="75"/>
  <c r="AD400" i="75"/>
  <c r="AA400" i="75"/>
  <c r="Z400" i="75"/>
  <c r="V400" i="75"/>
  <c r="U400" i="75"/>
  <c r="AF400" i="75" s="1"/>
  <c r="N400" i="75"/>
  <c r="N400" i="75" a="1"/>
  <c r="AE399" i="75"/>
  <c r="AD399" i="75"/>
  <c r="Z399" i="75"/>
  <c r="V399" i="75"/>
  <c r="U399" i="75"/>
  <c r="N399" i="75" a="1"/>
  <c r="N399" i="75" s="1"/>
  <c r="AF398" i="75"/>
  <c r="AE398" i="75"/>
  <c r="AD398" i="75"/>
  <c r="AA398" i="75"/>
  <c r="V398" i="75"/>
  <c r="U398" i="75"/>
  <c r="N398" i="75" a="1"/>
  <c r="N398" i="75" s="1"/>
  <c r="AE397" i="75"/>
  <c r="AD397" i="75"/>
  <c r="AA397" i="75"/>
  <c r="V397" i="75"/>
  <c r="AG397" i="75" s="1"/>
  <c r="U397" i="75"/>
  <c r="AF397" i="75" s="1"/>
  <c r="N397" i="75"/>
  <c r="N397" i="75" a="1"/>
  <c r="AE396" i="75"/>
  <c r="AD396" i="75"/>
  <c r="AA396" i="75"/>
  <c r="AG396" i="75" s="1"/>
  <c r="V396" i="75"/>
  <c r="U396" i="75"/>
  <c r="AF396" i="75" s="1"/>
  <c r="N396" i="75" a="1"/>
  <c r="N396" i="75" s="1"/>
  <c r="AE395" i="75"/>
  <c r="AD395" i="75"/>
  <c r="AA395" i="75"/>
  <c r="AG395" i="75" s="1"/>
  <c r="V395" i="75"/>
  <c r="U395" i="75"/>
  <c r="AF395" i="75" s="1"/>
  <c r="N395" i="75" a="1"/>
  <c r="N395" i="75" s="1"/>
  <c r="AF394" i="75"/>
  <c r="AE394" i="75"/>
  <c r="AD394" i="75"/>
  <c r="AA394" i="75"/>
  <c r="V394" i="75"/>
  <c r="AG394" i="75" s="1"/>
  <c r="U394" i="75"/>
  <c r="N394" i="75" a="1"/>
  <c r="N394" i="75" s="1"/>
  <c r="AE393" i="75"/>
  <c r="AD393" i="75"/>
  <c r="AA393" i="75"/>
  <c r="V393" i="75"/>
  <c r="AG393" i="75" s="1"/>
  <c r="U393" i="75"/>
  <c r="AF393" i="75" s="1"/>
  <c r="N393" i="75"/>
  <c r="N393" i="75" a="1"/>
  <c r="AE392" i="75"/>
  <c r="AD392" i="75"/>
  <c r="AA392" i="75"/>
  <c r="AG392" i="75" s="1"/>
  <c r="V392" i="75"/>
  <c r="U392" i="75"/>
  <c r="AF392" i="75" s="1"/>
  <c r="N392" i="75" a="1"/>
  <c r="N392" i="75" s="1"/>
  <c r="AE391" i="75"/>
  <c r="AD391" i="75"/>
  <c r="AA391" i="75"/>
  <c r="V391" i="75"/>
  <c r="U391" i="75"/>
  <c r="AF391" i="75" s="1"/>
  <c r="N391" i="75" a="1"/>
  <c r="N391" i="75" s="1"/>
  <c r="AE390" i="75"/>
  <c r="AD390" i="75"/>
  <c r="AA390" i="75"/>
  <c r="V390" i="75"/>
  <c r="U390" i="75"/>
  <c r="AF390" i="75" s="1"/>
  <c r="N390" i="75" a="1"/>
  <c r="N390" i="75" s="1"/>
  <c r="AE389" i="75"/>
  <c r="AD389" i="75"/>
  <c r="AA389" i="75"/>
  <c r="V389" i="75"/>
  <c r="AG389" i="75" s="1"/>
  <c r="U389" i="75"/>
  <c r="AF389" i="75" s="1"/>
  <c r="N389" i="75"/>
  <c r="N389" i="75" a="1"/>
  <c r="AE388" i="75"/>
  <c r="AD388" i="75"/>
  <c r="AA388" i="75"/>
  <c r="AG388" i="75" s="1"/>
  <c r="V388" i="75"/>
  <c r="U388" i="75"/>
  <c r="AF388" i="75" s="1"/>
  <c r="N388" i="75" a="1"/>
  <c r="N388" i="75" s="1"/>
  <c r="AE387" i="75"/>
  <c r="AD387" i="75"/>
  <c r="AA387" i="75"/>
  <c r="AG387" i="75" s="1"/>
  <c r="V387" i="75"/>
  <c r="U387" i="75"/>
  <c r="AF387" i="75" s="1"/>
  <c r="N387" i="75" a="1"/>
  <c r="N387" i="75" s="1"/>
  <c r="AF386" i="75"/>
  <c r="AE386" i="75"/>
  <c r="AD386" i="75"/>
  <c r="AA386" i="75"/>
  <c r="V386" i="75"/>
  <c r="U386" i="75"/>
  <c r="N386" i="75" a="1"/>
  <c r="N386" i="75" s="1"/>
  <c r="AG385" i="75"/>
  <c r="AE385" i="75"/>
  <c r="AD385" i="75"/>
  <c r="Z385" i="75"/>
  <c r="AA385" i="75" s="1"/>
  <c r="V385" i="75"/>
  <c r="U385" i="75"/>
  <c r="N385" i="75" a="1"/>
  <c r="N385" i="75" s="1"/>
  <c r="AE384" i="75"/>
  <c r="AD384" i="75"/>
  <c r="Z384" i="75"/>
  <c r="AA384" i="75" s="1"/>
  <c r="AG384" i="75" s="1"/>
  <c r="V384" i="75"/>
  <c r="U384" i="75"/>
  <c r="N384" i="75" a="1"/>
  <c r="N384" i="75" s="1"/>
  <c r="AE383" i="75"/>
  <c r="AD383" i="75"/>
  <c r="Z383" i="75"/>
  <c r="V383" i="75"/>
  <c r="U383" i="75"/>
  <c r="N383" i="75" a="1"/>
  <c r="N383" i="75" s="1"/>
  <c r="AE382" i="75"/>
  <c r="AD382" i="75"/>
  <c r="Z382" i="75"/>
  <c r="AA382" i="75" s="1"/>
  <c r="V382" i="75"/>
  <c r="U382" i="75"/>
  <c r="N382" i="75" a="1"/>
  <c r="N382" i="75" s="1"/>
  <c r="AE381" i="75"/>
  <c r="AD381" i="75"/>
  <c r="AA381" i="75"/>
  <c r="AG381" i="75" s="1"/>
  <c r="V381" i="75"/>
  <c r="U381" i="75"/>
  <c r="AF381" i="75" s="1"/>
  <c r="N381" i="75" a="1"/>
  <c r="N381" i="75" s="1"/>
  <c r="AF380" i="75"/>
  <c r="AE380" i="75"/>
  <c r="AD380" i="75"/>
  <c r="AA380" i="75"/>
  <c r="V380" i="75"/>
  <c r="U380" i="75"/>
  <c r="N380" i="75" a="1"/>
  <c r="N380" i="75" s="1"/>
  <c r="AE379" i="75"/>
  <c r="AD379" i="75"/>
  <c r="AA379" i="75"/>
  <c r="V379" i="75"/>
  <c r="AG379" i="75" s="1"/>
  <c r="U379" i="75"/>
  <c r="AF379" i="75" s="1"/>
  <c r="N379" i="75"/>
  <c r="N379" i="75" a="1"/>
  <c r="AE378" i="75"/>
  <c r="AD378" i="75"/>
  <c r="AA378" i="75"/>
  <c r="V378" i="75"/>
  <c r="AG378" i="75" s="1"/>
  <c r="U378" i="75"/>
  <c r="AF378" i="75" s="1"/>
  <c r="N378" i="75"/>
  <c r="N378" i="75" a="1"/>
  <c r="AE377" i="75"/>
  <c r="AD377" i="75"/>
  <c r="AA377" i="75"/>
  <c r="V377" i="75"/>
  <c r="AG377" i="75" s="1"/>
  <c r="U377" i="75"/>
  <c r="AF377" i="75" s="1"/>
  <c r="N377" i="75"/>
  <c r="N377" i="75" a="1"/>
  <c r="AF376" i="75"/>
  <c r="AE376" i="75"/>
  <c r="AD376" i="75"/>
  <c r="AA376" i="75"/>
  <c r="V376" i="75"/>
  <c r="AG376" i="75" s="1"/>
  <c r="U376" i="75"/>
  <c r="N376" i="75" a="1"/>
  <c r="N376" i="75" s="1"/>
  <c r="AF375" i="75"/>
  <c r="AE375" i="75"/>
  <c r="AD375" i="75"/>
  <c r="AA375" i="75"/>
  <c r="V375" i="75"/>
  <c r="U375" i="75"/>
  <c r="N375" i="75" a="1"/>
  <c r="N375" i="75" s="1"/>
  <c r="AF374" i="75"/>
  <c r="AE374" i="75"/>
  <c r="AD374" i="75"/>
  <c r="AA374" i="75"/>
  <c r="V374" i="75"/>
  <c r="AG374" i="75" s="1"/>
  <c r="U374" i="75"/>
  <c r="N374" i="75" a="1"/>
  <c r="N374" i="75" s="1"/>
  <c r="AF373" i="75"/>
  <c r="AE373" i="75"/>
  <c r="AD373" i="75"/>
  <c r="AA373" i="75"/>
  <c r="V373" i="75"/>
  <c r="U373" i="75"/>
  <c r="N373" i="75" a="1"/>
  <c r="N373" i="75" s="1"/>
  <c r="AF372" i="75"/>
  <c r="AE372" i="75"/>
  <c r="AD372" i="75"/>
  <c r="AA372" i="75"/>
  <c r="V372" i="75"/>
  <c r="AG372" i="75" s="1"/>
  <c r="U372" i="75"/>
  <c r="N372" i="75" a="1"/>
  <c r="N372" i="75" s="1"/>
  <c r="AF371" i="75"/>
  <c r="AE371" i="75"/>
  <c r="AD371" i="75"/>
  <c r="AA371" i="75"/>
  <c r="V371" i="75"/>
  <c r="U371" i="75"/>
  <c r="N371" i="75" a="1"/>
  <c r="N371" i="75" s="1"/>
  <c r="AF370" i="75"/>
  <c r="AE370" i="75"/>
  <c r="AD370" i="75"/>
  <c r="AA370" i="75"/>
  <c r="V370" i="75"/>
  <c r="AG370" i="75" s="1"/>
  <c r="U370" i="75"/>
  <c r="N370" i="75" a="1"/>
  <c r="N370" i="75" s="1"/>
  <c r="AF369" i="75"/>
  <c r="AE369" i="75"/>
  <c r="AD369" i="75"/>
  <c r="AA369" i="75"/>
  <c r="V369" i="75"/>
  <c r="U369" i="75"/>
  <c r="N369" i="75" a="1"/>
  <c r="N369" i="75" s="1"/>
  <c r="AF368" i="75"/>
  <c r="AE368" i="75"/>
  <c r="AD368" i="75"/>
  <c r="AA368" i="75"/>
  <c r="V368" i="75"/>
  <c r="U368" i="75"/>
  <c r="N368" i="75" a="1"/>
  <c r="N368" i="75" s="1"/>
  <c r="AF367" i="75"/>
  <c r="AE367" i="75"/>
  <c r="AD367" i="75"/>
  <c r="AA367" i="75"/>
  <c r="V367" i="75"/>
  <c r="U367" i="75"/>
  <c r="N367" i="75" a="1"/>
  <c r="N367" i="75" s="1"/>
  <c r="AF366" i="75"/>
  <c r="AE366" i="75"/>
  <c r="AD366" i="75"/>
  <c r="AA366" i="75"/>
  <c r="AG366" i="75" s="1"/>
  <c r="V366" i="75"/>
  <c r="U366" i="75"/>
  <c r="N366" i="75" a="1"/>
  <c r="N366" i="75" s="1"/>
  <c r="AF365" i="75"/>
  <c r="AE365" i="75"/>
  <c r="AD365" i="75"/>
  <c r="AA365" i="75"/>
  <c r="V365" i="75"/>
  <c r="U365" i="75"/>
  <c r="N365" i="75" a="1"/>
  <c r="N365" i="75" s="1"/>
  <c r="AF364" i="75"/>
  <c r="AE364" i="75"/>
  <c r="AD364" i="75"/>
  <c r="AA364" i="75"/>
  <c r="AG364" i="75" s="1"/>
  <c r="V364" i="75"/>
  <c r="U364" i="75"/>
  <c r="N364" i="75" a="1"/>
  <c r="N364" i="75" s="1"/>
  <c r="AF363" i="75"/>
  <c r="AE363" i="75"/>
  <c r="AD363" i="75"/>
  <c r="AA363" i="75"/>
  <c r="V363" i="75"/>
  <c r="U363" i="75"/>
  <c r="N363" i="75" a="1"/>
  <c r="N363" i="75" s="1"/>
  <c r="AF362" i="75"/>
  <c r="AE362" i="75"/>
  <c r="AD362" i="75"/>
  <c r="AA362" i="75"/>
  <c r="AG362" i="75" s="1"/>
  <c r="V362" i="75"/>
  <c r="U362" i="75"/>
  <c r="N362" i="75" a="1"/>
  <c r="N362" i="75" s="1"/>
  <c r="AF361" i="75"/>
  <c r="AE361" i="75"/>
  <c r="AD361" i="75"/>
  <c r="AA361" i="75"/>
  <c r="V361" i="75"/>
  <c r="U361" i="75"/>
  <c r="N361" i="75" a="1"/>
  <c r="N361" i="75" s="1"/>
  <c r="AF360" i="75"/>
  <c r="AE360" i="75"/>
  <c r="AD360" i="75"/>
  <c r="AA360" i="75"/>
  <c r="AG360" i="75" s="1"/>
  <c r="AJ360" i="75" s="1"/>
  <c r="V360" i="75"/>
  <c r="U360" i="75"/>
  <c r="N360" i="75" a="1"/>
  <c r="N360" i="75" s="1"/>
  <c r="AF359" i="75"/>
  <c r="AE359" i="75"/>
  <c r="AD359" i="75"/>
  <c r="AA359" i="75"/>
  <c r="V359" i="75"/>
  <c r="U359" i="75"/>
  <c r="N359" i="75" a="1"/>
  <c r="N359" i="75" s="1"/>
  <c r="AF358" i="75"/>
  <c r="AE358" i="75"/>
  <c r="AD358" i="75"/>
  <c r="AA358" i="75"/>
  <c r="AG358" i="75" s="1"/>
  <c r="V358" i="75"/>
  <c r="U358" i="75"/>
  <c r="N358" i="75" a="1"/>
  <c r="N358" i="75" s="1"/>
  <c r="AF357" i="75"/>
  <c r="AE357" i="75"/>
  <c r="AD357" i="75"/>
  <c r="AA357" i="75"/>
  <c r="V357" i="75"/>
  <c r="U357" i="75"/>
  <c r="N357" i="75" a="1"/>
  <c r="N357" i="75" s="1"/>
  <c r="AE356" i="75"/>
  <c r="AD356" i="75"/>
  <c r="Z356" i="75"/>
  <c r="AA356" i="75" s="1"/>
  <c r="AG356" i="75" s="1"/>
  <c r="V356" i="75"/>
  <c r="U356" i="75"/>
  <c r="N356" i="75" a="1"/>
  <c r="N356" i="75" s="1"/>
  <c r="AF355" i="75"/>
  <c r="AE355" i="75"/>
  <c r="AD355" i="75"/>
  <c r="AA355" i="75"/>
  <c r="AG355" i="75" s="1"/>
  <c r="V355" i="75"/>
  <c r="U355" i="75"/>
  <c r="N355" i="75" a="1"/>
  <c r="N355" i="75" s="1"/>
  <c r="AE354" i="75"/>
  <c r="AD354" i="75"/>
  <c r="AA354" i="75"/>
  <c r="V354" i="75"/>
  <c r="U354" i="75"/>
  <c r="AF354" i="75" s="1"/>
  <c r="N354" i="75"/>
  <c r="N354" i="75" a="1"/>
  <c r="AE353" i="75"/>
  <c r="AD353" i="75"/>
  <c r="AA353" i="75"/>
  <c r="V353" i="75"/>
  <c r="U353" i="75"/>
  <c r="AF353" i="75" s="1"/>
  <c r="N353" i="75" a="1"/>
  <c r="N353" i="75" s="1"/>
  <c r="AE352" i="75"/>
  <c r="AD352" i="75"/>
  <c r="AA352" i="75"/>
  <c r="Z352" i="75"/>
  <c r="V352" i="75"/>
  <c r="U352" i="75"/>
  <c r="AF352" i="75" s="1"/>
  <c r="N352" i="75"/>
  <c r="N352" i="75" a="1"/>
  <c r="AE351" i="75"/>
  <c r="AD351" i="75"/>
  <c r="AA351" i="75"/>
  <c r="AG351" i="75" s="1"/>
  <c r="Z351" i="75"/>
  <c r="V351" i="75"/>
  <c r="U351" i="75"/>
  <c r="AF351" i="75" s="1"/>
  <c r="N351" i="75"/>
  <c r="N351" i="75" a="1"/>
  <c r="AE350" i="75"/>
  <c r="AD350" i="75"/>
  <c r="AA350" i="75"/>
  <c r="AG350" i="75" s="1"/>
  <c r="V350" i="75"/>
  <c r="U350" i="75"/>
  <c r="AF350" i="75" s="1"/>
  <c r="N350" i="75" a="1"/>
  <c r="N350" i="75" s="1"/>
  <c r="AE349" i="75"/>
  <c r="AD349" i="75"/>
  <c r="AA349" i="75"/>
  <c r="AG349" i="75" s="1"/>
  <c r="V349" i="75"/>
  <c r="U349" i="75"/>
  <c r="AF349" i="75" s="1"/>
  <c r="N349" i="75" a="1"/>
  <c r="N349" i="75" s="1"/>
  <c r="AE348" i="75"/>
  <c r="AD348" i="75"/>
  <c r="AA348" i="75"/>
  <c r="AG348" i="75" s="1"/>
  <c r="V348" i="75"/>
  <c r="U348" i="75"/>
  <c r="AF348" i="75" s="1"/>
  <c r="N348" i="75" a="1"/>
  <c r="N348" i="75" s="1"/>
  <c r="AE347" i="75"/>
  <c r="AD347" i="75"/>
  <c r="AA347" i="75"/>
  <c r="Z347" i="75"/>
  <c r="V347" i="75"/>
  <c r="U347" i="75"/>
  <c r="N347" i="75"/>
  <c r="N347" i="75" a="1"/>
  <c r="AE346" i="75"/>
  <c r="AD346" i="75"/>
  <c r="AA346" i="75"/>
  <c r="V346" i="75"/>
  <c r="U346" i="75"/>
  <c r="AF346" i="75" s="1"/>
  <c r="N346" i="75" a="1"/>
  <c r="N346" i="75" s="1"/>
  <c r="AE345" i="75"/>
  <c r="AD345" i="75"/>
  <c r="AA345" i="75"/>
  <c r="V345" i="75"/>
  <c r="U345" i="75"/>
  <c r="AF345" i="75" s="1"/>
  <c r="N345" i="75"/>
  <c r="N345" i="75" a="1"/>
  <c r="AE344" i="75"/>
  <c r="AD344" i="75"/>
  <c r="AA344" i="75"/>
  <c r="V344" i="75"/>
  <c r="U344" i="75"/>
  <c r="AF344" i="75" s="1"/>
  <c r="N344" i="75" a="1"/>
  <c r="N344" i="75" s="1"/>
  <c r="AE343" i="75"/>
  <c r="AD343" i="75"/>
  <c r="AJ343" i="75" s="1"/>
  <c r="AA343" i="75"/>
  <c r="V343" i="75"/>
  <c r="AG343" i="75" s="1"/>
  <c r="U343" i="75"/>
  <c r="AF343" i="75" s="1"/>
  <c r="N343" i="75"/>
  <c r="N343" i="75" a="1"/>
  <c r="AE342" i="75"/>
  <c r="AD342" i="75"/>
  <c r="Z342" i="75"/>
  <c r="AA342" i="75" s="1"/>
  <c r="AG342" i="75" s="1"/>
  <c r="V342" i="75"/>
  <c r="U342" i="75"/>
  <c r="N342" i="75" a="1"/>
  <c r="N342" i="75" s="1"/>
  <c r="AE341" i="75"/>
  <c r="AD341" i="75"/>
  <c r="AA341" i="75"/>
  <c r="Z341" i="75"/>
  <c r="V341" i="75"/>
  <c r="U341" i="75"/>
  <c r="N341" i="75"/>
  <c r="N341" i="75" a="1"/>
  <c r="AF340" i="75"/>
  <c r="AE340" i="75"/>
  <c r="AD340" i="75"/>
  <c r="AA340" i="75"/>
  <c r="V340" i="75"/>
  <c r="AG340" i="75" s="1"/>
  <c r="U340" i="75"/>
  <c r="N340" i="75"/>
  <c r="N340" i="75" a="1"/>
  <c r="AF339" i="75"/>
  <c r="AE339" i="75"/>
  <c r="AD339" i="75"/>
  <c r="AA339" i="75"/>
  <c r="V339" i="75"/>
  <c r="AG339" i="75" s="1"/>
  <c r="U339" i="75"/>
  <c r="N339" i="75"/>
  <c r="N339" i="75" a="1"/>
  <c r="AE338" i="75"/>
  <c r="AD338" i="75"/>
  <c r="Z338" i="75"/>
  <c r="AA338" i="75" s="1"/>
  <c r="V338" i="75"/>
  <c r="U338" i="75"/>
  <c r="N338" i="75" a="1"/>
  <c r="N338" i="75" s="1"/>
  <c r="AE337" i="75"/>
  <c r="AD337" i="75"/>
  <c r="AA337" i="75"/>
  <c r="AG337" i="75" s="1"/>
  <c r="V337" i="75"/>
  <c r="U337" i="75"/>
  <c r="AF337" i="75" s="1"/>
  <c r="N337" i="75" a="1"/>
  <c r="N337" i="75" s="1"/>
  <c r="AE336" i="75"/>
  <c r="AD336" i="75"/>
  <c r="AA336" i="75"/>
  <c r="V336" i="75"/>
  <c r="AG336" i="75" s="1"/>
  <c r="U336" i="75"/>
  <c r="AF336" i="75" s="1"/>
  <c r="N336" i="75" a="1"/>
  <c r="N336" i="75" s="1"/>
  <c r="AE335" i="75"/>
  <c r="AD335" i="75"/>
  <c r="AA335" i="75"/>
  <c r="V335" i="75"/>
  <c r="U335" i="75"/>
  <c r="AF335" i="75" s="1"/>
  <c r="N335" i="75" a="1"/>
  <c r="N335" i="75" s="1"/>
  <c r="AE334" i="75"/>
  <c r="AD334" i="75"/>
  <c r="Z334" i="75"/>
  <c r="V334" i="75"/>
  <c r="U334" i="75"/>
  <c r="N334" i="75" a="1"/>
  <c r="N334" i="75" s="1"/>
  <c r="AE333" i="75"/>
  <c r="AD333" i="75"/>
  <c r="Z333" i="75"/>
  <c r="AA333" i="75" s="1"/>
  <c r="V333" i="75"/>
  <c r="U333" i="75"/>
  <c r="N333" i="75" a="1"/>
  <c r="N333" i="75" s="1"/>
  <c r="AE332" i="75"/>
  <c r="AD332" i="75"/>
  <c r="AA332" i="75"/>
  <c r="V332" i="75"/>
  <c r="U332" i="75"/>
  <c r="AF332" i="75" s="1"/>
  <c r="N332" i="75" a="1"/>
  <c r="N332" i="75" s="1"/>
  <c r="AE331" i="75"/>
  <c r="AD331" i="75"/>
  <c r="AA331" i="75"/>
  <c r="V331" i="75"/>
  <c r="U331" i="75"/>
  <c r="AF331" i="75" s="1"/>
  <c r="N331" i="75" a="1"/>
  <c r="N331" i="75" s="1"/>
  <c r="AE330" i="75"/>
  <c r="AD330" i="75"/>
  <c r="AA330" i="75"/>
  <c r="V330" i="75"/>
  <c r="U330" i="75"/>
  <c r="AF330" i="75" s="1"/>
  <c r="N330" i="75" a="1"/>
  <c r="N330" i="75" s="1"/>
  <c r="AE329" i="75"/>
  <c r="AD329" i="75"/>
  <c r="AA329" i="75"/>
  <c r="V329" i="75"/>
  <c r="AG329" i="75" s="1"/>
  <c r="U329" i="75"/>
  <c r="AF329" i="75" s="1"/>
  <c r="N329" i="75" a="1"/>
  <c r="N329" i="75" s="1"/>
  <c r="AE328" i="75"/>
  <c r="AD328" i="75"/>
  <c r="AA328" i="75"/>
  <c r="Z328" i="75"/>
  <c r="V328" i="75"/>
  <c r="U328" i="75"/>
  <c r="AF328" i="75" s="1"/>
  <c r="N328" i="75"/>
  <c r="N328" i="75" a="1"/>
  <c r="AF327" i="75"/>
  <c r="AE327" i="75"/>
  <c r="AD327" i="75"/>
  <c r="AJ327" i="75" s="1"/>
  <c r="AA327" i="75"/>
  <c r="V327" i="75"/>
  <c r="AG327" i="75" s="1"/>
  <c r="U327" i="75"/>
  <c r="N327" i="75"/>
  <c r="N327" i="75" a="1"/>
  <c r="AF326" i="75"/>
  <c r="AE326" i="75"/>
  <c r="AD326" i="75"/>
  <c r="Z326" i="75"/>
  <c r="AA326" i="75" s="1"/>
  <c r="V326" i="75"/>
  <c r="AG326" i="75" s="1"/>
  <c r="U326" i="75"/>
  <c r="N326" i="75" a="1"/>
  <c r="N326" i="75" s="1"/>
  <c r="AE325" i="75"/>
  <c r="AD325" i="75"/>
  <c r="AA325" i="75"/>
  <c r="V325" i="75"/>
  <c r="U325" i="75"/>
  <c r="AF325" i="75" s="1"/>
  <c r="N325" i="75" a="1"/>
  <c r="N325" i="75" s="1"/>
  <c r="AE324" i="75"/>
  <c r="AD324" i="75"/>
  <c r="AA324" i="75"/>
  <c r="V324" i="75"/>
  <c r="U324" i="75"/>
  <c r="AF324" i="75" s="1"/>
  <c r="N324" i="75" a="1"/>
  <c r="N324" i="75" s="1"/>
  <c r="AE323" i="75"/>
  <c r="AD323" i="75"/>
  <c r="AA323" i="75"/>
  <c r="V323" i="75"/>
  <c r="U323" i="75"/>
  <c r="AF323" i="75" s="1"/>
  <c r="N323" i="75" a="1"/>
  <c r="N323" i="75" s="1"/>
  <c r="AE322" i="75"/>
  <c r="AD322" i="75"/>
  <c r="AA322" i="75"/>
  <c r="V322" i="75"/>
  <c r="U322" i="75"/>
  <c r="AF322" i="75" s="1"/>
  <c r="N322" i="75" a="1"/>
  <c r="N322" i="75" s="1"/>
  <c r="AE321" i="75"/>
  <c r="AD321" i="75"/>
  <c r="AA321" i="75"/>
  <c r="V321" i="75"/>
  <c r="U321" i="75"/>
  <c r="AF321" i="75" s="1"/>
  <c r="N321" i="75" a="1"/>
  <c r="N321" i="75" s="1"/>
  <c r="AE320" i="75"/>
  <c r="AD320" i="75"/>
  <c r="Z320" i="75"/>
  <c r="V320" i="75"/>
  <c r="U320" i="75"/>
  <c r="N320" i="75" a="1"/>
  <c r="N320" i="75" s="1"/>
  <c r="AE319" i="75"/>
  <c r="AD319" i="75"/>
  <c r="AA319" i="75"/>
  <c r="V319" i="75"/>
  <c r="U319" i="75"/>
  <c r="AF319" i="75" s="1"/>
  <c r="N319" i="75" a="1"/>
  <c r="N319" i="75" s="1"/>
  <c r="AE318" i="75"/>
  <c r="AD318" i="75"/>
  <c r="Z318" i="75"/>
  <c r="AA318" i="75" s="1"/>
  <c r="AG318" i="75" s="1"/>
  <c r="V318" i="75"/>
  <c r="U318" i="75"/>
  <c r="N318" i="75" a="1"/>
  <c r="N318" i="75" s="1"/>
  <c r="AE317" i="75"/>
  <c r="AD317" i="75"/>
  <c r="AA317" i="75"/>
  <c r="Z317" i="75"/>
  <c r="V317" i="75"/>
  <c r="U317" i="75"/>
  <c r="N317" i="75"/>
  <c r="N317" i="75" a="1"/>
  <c r="AF316" i="75"/>
  <c r="AE316" i="75"/>
  <c r="AD316" i="75"/>
  <c r="Z316" i="75"/>
  <c r="AA316" i="75" s="1"/>
  <c r="V316" i="75"/>
  <c r="AG316" i="75" s="1"/>
  <c r="U316" i="75"/>
  <c r="N316" i="75" a="1"/>
  <c r="N316" i="75" s="1"/>
  <c r="AE315" i="75"/>
  <c r="AD315" i="75"/>
  <c r="Z315" i="75"/>
  <c r="AA315" i="75" s="1"/>
  <c r="V315" i="75"/>
  <c r="U315" i="75"/>
  <c r="AF315" i="75" s="1"/>
  <c r="N315" i="75" a="1"/>
  <c r="N315" i="75" s="1"/>
  <c r="AE314" i="75"/>
  <c r="AD314" i="75"/>
  <c r="Z314" i="75"/>
  <c r="AA314" i="75" s="1"/>
  <c r="AG314" i="75" s="1"/>
  <c r="V314" i="75"/>
  <c r="U314" i="75"/>
  <c r="N314" i="75" a="1"/>
  <c r="N314" i="75" s="1"/>
  <c r="AE313" i="75"/>
  <c r="AD313" i="75"/>
  <c r="AA313" i="75"/>
  <c r="Z313" i="75"/>
  <c r="V313" i="75"/>
  <c r="AG313" i="75" s="1"/>
  <c r="U313" i="75"/>
  <c r="N313" i="75"/>
  <c r="N313" i="75" a="1"/>
  <c r="AE312" i="75"/>
  <c r="AD312" i="75"/>
  <c r="AA312" i="75"/>
  <c r="V312" i="75"/>
  <c r="U312" i="75"/>
  <c r="AF312" i="75" s="1"/>
  <c r="N312" i="75" a="1"/>
  <c r="N312" i="75" s="1"/>
  <c r="AE311" i="75"/>
  <c r="AD311" i="75"/>
  <c r="Z311" i="75"/>
  <c r="AA311" i="75" s="1"/>
  <c r="AG311" i="75" s="1"/>
  <c r="V311" i="75"/>
  <c r="U311" i="75"/>
  <c r="N311" i="75" a="1"/>
  <c r="N311" i="75" s="1"/>
  <c r="AE310" i="75"/>
  <c r="AD310" i="75"/>
  <c r="Z310" i="75"/>
  <c r="V310" i="75"/>
  <c r="U310" i="75"/>
  <c r="N310" i="75" a="1"/>
  <c r="N310" i="75" s="1"/>
  <c r="AE309" i="75"/>
  <c r="AD309" i="75"/>
  <c r="AA309" i="75"/>
  <c r="V309" i="75"/>
  <c r="AG309" i="75" s="1"/>
  <c r="U309" i="75"/>
  <c r="AF309" i="75" s="1"/>
  <c r="N309" i="75"/>
  <c r="N309" i="75" a="1"/>
  <c r="AF308" i="75"/>
  <c r="AE308" i="75"/>
  <c r="AD308" i="75"/>
  <c r="AA308" i="75"/>
  <c r="V308" i="75"/>
  <c r="U308" i="75"/>
  <c r="N308" i="75" a="1"/>
  <c r="N308" i="75" s="1"/>
  <c r="AE307" i="75"/>
  <c r="AD307" i="75"/>
  <c r="Z307" i="75"/>
  <c r="AA307" i="75" s="1"/>
  <c r="V307" i="75"/>
  <c r="U307" i="75"/>
  <c r="N307" i="75" a="1"/>
  <c r="N307" i="75" s="1"/>
  <c r="AE306" i="75"/>
  <c r="AD306" i="75"/>
  <c r="AA306" i="75"/>
  <c r="V306" i="75"/>
  <c r="U306" i="75"/>
  <c r="AF306" i="75" s="1"/>
  <c r="N306" i="75"/>
  <c r="N306" i="75" a="1"/>
  <c r="AE305" i="75"/>
  <c r="AD305" i="75"/>
  <c r="AA305" i="75"/>
  <c r="Z305" i="75"/>
  <c r="V305" i="75"/>
  <c r="U305" i="75"/>
  <c r="N305" i="75"/>
  <c r="N305" i="75" a="1"/>
  <c r="AE304" i="75"/>
  <c r="AD304" i="75"/>
  <c r="AA304" i="75"/>
  <c r="V304" i="75"/>
  <c r="U304" i="75"/>
  <c r="AF304" i="75" s="1"/>
  <c r="N304" i="75" a="1"/>
  <c r="N304" i="75" s="1"/>
  <c r="AE303" i="75"/>
  <c r="AD303" i="75"/>
  <c r="AA303" i="75"/>
  <c r="AG303" i="75" s="1"/>
  <c r="V303" i="75"/>
  <c r="U303" i="75"/>
  <c r="AF303" i="75" s="1"/>
  <c r="N303" i="75" a="1"/>
  <c r="N303" i="75" s="1"/>
  <c r="AE302" i="75"/>
  <c r="AD302" i="75"/>
  <c r="AA302" i="75"/>
  <c r="V302" i="75"/>
  <c r="U302" i="75"/>
  <c r="AF302" i="75" s="1"/>
  <c r="N302" i="75" a="1"/>
  <c r="N302" i="75" s="1"/>
  <c r="AE301" i="75"/>
  <c r="AD301" i="75"/>
  <c r="Z301" i="75"/>
  <c r="AA301" i="75" s="1"/>
  <c r="AG301" i="75" s="1"/>
  <c r="V301" i="75"/>
  <c r="U301" i="75"/>
  <c r="AF301" i="75" s="1"/>
  <c r="N301" i="75" a="1"/>
  <c r="N301" i="75" s="1"/>
  <c r="AE300" i="75"/>
  <c r="AD300" i="75"/>
  <c r="Z300" i="75"/>
  <c r="AA300" i="75" s="1"/>
  <c r="V300" i="75"/>
  <c r="U300" i="75"/>
  <c r="N300" i="75" a="1"/>
  <c r="N300" i="75" s="1"/>
  <c r="AE299" i="75"/>
  <c r="AD299" i="75"/>
  <c r="Z299" i="75"/>
  <c r="AA299" i="75" s="1"/>
  <c r="V299" i="75"/>
  <c r="U299" i="75"/>
  <c r="N299" i="75" a="1"/>
  <c r="N299" i="75" s="1"/>
  <c r="AE298" i="75"/>
  <c r="AD298" i="75"/>
  <c r="AA298" i="75"/>
  <c r="AG298" i="75" s="1"/>
  <c r="Z298" i="75"/>
  <c r="V298" i="75"/>
  <c r="U298" i="75"/>
  <c r="N298" i="75"/>
  <c r="N298" i="75" a="1"/>
  <c r="AE297" i="75"/>
  <c r="AD297" i="75"/>
  <c r="AA297" i="75"/>
  <c r="AG297" i="75" s="1"/>
  <c r="Z297" i="75"/>
  <c r="AF297" i="75" s="1"/>
  <c r="V297" i="75"/>
  <c r="U297" i="75"/>
  <c r="N297" i="75"/>
  <c r="N297" i="75" a="1"/>
  <c r="AE296" i="75"/>
  <c r="AD296" i="75"/>
  <c r="AA296" i="75"/>
  <c r="Z296" i="75"/>
  <c r="AF296" i="75" s="1"/>
  <c r="V296" i="75"/>
  <c r="U296" i="75"/>
  <c r="N296" i="75"/>
  <c r="N296" i="75" a="1"/>
  <c r="AE295" i="75"/>
  <c r="AD295" i="75"/>
  <c r="Z295" i="75"/>
  <c r="V295" i="75"/>
  <c r="U295" i="75"/>
  <c r="N295" i="75" a="1"/>
  <c r="N295" i="75" s="1"/>
  <c r="AE294" i="75"/>
  <c r="AD294" i="75"/>
  <c r="AA294" i="75"/>
  <c r="Z294" i="75"/>
  <c r="V294" i="75"/>
  <c r="U294" i="75"/>
  <c r="AF294" i="75" s="1"/>
  <c r="N294" i="75"/>
  <c r="N294" i="75" a="1"/>
  <c r="AF293" i="75"/>
  <c r="AE293" i="75"/>
  <c r="AD293" i="75"/>
  <c r="AA293" i="75"/>
  <c r="V293" i="75"/>
  <c r="AG293" i="75" s="1"/>
  <c r="U293" i="75"/>
  <c r="N293" i="75"/>
  <c r="N293" i="75" a="1"/>
  <c r="AE292" i="75"/>
  <c r="AD292" i="75"/>
  <c r="AA292" i="75"/>
  <c r="V292" i="75"/>
  <c r="U292" i="75"/>
  <c r="AF292" i="75" s="1"/>
  <c r="N292" i="75" a="1"/>
  <c r="N292" i="75" s="1"/>
  <c r="AE291" i="75"/>
  <c r="AD291" i="75"/>
  <c r="AA291" i="75"/>
  <c r="AG291" i="75" s="1"/>
  <c r="V291" i="75"/>
  <c r="U291" i="75"/>
  <c r="AF291" i="75" s="1"/>
  <c r="N291" i="75" a="1"/>
  <c r="N291" i="75" s="1"/>
  <c r="AE290" i="75"/>
  <c r="AD290" i="75"/>
  <c r="AA290" i="75"/>
  <c r="V290" i="75"/>
  <c r="U290" i="75"/>
  <c r="AF290" i="75" s="1"/>
  <c r="N290" i="75" a="1"/>
  <c r="N290" i="75" s="1"/>
  <c r="AE289" i="75"/>
  <c r="AD289" i="75"/>
  <c r="Z289" i="75"/>
  <c r="AA289" i="75" s="1"/>
  <c r="AG289" i="75" s="1"/>
  <c r="V289" i="75"/>
  <c r="U289" i="75"/>
  <c r="AF289" i="75" s="1"/>
  <c r="N289" i="75" a="1"/>
  <c r="N289" i="75" s="1"/>
  <c r="AE288" i="75"/>
  <c r="AD288" i="75"/>
  <c r="AA288" i="75"/>
  <c r="V288" i="75"/>
  <c r="U288" i="75"/>
  <c r="AF288" i="75" s="1"/>
  <c r="N288" i="75" a="1"/>
  <c r="N288" i="75" s="1"/>
  <c r="AE287" i="75"/>
  <c r="AD287" i="75"/>
  <c r="AA287" i="75"/>
  <c r="V287" i="75"/>
  <c r="AG287" i="75" s="1"/>
  <c r="U287" i="75"/>
  <c r="AF287" i="75" s="1"/>
  <c r="N287" i="75"/>
  <c r="N287" i="75" a="1"/>
  <c r="AF286" i="75"/>
  <c r="AE286" i="75"/>
  <c r="AD286" i="75"/>
  <c r="AA286" i="75"/>
  <c r="V286" i="75"/>
  <c r="U286" i="75"/>
  <c r="N286" i="75" a="1"/>
  <c r="N286" i="75" s="1"/>
  <c r="AE285" i="75"/>
  <c r="AD285" i="75"/>
  <c r="AA285" i="75"/>
  <c r="V285" i="75"/>
  <c r="U285" i="75"/>
  <c r="AF285" i="75" s="1"/>
  <c r="N285" i="75" a="1"/>
  <c r="N285" i="75" s="1"/>
  <c r="AE284" i="75"/>
  <c r="AD284" i="75"/>
  <c r="AA284" i="75"/>
  <c r="AG284" i="75" s="1"/>
  <c r="V284" i="75"/>
  <c r="U284" i="75"/>
  <c r="AF284" i="75" s="1"/>
  <c r="N284" i="75" a="1"/>
  <c r="N284" i="75" s="1"/>
  <c r="AE283" i="75"/>
  <c r="AD283" i="75"/>
  <c r="AA283" i="75"/>
  <c r="AG283" i="75" s="1"/>
  <c r="V283" i="75"/>
  <c r="U283" i="75"/>
  <c r="AF283" i="75" s="1"/>
  <c r="N283" i="75" a="1"/>
  <c r="N283" i="75" s="1"/>
  <c r="AE282" i="75"/>
  <c r="AD282" i="75"/>
  <c r="AA282" i="75"/>
  <c r="V282" i="75"/>
  <c r="U282" i="75"/>
  <c r="AF282" i="75" s="1"/>
  <c r="N282" i="75" a="1"/>
  <c r="N282" i="75" s="1"/>
  <c r="AE281" i="75"/>
  <c r="AD281" i="75"/>
  <c r="AA281" i="75"/>
  <c r="V281" i="75"/>
  <c r="U281" i="75"/>
  <c r="AF281" i="75" s="1"/>
  <c r="N281" i="75"/>
  <c r="N281" i="75" a="1"/>
  <c r="AF280" i="75"/>
  <c r="AE280" i="75"/>
  <c r="AD280" i="75"/>
  <c r="AA280" i="75"/>
  <c r="V280" i="75"/>
  <c r="AG280" i="75" s="1"/>
  <c r="U280" i="75"/>
  <c r="N280" i="75" a="1"/>
  <c r="N280" i="75" s="1"/>
  <c r="AE279" i="75"/>
  <c r="AD279" i="75"/>
  <c r="AA279" i="75"/>
  <c r="V279" i="75"/>
  <c r="AG279" i="75" s="1"/>
  <c r="U279" i="75"/>
  <c r="AF279" i="75" s="1"/>
  <c r="N279" i="75" a="1"/>
  <c r="N279" i="75" s="1"/>
  <c r="AE278" i="75"/>
  <c r="AD278" i="75"/>
  <c r="AA278" i="75"/>
  <c r="AG278" i="75" s="1"/>
  <c r="V278" i="75"/>
  <c r="U278" i="75"/>
  <c r="AF278" i="75" s="1"/>
  <c r="N278" i="75" a="1"/>
  <c r="N278" i="75" s="1"/>
  <c r="AE277" i="75"/>
  <c r="AD277" i="75"/>
  <c r="AA277" i="75"/>
  <c r="V277" i="75"/>
  <c r="U277" i="75"/>
  <c r="AF277" i="75" s="1"/>
  <c r="N277" i="75" a="1"/>
  <c r="N277" i="75" s="1"/>
  <c r="AE276" i="75"/>
  <c r="AD276" i="75"/>
  <c r="AA276" i="75"/>
  <c r="AG276" i="75" s="1"/>
  <c r="V276" i="75"/>
  <c r="U276" i="75"/>
  <c r="AF276" i="75" s="1"/>
  <c r="N276" i="75" a="1"/>
  <c r="N276" i="75" s="1"/>
  <c r="AE275" i="75"/>
  <c r="AD275" i="75"/>
  <c r="AA275" i="75"/>
  <c r="AG275" i="75" s="1"/>
  <c r="V275" i="75"/>
  <c r="U275" i="75"/>
  <c r="AF275" i="75" s="1"/>
  <c r="N275" i="75" a="1"/>
  <c r="N275" i="75" s="1"/>
  <c r="AE274" i="75"/>
  <c r="AD274" i="75"/>
  <c r="AA274" i="75"/>
  <c r="V274" i="75"/>
  <c r="U274" i="75"/>
  <c r="AF274" i="75" s="1"/>
  <c r="N274" i="75" a="1"/>
  <c r="N274" i="75" s="1"/>
  <c r="AE273" i="75"/>
  <c r="AD273" i="75"/>
  <c r="AA273" i="75"/>
  <c r="V273" i="75"/>
  <c r="U273" i="75"/>
  <c r="AF273" i="75" s="1"/>
  <c r="N273" i="75"/>
  <c r="N273" i="75" a="1"/>
  <c r="AF272" i="75"/>
  <c r="AE272" i="75"/>
  <c r="AD272" i="75"/>
  <c r="AA272" i="75"/>
  <c r="V272" i="75"/>
  <c r="AG272" i="75" s="1"/>
  <c r="U272" i="75"/>
  <c r="N272" i="75" a="1"/>
  <c r="N272" i="75" s="1"/>
  <c r="AE271" i="75"/>
  <c r="AD271" i="75"/>
  <c r="AA271" i="75"/>
  <c r="V271" i="75"/>
  <c r="AG271" i="75" s="1"/>
  <c r="U271" i="75"/>
  <c r="AF271" i="75" s="1"/>
  <c r="N271" i="75" a="1"/>
  <c r="N271" i="75" s="1"/>
  <c r="AE270" i="75"/>
  <c r="AD270" i="75"/>
  <c r="AA270" i="75"/>
  <c r="AG270" i="75" s="1"/>
  <c r="V270" i="75"/>
  <c r="U270" i="75"/>
  <c r="AF270" i="75" s="1"/>
  <c r="N270" i="75" a="1"/>
  <c r="N270" i="75" s="1"/>
  <c r="AE269" i="75"/>
  <c r="AD269" i="75"/>
  <c r="AA269" i="75"/>
  <c r="AG269" i="75" s="1"/>
  <c r="V269" i="75"/>
  <c r="U269" i="75"/>
  <c r="AF269" i="75" s="1"/>
  <c r="N269" i="75" a="1"/>
  <c r="N269" i="75" s="1"/>
  <c r="AF268" i="75"/>
  <c r="AE268" i="75"/>
  <c r="AD268" i="75"/>
  <c r="AA268" i="75"/>
  <c r="V268" i="75"/>
  <c r="U268" i="75"/>
  <c r="N268" i="75" a="1"/>
  <c r="N268" i="75" s="1"/>
  <c r="AE267" i="75"/>
  <c r="AD267" i="75"/>
  <c r="Z267" i="75"/>
  <c r="AA267" i="75" s="1"/>
  <c r="AG267" i="75" s="1"/>
  <c r="V267" i="75"/>
  <c r="U267" i="75"/>
  <c r="AF267" i="75" s="1"/>
  <c r="N267" i="75" a="1"/>
  <c r="N267" i="75" s="1"/>
  <c r="AE266" i="75"/>
  <c r="AD266" i="75"/>
  <c r="Z266" i="75"/>
  <c r="V266" i="75"/>
  <c r="U266" i="75"/>
  <c r="N266" i="75" a="1"/>
  <c r="N266" i="75" s="1"/>
  <c r="AE265" i="75"/>
  <c r="AD265" i="75"/>
  <c r="Z265" i="75"/>
  <c r="V265" i="75"/>
  <c r="U265" i="75"/>
  <c r="N265" i="75" a="1"/>
  <c r="N265" i="75" s="1"/>
  <c r="AE264" i="75"/>
  <c r="AD264" i="75"/>
  <c r="Z264" i="75"/>
  <c r="V264" i="75"/>
  <c r="U264" i="75"/>
  <c r="N264" i="75" a="1"/>
  <c r="N264" i="75" s="1"/>
  <c r="AE263" i="75"/>
  <c r="AD263" i="75"/>
  <c r="AA263" i="75"/>
  <c r="V263" i="75"/>
  <c r="U263" i="75"/>
  <c r="AF263" i="75" s="1"/>
  <c r="N263" i="75" a="1"/>
  <c r="N263" i="75" s="1"/>
  <c r="AE262" i="75"/>
  <c r="AD262" i="75"/>
  <c r="Z262" i="75"/>
  <c r="AA262" i="75" s="1"/>
  <c r="V262" i="75"/>
  <c r="U262" i="75"/>
  <c r="N262" i="75" a="1"/>
  <c r="N262" i="75" s="1"/>
  <c r="AE261" i="75"/>
  <c r="AD261" i="75"/>
  <c r="AA261" i="75"/>
  <c r="V261" i="75"/>
  <c r="U261" i="75"/>
  <c r="AF261" i="75" s="1"/>
  <c r="N261" i="75" a="1"/>
  <c r="N261" i="75" s="1"/>
  <c r="AE260" i="75"/>
  <c r="AD260" i="75"/>
  <c r="Z260" i="75"/>
  <c r="AA260" i="75" s="1"/>
  <c r="AG260" i="75" s="1"/>
  <c r="V260" i="75"/>
  <c r="U260" i="75"/>
  <c r="N260" i="75" a="1"/>
  <c r="N260" i="75" s="1"/>
  <c r="AE259" i="75"/>
  <c r="AD259" i="75"/>
  <c r="AA259" i="75"/>
  <c r="Z259" i="75"/>
  <c r="V259" i="75"/>
  <c r="U259" i="75"/>
  <c r="N259" i="75"/>
  <c r="N259" i="75" a="1"/>
  <c r="AF258" i="75"/>
  <c r="AE258" i="75"/>
  <c r="AD258" i="75"/>
  <c r="AA258" i="75"/>
  <c r="V258" i="75"/>
  <c r="AG258" i="75" s="1"/>
  <c r="U258" i="75"/>
  <c r="N258" i="75"/>
  <c r="N258" i="75" a="1"/>
  <c r="AE257" i="75"/>
  <c r="AD257" i="75"/>
  <c r="AA257" i="75"/>
  <c r="V257" i="75"/>
  <c r="U257" i="75"/>
  <c r="AF257" i="75" s="1"/>
  <c r="N257" i="75" a="1"/>
  <c r="N257" i="75" s="1"/>
  <c r="AE256" i="75"/>
  <c r="AD256" i="75"/>
  <c r="Z256" i="75"/>
  <c r="AA256" i="75" s="1"/>
  <c r="V256" i="75"/>
  <c r="U256" i="75"/>
  <c r="N256" i="75" a="1"/>
  <c r="N256" i="75" s="1"/>
  <c r="AE255" i="75"/>
  <c r="AD255" i="75"/>
  <c r="AA255" i="75"/>
  <c r="V255" i="75"/>
  <c r="U255" i="75"/>
  <c r="AF255" i="75" s="1"/>
  <c r="N255" i="75" a="1"/>
  <c r="N255" i="75" s="1"/>
  <c r="AE254" i="75"/>
  <c r="AD254" i="75"/>
  <c r="AA254" i="75"/>
  <c r="V254" i="75"/>
  <c r="AG254" i="75" s="1"/>
  <c r="U254" i="75"/>
  <c r="AF254" i="75" s="1"/>
  <c r="N254" i="75" a="1"/>
  <c r="N254" i="75" s="1"/>
  <c r="AE253" i="75"/>
  <c r="AD253" i="75"/>
  <c r="AA253" i="75"/>
  <c r="AG253" i="75" s="1"/>
  <c r="V253" i="75"/>
  <c r="U253" i="75"/>
  <c r="AF253" i="75" s="1"/>
  <c r="N253" i="75" a="1"/>
  <c r="N253" i="75" s="1"/>
  <c r="AE252" i="75"/>
  <c r="AD252" i="75"/>
  <c r="AA252" i="75"/>
  <c r="AG252" i="75" s="1"/>
  <c r="V252" i="75"/>
  <c r="U252" i="75"/>
  <c r="AF252" i="75" s="1"/>
  <c r="N252" i="75" a="1"/>
  <c r="N252" i="75" s="1"/>
  <c r="AE251" i="75"/>
  <c r="AD251" i="75"/>
  <c r="AA251" i="75"/>
  <c r="AG251" i="75" s="1"/>
  <c r="V251" i="75"/>
  <c r="U251" i="75"/>
  <c r="AF251" i="75" s="1"/>
  <c r="N251" i="75" a="1"/>
  <c r="N251" i="75" s="1"/>
  <c r="AE250" i="75"/>
  <c r="AD250" i="75"/>
  <c r="AA250" i="75"/>
  <c r="V250" i="75"/>
  <c r="AG250" i="75" s="1"/>
  <c r="U250" i="75"/>
  <c r="AF250" i="75" s="1"/>
  <c r="N250" i="75" a="1"/>
  <c r="N250" i="75" s="1"/>
  <c r="AE249" i="75"/>
  <c r="AD249" i="75"/>
  <c r="AA249" i="75"/>
  <c r="V249" i="75"/>
  <c r="U249" i="75"/>
  <c r="AF249" i="75" s="1"/>
  <c r="N249" i="75" a="1"/>
  <c r="N249" i="75" s="1"/>
  <c r="AE248" i="75"/>
  <c r="AD248" i="75"/>
  <c r="AA248" i="75"/>
  <c r="V248" i="75"/>
  <c r="U248" i="75"/>
  <c r="AF248" i="75" s="1"/>
  <c r="N248" i="75" a="1"/>
  <c r="N248" i="75" s="1"/>
  <c r="AE247" i="75"/>
  <c r="AD247" i="75"/>
  <c r="AA247" i="75"/>
  <c r="V247" i="75"/>
  <c r="U247" i="75"/>
  <c r="AF247" i="75" s="1"/>
  <c r="N247" i="75" a="1"/>
  <c r="N247" i="75" s="1"/>
  <c r="AE246" i="75"/>
  <c r="AD246" i="75"/>
  <c r="AA246" i="75"/>
  <c r="V246" i="75"/>
  <c r="AG246" i="75" s="1"/>
  <c r="U246" i="75"/>
  <c r="AF246" i="75" s="1"/>
  <c r="N246" i="75" a="1"/>
  <c r="N246" i="75" s="1"/>
  <c r="AE245" i="75"/>
  <c r="AD245" i="75"/>
  <c r="AA245" i="75"/>
  <c r="AG245" i="75" s="1"/>
  <c r="V245" i="75"/>
  <c r="U245" i="75"/>
  <c r="AF245" i="75" s="1"/>
  <c r="N245" i="75" a="1"/>
  <c r="N245" i="75" s="1"/>
  <c r="AE244" i="75"/>
  <c r="AD244" i="75"/>
  <c r="AA244" i="75"/>
  <c r="AG244" i="75" s="1"/>
  <c r="V244" i="75"/>
  <c r="U244" i="75"/>
  <c r="AF244" i="75" s="1"/>
  <c r="N244" i="75" a="1"/>
  <c r="N244" i="75" s="1"/>
  <c r="AE243" i="75"/>
  <c r="AD243" i="75"/>
  <c r="AA243" i="75"/>
  <c r="AG243" i="75" s="1"/>
  <c r="V243" i="75"/>
  <c r="U243" i="75"/>
  <c r="AF243" i="75" s="1"/>
  <c r="N243" i="75" a="1"/>
  <c r="N243" i="75" s="1"/>
  <c r="AE242" i="75"/>
  <c r="AD242" i="75"/>
  <c r="AA242" i="75"/>
  <c r="V242" i="75"/>
  <c r="AG242" i="75" s="1"/>
  <c r="U242" i="75"/>
  <c r="AF242" i="75" s="1"/>
  <c r="N242" i="75" a="1"/>
  <c r="N242" i="75" s="1"/>
  <c r="AE241" i="75"/>
  <c r="AD241" i="75"/>
  <c r="AA241" i="75"/>
  <c r="V241" i="75"/>
  <c r="U241" i="75"/>
  <c r="AF241" i="75" s="1"/>
  <c r="N241" i="75" a="1"/>
  <c r="N241" i="75" s="1"/>
  <c r="AE240" i="75"/>
  <c r="AD240" i="75"/>
  <c r="AA240" i="75"/>
  <c r="V240" i="75"/>
  <c r="U240" i="75"/>
  <c r="AF240" i="75" s="1"/>
  <c r="N240" i="75" a="1"/>
  <c r="N240" i="75" s="1"/>
  <c r="AE239" i="75"/>
  <c r="AD239" i="75"/>
  <c r="AA239" i="75"/>
  <c r="V239" i="75"/>
  <c r="U239" i="75"/>
  <c r="AF239" i="75" s="1"/>
  <c r="N239" i="75" a="1"/>
  <c r="N239" i="75" s="1"/>
  <c r="AE238" i="75"/>
  <c r="AD238" i="75"/>
  <c r="AA238" i="75"/>
  <c r="Z238" i="75"/>
  <c r="AF238" i="75" s="1"/>
  <c r="V238" i="75"/>
  <c r="U238" i="75"/>
  <c r="N238" i="75"/>
  <c r="N238" i="75" a="1"/>
  <c r="AF237" i="75"/>
  <c r="AE237" i="75"/>
  <c r="AD237" i="75"/>
  <c r="AA237" i="75"/>
  <c r="V237" i="75"/>
  <c r="AG237" i="75" s="1"/>
  <c r="U237" i="75"/>
  <c r="N237" i="75"/>
  <c r="N237" i="75" a="1"/>
  <c r="AF236" i="75"/>
  <c r="AE236" i="75"/>
  <c r="AD236" i="75"/>
  <c r="AJ236" i="75" s="1"/>
  <c r="AA236" i="75"/>
  <c r="V236" i="75"/>
  <c r="AG236" i="75" s="1"/>
  <c r="U236" i="75"/>
  <c r="N236" i="75"/>
  <c r="N236" i="75" a="1"/>
  <c r="AF235" i="75"/>
  <c r="AE235" i="75"/>
  <c r="AD235" i="75"/>
  <c r="AA235" i="75"/>
  <c r="V235" i="75"/>
  <c r="AG235" i="75" s="1"/>
  <c r="U235" i="75"/>
  <c r="N235" i="75"/>
  <c r="N235" i="75" a="1"/>
  <c r="AE234" i="75"/>
  <c r="AD234" i="75"/>
  <c r="Z234" i="75"/>
  <c r="AA234" i="75" s="1"/>
  <c r="V234" i="75"/>
  <c r="U234" i="75"/>
  <c r="N234" i="75" a="1"/>
  <c r="N234" i="75" s="1"/>
  <c r="AE233" i="75"/>
  <c r="AD233" i="75"/>
  <c r="Z233" i="75"/>
  <c r="V233" i="75"/>
  <c r="U233" i="75"/>
  <c r="N233" i="75" a="1"/>
  <c r="N233" i="75" s="1"/>
  <c r="AE232" i="75"/>
  <c r="AD232" i="75"/>
  <c r="Z232" i="75"/>
  <c r="AA232" i="75" s="1"/>
  <c r="V232" i="75"/>
  <c r="U232" i="75"/>
  <c r="N232" i="75" a="1"/>
  <c r="N232" i="75" s="1"/>
  <c r="AE231" i="75"/>
  <c r="AD231" i="75"/>
  <c r="AA231" i="75"/>
  <c r="AG231" i="75" s="1"/>
  <c r="V231" i="75"/>
  <c r="U231" i="75"/>
  <c r="AF231" i="75" s="1"/>
  <c r="N231" i="75" a="1"/>
  <c r="N231" i="75" s="1"/>
  <c r="AE230" i="75"/>
  <c r="AD230" i="75"/>
  <c r="AA230" i="75"/>
  <c r="AG230" i="75" s="1"/>
  <c r="V230" i="75"/>
  <c r="U230" i="75"/>
  <c r="AF230" i="75" s="1"/>
  <c r="N230" i="75" a="1"/>
  <c r="N230" i="75" s="1"/>
  <c r="AE229" i="75"/>
  <c r="AD229" i="75"/>
  <c r="AA229" i="75"/>
  <c r="AG229" i="75" s="1"/>
  <c r="V229" i="75"/>
  <c r="U229" i="75"/>
  <c r="AF229" i="75" s="1"/>
  <c r="N229" i="75" a="1"/>
  <c r="N229" i="75" s="1"/>
  <c r="AE228" i="75"/>
  <c r="AD228" i="75"/>
  <c r="AA228" i="75"/>
  <c r="V228" i="75"/>
  <c r="AG228" i="75" s="1"/>
  <c r="U228" i="75"/>
  <c r="AF228" i="75" s="1"/>
  <c r="N228" i="75" a="1"/>
  <c r="N228" i="75" s="1"/>
  <c r="AE227" i="75"/>
  <c r="AD227" i="75"/>
  <c r="Z227" i="75"/>
  <c r="AA227" i="75" s="1"/>
  <c r="V227" i="75"/>
  <c r="U227" i="75"/>
  <c r="N227" i="75" a="1"/>
  <c r="N227" i="75" s="1"/>
  <c r="AE226" i="75"/>
  <c r="AD226" i="75"/>
  <c r="AA226" i="75"/>
  <c r="V226" i="75"/>
  <c r="U226" i="75"/>
  <c r="AF226" i="75" s="1"/>
  <c r="N226" i="75" a="1"/>
  <c r="N226" i="75" s="1"/>
  <c r="AE225" i="75"/>
  <c r="AD225" i="75"/>
  <c r="AA225" i="75"/>
  <c r="V225" i="75"/>
  <c r="U225" i="75"/>
  <c r="AF225" i="75" s="1"/>
  <c r="N225" i="75" a="1"/>
  <c r="N225" i="75" s="1"/>
  <c r="AE224" i="75"/>
  <c r="AD224" i="75"/>
  <c r="Z224" i="75"/>
  <c r="AA224" i="75" s="1"/>
  <c r="V224" i="75"/>
  <c r="U224" i="75"/>
  <c r="AF224" i="75" s="1"/>
  <c r="N224" i="75" a="1"/>
  <c r="N224" i="75" s="1"/>
  <c r="AE223" i="75"/>
  <c r="AD223" i="75"/>
  <c r="AA223" i="75"/>
  <c r="V223" i="75"/>
  <c r="U223" i="75"/>
  <c r="AF223" i="75" s="1"/>
  <c r="N223" i="75" a="1"/>
  <c r="N223" i="75" s="1"/>
  <c r="AE222" i="75"/>
  <c r="AD222" i="75"/>
  <c r="AA222" i="75"/>
  <c r="V222" i="75"/>
  <c r="U222" i="75"/>
  <c r="AF222" i="75" s="1"/>
  <c r="N222" i="75" a="1"/>
  <c r="N222" i="75" s="1"/>
  <c r="AE221" i="75"/>
  <c r="AD221" i="75"/>
  <c r="AA221" i="75"/>
  <c r="V221" i="75"/>
  <c r="AG221" i="75" s="1"/>
  <c r="U221" i="75"/>
  <c r="AF221" i="75" s="1"/>
  <c r="N221" i="75" a="1"/>
  <c r="N221" i="75" s="1"/>
  <c r="AE220" i="75"/>
  <c r="AD220" i="75"/>
  <c r="AA220" i="75"/>
  <c r="AG220" i="75" s="1"/>
  <c r="V220" i="75"/>
  <c r="U220" i="75"/>
  <c r="AF220" i="75" s="1"/>
  <c r="N220" i="75" a="1"/>
  <c r="N220" i="75" s="1"/>
  <c r="AE219" i="75"/>
  <c r="AD219" i="75"/>
  <c r="AA219" i="75"/>
  <c r="V219" i="75"/>
  <c r="AG219" i="75" s="1"/>
  <c r="U219" i="75"/>
  <c r="AF219" i="75" s="1"/>
  <c r="N219" i="75" a="1"/>
  <c r="N219" i="75" s="1"/>
  <c r="AE218" i="75"/>
  <c r="AD218" i="75"/>
  <c r="Z218" i="75"/>
  <c r="AA218" i="75" s="1"/>
  <c r="V218" i="75"/>
  <c r="U218" i="75"/>
  <c r="AF218" i="75" s="1"/>
  <c r="N218" i="75" a="1"/>
  <c r="N218" i="75" s="1"/>
  <c r="AE217" i="75"/>
  <c r="AD217" i="75"/>
  <c r="Z217" i="75"/>
  <c r="AA217" i="75" s="1"/>
  <c r="V217" i="75"/>
  <c r="U217" i="75"/>
  <c r="N217" i="75" a="1"/>
  <c r="N217" i="75" s="1"/>
  <c r="AE216" i="75"/>
  <c r="AD216" i="75"/>
  <c r="Z216" i="75"/>
  <c r="AF216" i="75" s="1"/>
  <c r="V216" i="75"/>
  <c r="U216" i="75"/>
  <c r="N216" i="75" a="1"/>
  <c r="N216" i="75" s="1"/>
  <c r="AF215" i="75"/>
  <c r="AE215" i="75"/>
  <c r="AD215" i="75"/>
  <c r="Z215" i="75"/>
  <c r="AA215" i="75" s="1"/>
  <c r="V215" i="75"/>
  <c r="AG215" i="75" s="1"/>
  <c r="U215" i="75"/>
  <c r="N215" i="75" a="1"/>
  <c r="N215" i="75" s="1"/>
  <c r="AE214" i="75"/>
  <c r="AD214" i="75"/>
  <c r="AA214" i="75"/>
  <c r="V214" i="75"/>
  <c r="U214" i="75"/>
  <c r="AF214" i="75" s="1"/>
  <c r="N214" i="75" a="1"/>
  <c r="N214" i="75" s="1"/>
  <c r="AE213" i="75"/>
  <c r="AD213" i="75"/>
  <c r="AA213" i="75"/>
  <c r="V213" i="75"/>
  <c r="AG213" i="75" s="1"/>
  <c r="U213" i="75"/>
  <c r="AF213" i="75" s="1"/>
  <c r="N213" i="75" a="1"/>
  <c r="N213" i="75" s="1"/>
  <c r="AE212" i="75"/>
  <c r="AD212" i="75"/>
  <c r="AA212" i="75"/>
  <c r="V212" i="75"/>
  <c r="U212" i="75"/>
  <c r="AF212" i="75" s="1"/>
  <c r="N212" i="75" a="1"/>
  <c r="N212" i="75" s="1"/>
  <c r="AE211" i="75"/>
  <c r="AD211" i="75"/>
  <c r="AA211" i="75"/>
  <c r="V211" i="75"/>
  <c r="AG211" i="75" s="1"/>
  <c r="U211" i="75"/>
  <c r="AF211" i="75" s="1"/>
  <c r="N211" i="75" a="1"/>
  <c r="N211" i="75" s="1"/>
  <c r="AE210" i="75"/>
  <c r="AD210" i="75"/>
  <c r="AA210" i="75"/>
  <c r="V210" i="75"/>
  <c r="U210" i="75"/>
  <c r="AF210" i="75" s="1"/>
  <c r="N210" i="75" a="1"/>
  <c r="N210" i="75" s="1"/>
  <c r="AE209" i="75"/>
  <c r="AD209" i="75"/>
  <c r="AA209" i="75"/>
  <c r="V209" i="75"/>
  <c r="AG209" i="75" s="1"/>
  <c r="U209" i="75"/>
  <c r="AF209" i="75" s="1"/>
  <c r="N209" i="75" a="1"/>
  <c r="N209" i="75" s="1"/>
  <c r="AE208" i="75"/>
  <c r="AD208" i="75"/>
  <c r="Z208" i="75"/>
  <c r="AA208" i="75" s="1"/>
  <c r="V208" i="75"/>
  <c r="U208" i="75"/>
  <c r="N208" i="75" a="1"/>
  <c r="N208" i="75" s="1"/>
  <c r="AF207" i="75"/>
  <c r="AE207" i="75"/>
  <c r="AD207" i="75"/>
  <c r="AA207" i="75"/>
  <c r="V207" i="75"/>
  <c r="U207" i="75"/>
  <c r="N207" i="75" a="1"/>
  <c r="N207" i="75" s="1"/>
  <c r="AE206" i="75"/>
  <c r="AD206" i="75"/>
  <c r="AA206" i="75"/>
  <c r="V206" i="75"/>
  <c r="AG206" i="75" s="1"/>
  <c r="U206" i="75"/>
  <c r="AF206" i="75" s="1"/>
  <c r="N206" i="75"/>
  <c r="N206" i="75" a="1"/>
  <c r="AE205" i="75"/>
  <c r="AD205" i="75"/>
  <c r="AA205" i="75"/>
  <c r="V205" i="75"/>
  <c r="AG205" i="75" s="1"/>
  <c r="U205" i="75"/>
  <c r="AF205" i="75" s="1"/>
  <c r="N205" i="75"/>
  <c r="N205" i="75" a="1"/>
  <c r="AE204" i="75"/>
  <c r="AD204" i="75"/>
  <c r="AA204" i="75"/>
  <c r="V204" i="75"/>
  <c r="AG204" i="75" s="1"/>
  <c r="U204" i="75"/>
  <c r="AF204" i="75" s="1"/>
  <c r="N204" i="75"/>
  <c r="N204" i="75" a="1"/>
  <c r="AE203" i="75"/>
  <c r="AD203" i="75"/>
  <c r="AA203" i="75"/>
  <c r="V203" i="75"/>
  <c r="U203" i="75"/>
  <c r="AF203" i="75" s="1"/>
  <c r="N203" i="75" a="1"/>
  <c r="N203" i="75" s="1"/>
  <c r="AE202" i="75"/>
  <c r="AD202" i="75"/>
  <c r="Z202" i="75"/>
  <c r="AA202" i="75" s="1"/>
  <c r="V202" i="75"/>
  <c r="U202" i="75"/>
  <c r="AF202" i="75" s="1"/>
  <c r="N202" i="75" a="1"/>
  <c r="N202" i="75" s="1"/>
  <c r="AE201" i="75"/>
  <c r="AD201" i="75"/>
  <c r="AA201" i="75"/>
  <c r="V201" i="75"/>
  <c r="AG201" i="75" s="1"/>
  <c r="U201" i="75"/>
  <c r="AF201" i="75" s="1"/>
  <c r="N201" i="75" a="1"/>
  <c r="N201" i="75" s="1"/>
  <c r="AE200" i="75"/>
  <c r="AD200" i="75"/>
  <c r="Z200" i="75"/>
  <c r="AF200" i="75" s="1"/>
  <c r="V200" i="75"/>
  <c r="U200" i="75"/>
  <c r="N200" i="75" a="1"/>
  <c r="N200" i="75" s="1"/>
  <c r="AE199" i="75"/>
  <c r="AD199" i="75"/>
  <c r="AA199" i="75"/>
  <c r="V199" i="75"/>
  <c r="AG199" i="75" s="1"/>
  <c r="U199" i="75"/>
  <c r="AF199" i="75" s="1"/>
  <c r="N199" i="75" a="1"/>
  <c r="N199" i="75" s="1"/>
  <c r="AE198" i="75"/>
  <c r="AD198" i="75"/>
  <c r="AA198" i="75"/>
  <c r="V198" i="75"/>
  <c r="U198" i="75"/>
  <c r="AF198" i="75" s="1"/>
  <c r="N198" i="75" a="1"/>
  <c r="N198" i="75" s="1"/>
  <c r="AE197" i="75"/>
  <c r="AD197" i="75"/>
  <c r="AA197" i="75"/>
  <c r="V197" i="75"/>
  <c r="AG197" i="75" s="1"/>
  <c r="U197" i="75"/>
  <c r="AF197" i="75" s="1"/>
  <c r="N197" i="75"/>
  <c r="N197" i="75" a="1"/>
  <c r="AE196" i="75"/>
  <c r="AD196" i="75"/>
  <c r="Z196" i="75"/>
  <c r="AA196" i="75" s="1"/>
  <c r="AG196" i="75" s="1"/>
  <c r="V196" i="75"/>
  <c r="U196" i="75"/>
  <c r="N196" i="75" a="1"/>
  <c r="N196" i="75" s="1"/>
  <c r="AF195" i="75"/>
  <c r="AE195" i="75"/>
  <c r="AD195" i="75"/>
  <c r="AA195" i="75"/>
  <c r="V195" i="75"/>
  <c r="AG195" i="75" s="1"/>
  <c r="U195" i="75"/>
  <c r="N195" i="75" a="1"/>
  <c r="N195" i="75" s="1"/>
  <c r="AE194" i="75"/>
  <c r="AD194" i="75"/>
  <c r="AA194" i="75"/>
  <c r="V194" i="75"/>
  <c r="AG194" i="75" s="1"/>
  <c r="U194" i="75"/>
  <c r="AF194" i="75" s="1"/>
  <c r="N194" i="75" a="1"/>
  <c r="N194" i="75" s="1"/>
  <c r="AE193" i="75"/>
  <c r="AD193" i="75"/>
  <c r="AA193" i="75"/>
  <c r="V193" i="75"/>
  <c r="U193" i="75"/>
  <c r="AF193" i="75" s="1"/>
  <c r="N193" i="75" a="1"/>
  <c r="N193" i="75" s="1"/>
  <c r="AE192" i="75"/>
  <c r="AD192" i="75"/>
  <c r="AA192" i="75"/>
  <c r="V192" i="75"/>
  <c r="U192" i="75"/>
  <c r="AF192" i="75" s="1"/>
  <c r="N192" i="75" a="1"/>
  <c r="N192" i="75" s="1"/>
  <c r="AE191" i="75"/>
  <c r="AD191" i="75"/>
  <c r="AA191" i="75"/>
  <c r="V191" i="75"/>
  <c r="AG191" i="75" s="1"/>
  <c r="U191" i="75"/>
  <c r="AF191" i="75" s="1"/>
  <c r="N191" i="75" a="1"/>
  <c r="N191" i="75" s="1"/>
  <c r="AE190" i="75"/>
  <c r="AD190" i="75"/>
  <c r="AJ190" i="75" s="1"/>
  <c r="AA190" i="75"/>
  <c r="V190" i="75"/>
  <c r="AG190" i="75" s="1"/>
  <c r="U190" i="75"/>
  <c r="AF190" i="75" s="1"/>
  <c r="N190" i="75"/>
  <c r="N190" i="75" a="1"/>
  <c r="AE189" i="75"/>
  <c r="AD189" i="75"/>
  <c r="AA189" i="75"/>
  <c r="AG189" i="75" s="1"/>
  <c r="V189" i="75"/>
  <c r="U189" i="75"/>
  <c r="AF189" i="75" s="1"/>
  <c r="N189" i="75" a="1"/>
  <c r="N189" i="75" s="1"/>
  <c r="AE188" i="75"/>
  <c r="AD188" i="75"/>
  <c r="AA188" i="75"/>
  <c r="V188" i="75"/>
  <c r="U188" i="75"/>
  <c r="AF188" i="75" s="1"/>
  <c r="N188" i="75" a="1"/>
  <c r="N188" i="75" s="1"/>
  <c r="AE187" i="75"/>
  <c r="AD187" i="75"/>
  <c r="AA187" i="75"/>
  <c r="V187" i="75"/>
  <c r="AG187" i="75" s="1"/>
  <c r="U187" i="75"/>
  <c r="AF187" i="75" s="1"/>
  <c r="N187" i="75" a="1"/>
  <c r="N187" i="75" s="1"/>
  <c r="AE186" i="75"/>
  <c r="AD186" i="75"/>
  <c r="AA186" i="75"/>
  <c r="V186" i="75"/>
  <c r="AG186" i="75" s="1"/>
  <c r="U186" i="75"/>
  <c r="AF186" i="75" s="1"/>
  <c r="N186" i="75" a="1"/>
  <c r="N186" i="75" s="1"/>
  <c r="AE185" i="75"/>
  <c r="AD185" i="75"/>
  <c r="AA185" i="75"/>
  <c r="V185" i="75"/>
  <c r="U185" i="75"/>
  <c r="AF185" i="75" s="1"/>
  <c r="N185" i="75" a="1"/>
  <c r="N185" i="75" s="1"/>
  <c r="AE184" i="75"/>
  <c r="AD184" i="75"/>
  <c r="AA184" i="75"/>
  <c r="V184" i="75"/>
  <c r="U184" i="75"/>
  <c r="AF184" i="75" s="1"/>
  <c r="N184" i="75" a="1"/>
  <c r="N184" i="75" s="1"/>
  <c r="AE183" i="75"/>
  <c r="AD183" i="75"/>
  <c r="AA183" i="75"/>
  <c r="V183" i="75"/>
  <c r="U183" i="75"/>
  <c r="AF183" i="75" s="1"/>
  <c r="N183" i="75" a="1"/>
  <c r="N183" i="75" s="1"/>
  <c r="AE182" i="75"/>
  <c r="AD182" i="75"/>
  <c r="AA182" i="75"/>
  <c r="V182" i="75"/>
  <c r="AG182" i="75" s="1"/>
  <c r="U182" i="75"/>
  <c r="AF182" i="75" s="1"/>
  <c r="N182" i="75" a="1"/>
  <c r="N182" i="75" s="1"/>
  <c r="AE181" i="75"/>
  <c r="AD181" i="75"/>
  <c r="AA181" i="75"/>
  <c r="V181" i="75"/>
  <c r="U181" i="75"/>
  <c r="AF181" i="75" s="1"/>
  <c r="N181" i="75" a="1"/>
  <c r="N181" i="75" s="1"/>
  <c r="AE180" i="75"/>
  <c r="AD180" i="75"/>
  <c r="AA180" i="75"/>
  <c r="AG180" i="75" s="1"/>
  <c r="AJ180" i="75" s="1"/>
  <c r="V180" i="75"/>
  <c r="U180" i="75"/>
  <c r="AF180" i="75" s="1"/>
  <c r="N180" i="75" a="1"/>
  <c r="N180" i="75" s="1"/>
  <c r="AF179" i="75"/>
  <c r="AE179" i="75"/>
  <c r="AD179" i="75"/>
  <c r="AA179" i="75"/>
  <c r="V179" i="75"/>
  <c r="AG179" i="75" s="1"/>
  <c r="U179" i="75"/>
  <c r="N179" i="75" a="1"/>
  <c r="N179" i="75" s="1"/>
  <c r="AE178" i="75"/>
  <c r="AD178" i="75"/>
  <c r="AA178" i="75"/>
  <c r="V178" i="75"/>
  <c r="AG178" i="75" s="1"/>
  <c r="U178" i="75"/>
  <c r="AF178" i="75" s="1"/>
  <c r="N178" i="75" a="1"/>
  <c r="N178" i="75" s="1"/>
  <c r="AE176" i="75"/>
  <c r="AD176" i="75"/>
  <c r="AA176" i="75"/>
  <c r="V176" i="75"/>
  <c r="U176" i="75"/>
  <c r="AF176" i="75" s="1"/>
  <c r="N176" i="75" a="1"/>
  <c r="N176" i="75" s="1"/>
  <c r="AE175" i="75"/>
  <c r="AD175" i="75"/>
  <c r="AA175" i="75"/>
  <c r="AG175" i="75" s="1"/>
  <c r="V175" i="75"/>
  <c r="U175" i="75"/>
  <c r="AF175" i="75" s="1"/>
  <c r="N175" i="75" a="1"/>
  <c r="N175" i="75" s="1"/>
  <c r="AF174" i="75"/>
  <c r="AE174" i="75"/>
  <c r="AD174" i="75"/>
  <c r="AA174" i="75"/>
  <c r="V174" i="75"/>
  <c r="AG174" i="75" s="1"/>
  <c r="U174" i="75"/>
  <c r="N174" i="75" a="1"/>
  <c r="N174" i="75" s="1"/>
  <c r="AE173" i="75"/>
  <c r="AD173" i="75"/>
  <c r="AJ173" i="75" s="1"/>
  <c r="AA173" i="75"/>
  <c r="V173" i="75"/>
  <c r="AG173" i="75" s="1"/>
  <c r="U173" i="75"/>
  <c r="AF173" i="75" s="1"/>
  <c r="N173" i="75"/>
  <c r="N173" i="75" a="1"/>
  <c r="AE172" i="75"/>
  <c r="AD172" i="75"/>
  <c r="AA172" i="75"/>
  <c r="AG172" i="75" s="1"/>
  <c r="V172" i="75"/>
  <c r="U172" i="75"/>
  <c r="AF172" i="75" s="1"/>
  <c r="N172" i="75" a="1"/>
  <c r="N172" i="75" s="1"/>
  <c r="AE171" i="75"/>
  <c r="AD171" i="75"/>
  <c r="Z171" i="75"/>
  <c r="AA171" i="75" s="1"/>
  <c r="V171" i="75"/>
  <c r="AG171" i="75" s="1"/>
  <c r="U171" i="75"/>
  <c r="N171" i="75" a="1"/>
  <c r="N171" i="75" s="1"/>
  <c r="AE170" i="75"/>
  <c r="AD170" i="75"/>
  <c r="Z170" i="75"/>
  <c r="AA170" i="75" s="1"/>
  <c r="V170" i="75"/>
  <c r="U170" i="75"/>
  <c r="N170" i="75" a="1"/>
  <c r="N170" i="75" s="1"/>
  <c r="AE169" i="75"/>
  <c r="AD169" i="75"/>
  <c r="AA169" i="75"/>
  <c r="AG169" i="75" s="1"/>
  <c r="V169" i="75"/>
  <c r="U169" i="75"/>
  <c r="AF169" i="75" s="1"/>
  <c r="N169" i="75" a="1"/>
  <c r="N169" i="75" s="1"/>
  <c r="AE168" i="75"/>
  <c r="AD168" i="75"/>
  <c r="AA168" i="75"/>
  <c r="V168" i="75"/>
  <c r="U168" i="75"/>
  <c r="AF168" i="75" s="1"/>
  <c r="N168" i="75" a="1"/>
  <c r="N168" i="75" s="1"/>
  <c r="AE167" i="75"/>
  <c r="AD167" i="75"/>
  <c r="AA167" i="75"/>
  <c r="Z167" i="75"/>
  <c r="V167" i="75"/>
  <c r="U167" i="75"/>
  <c r="N167" i="75"/>
  <c r="N167" i="75" a="1"/>
  <c r="AE166" i="75"/>
  <c r="AD166" i="75"/>
  <c r="Z166" i="75"/>
  <c r="AA166" i="75" s="1"/>
  <c r="V166" i="75"/>
  <c r="U166" i="75"/>
  <c r="N166" i="75" a="1"/>
  <c r="N166" i="75" s="1"/>
  <c r="AE165" i="75"/>
  <c r="AD165" i="75"/>
  <c r="AA165" i="75"/>
  <c r="AG165" i="75" s="1"/>
  <c r="Z165" i="75"/>
  <c r="V165" i="75"/>
  <c r="U165" i="75"/>
  <c r="N165" i="75" a="1"/>
  <c r="N165" i="75" s="1"/>
  <c r="AE164" i="75"/>
  <c r="AD164" i="75"/>
  <c r="AA164" i="75"/>
  <c r="V164" i="75"/>
  <c r="U164" i="75"/>
  <c r="AF164" i="75" s="1"/>
  <c r="N164" i="75" a="1"/>
  <c r="N164" i="75" s="1"/>
  <c r="AE163" i="75"/>
  <c r="AD163" i="75"/>
  <c r="AA163" i="75"/>
  <c r="V163" i="75"/>
  <c r="U163" i="75"/>
  <c r="AF163" i="75" s="1"/>
  <c r="N163" i="75"/>
  <c r="N163" i="75" a="1"/>
  <c r="AE162" i="75"/>
  <c r="AD162" i="75"/>
  <c r="AA162" i="75"/>
  <c r="V162" i="75"/>
  <c r="U162" i="75"/>
  <c r="AF162" i="75" s="1"/>
  <c r="N162" i="75" a="1"/>
  <c r="N162" i="75" s="1"/>
  <c r="AE161" i="75"/>
  <c r="AD161" i="75"/>
  <c r="AA161" i="75"/>
  <c r="V161" i="75"/>
  <c r="U161" i="75"/>
  <c r="AF161" i="75" s="1"/>
  <c r="N161" i="75"/>
  <c r="N161" i="75" a="1"/>
  <c r="AE160" i="75"/>
  <c r="AD160" i="75"/>
  <c r="AA160" i="75"/>
  <c r="V160" i="75"/>
  <c r="U160" i="75"/>
  <c r="AF160" i="75" s="1"/>
  <c r="N160" i="75" a="1"/>
  <c r="N160" i="75" s="1"/>
  <c r="AE159" i="75"/>
  <c r="AD159" i="75"/>
  <c r="Z159" i="75"/>
  <c r="AA159" i="75" s="1"/>
  <c r="V159" i="75"/>
  <c r="AG159" i="75" s="1"/>
  <c r="U159" i="75"/>
  <c r="N159" i="75" a="1"/>
  <c r="N159" i="75" s="1"/>
  <c r="AE158" i="75"/>
  <c r="AD158" i="75"/>
  <c r="AA158" i="75"/>
  <c r="V158" i="75"/>
  <c r="U158" i="75"/>
  <c r="AF158" i="75" s="1"/>
  <c r="N158" i="75" a="1"/>
  <c r="N158" i="75" s="1"/>
  <c r="AE157" i="75"/>
  <c r="AD157" i="75"/>
  <c r="Z157" i="75"/>
  <c r="AF157" i="75" s="1"/>
  <c r="V157" i="75"/>
  <c r="U157" i="75"/>
  <c r="N157" i="75" a="1"/>
  <c r="N157" i="75" s="1"/>
  <c r="AE156" i="75"/>
  <c r="AD156" i="75"/>
  <c r="Z156" i="75"/>
  <c r="AA156" i="75" s="1"/>
  <c r="V156" i="75"/>
  <c r="U156" i="75"/>
  <c r="N156" i="75" a="1"/>
  <c r="N156" i="75" s="1"/>
  <c r="AE155" i="75"/>
  <c r="AD155" i="75"/>
  <c r="AA155" i="75"/>
  <c r="V155" i="75"/>
  <c r="AG155" i="75" s="1"/>
  <c r="U155" i="75"/>
  <c r="AF155" i="75" s="1"/>
  <c r="N155" i="75" a="1"/>
  <c r="N155" i="75" s="1"/>
  <c r="AE154" i="75"/>
  <c r="AD154" i="75"/>
  <c r="AA154" i="75"/>
  <c r="AG154" i="75" s="1"/>
  <c r="V154" i="75"/>
  <c r="U154" i="75"/>
  <c r="AF154" i="75" s="1"/>
  <c r="N154" i="75" a="1"/>
  <c r="N154" i="75" s="1"/>
  <c r="AE153" i="75"/>
  <c r="AD153" i="75"/>
  <c r="AA153" i="75"/>
  <c r="V153" i="75"/>
  <c r="U153" i="75"/>
  <c r="AF153" i="75" s="1"/>
  <c r="N153" i="75" a="1"/>
  <c r="N153" i="75" s="1"/>
  <c r="AE152" i="75"/>
  <c r="AD152" i="75"/>
  <c r="AA152" i="75"/>
  <c r="AG152" i="75" s="1"/>
  <c r="V152" i="75"/>
  <c r="U152" i="75"/>
  <c r="AF152" i="75" s="1"/>
  <c r="N152" i="75" a="1"/>
  <c r="N152" i="75" s="1"/>
  <c r="AE151" i="75"/>
  <c r="AD151" i="75"/>
  <c r="AA151" i="75"/>
  <c r="V151" i="75"/>
  <c r="U151" i="75"/>
  <c r="AF151" i="75" s="1"/>
  <c r="N151" i="75" a="1"/>
  <c r="N151" i="75" s="1"/>
  <c r="AE150" i="75"/>
  <c r="AD150" i="75"/>
  <c r="AA150" i="75"/>
  <c r="AG150" i="75" s="1"/>
  <c r="V150" i="75"/>
  <c r="U150" i="75"/>
  <c r="AF150" i="75" s="1"/>
  <c r="N150" i="75" a="1"/>
  <c r="N150" i="75" s="1"/>
  <c r="AE149" i="75"/>
  <c r="AD149" i="75"/>
  <c r="AA149" i="75"/>
  <c r="V149" i="75"/>
  <c r="AG149" i="75" s="1"/>
  <c r="U149" i="75"/>
  <c r="AF149" i="75" s="1"/>
  <c r="N149" i="75" a="1"/>
  <c r="N149" i="75" s="1"/>
  <c r="AE148" i="75"/>
  <c r="AD148" i="75"/>
  <c r="AA148" i="75"/>
  <c r="V148" i="75"/>
  <c r="U148" i="75"/>
  <c r="AF148" i="75" s="1"/>
  <c r="N148" i="75" a="1"/>
  <c r="N148" i="75" s="1"/>
  <c r="AE147" i="75"/>
  <c r="AD147" i="75"/>
  <c r="AA147" i="75"/>
  <c r="V147" i="75"/>
  <c r="AG147" i="75" s="1"/>
  <c r="U147" i="75"/>
  <c r="AF147" i="75" s="1"/>
  <c r="N147" i="75" a="1"/>
  <c r="N147" i="75" s="1"/>
  <c r="AE146" i="75"/>
  <c r="AD146" i="75"/>
  <c r="AA146" i="75"/>
  <c r="V146" i="75"/>
  <c r="U146" i="75"/>
  <c r="AF146" i="75" s="1"/>
  <c r="N146" i="75" a="1"/>
  <c r="N146" i="75" s="1"/>
  <c r="AE145" i="75"/>
  <c r="AD145" i="75"/>
  <c r="AA145" i="75"/>
  <c r="AG145" i="75" s="1"/>
  <c r="Z145" i="75"/>
  <c r="V145" i="75"/>
  <c r="U145" i="75"/>
  <c r="AF145" i="75" s="1"/>
  <c r="N145" i="75"/>
  <c r="N145" i="75" a="1"/>
  <c r="AE144" i="75"/>
  <c r="AD144" i="75"/>
  <c r="AJ144" i="75" s="1"/>
  <c r="AA144" i="75"/>
  <c r="V144" i="75"/>
  <c r="AG144" i="75" s="1"/>
  <c r="U144" i="75"/>
  <c r="AF144" i="75" s="1"/>
  <c r="N144" i="75"/>
  <c r="N144" i="75" a="1"/>
  <c r="AE143" i="75"/>
  <c r="AD143" i="75"/>
  <c r="AA143" i="75"/>
  <c r="V143" i="75"/>
  <c r="AG143" i="75" s="1"/>
  <c r="U143" i="75"/>
  <c r="AF143" i="75" s="1"/>
  <c r="N143" i="75"/>
  <c r="N143" i="75" a="1"/>
  <c r="AE142" i="75"/>
  <c r="AD142" i="75"/>
  <c r="AA142" i="75"/>
  <c r="V142" i="75"/>
  <c r="AG142" i="75" s="1"/>
  <c r="U142" i="75"/>
  <c r="AF142" i="75" s="1"/>
  <c r="N142" i="75"/>
  <c r="N142" i="75" a="1"/>
  <c r="AF141" i="75"/>
  <c r="AE141" i="75"/>
  <c r="AD141" i="75"/>
  <c r="AA141" i="75"/>
  <c r="V141" i="75"/>
  <c r="AG141" i="75" s="1"/>
  <c r="U141" i="75"/>
  <c r="N141" i="75" a="1"/>
  <c r="N141" i="75" s="1"/>
  <c r="AE140" i="75"/>
  <c r="AD140" i="75"/>
  <c r="AA140" i="75"/>
  <c r="V140" i="75"/>
  <c r="AG140" i="75" s="1"/>
  <c r="U140" i="75"/>
  <c r="AF140" i="75" s="1"/>
  <c r="N140" i="75" a="1"/>
  <c r="N140" i="75" s="1"/>
  <c r="AE139" i="75"/>
  <c r="AD139" i="75"/>
  <c r="Z139" i="75"/>
  <c r="AA139" i="75" s="1"/>
  <c r="V139" i="75"/>
  <c r="AG139" i="75" s="1"/>
  <c r="U139" i="75"/>
  <c r="AF139" i="75" s="1"/>
  <c r="N139" i="75" a="1"/>
  <c r="N139" i="75" s="1"/>
  <c r="AE138" i="75"/>
  <c r="AD138" i="75"/>
  <c r="AA138" i="75"/>
  <c r="V138" i="75"/>
  <c r="U138" i="75"/>
  <c r="AF138" i="75" s="1"/>
  <c r="N138" i="75" a="1"/>
  <c r="N138" i="75" s="1"/>
  <c r="AE137" i="75"/>
  <c r="AD137" i="75"/>
  <c r="AA137" i="75"/>
  <c r="V137" i="75"/>
  <c r="U137" i="75"/>
  <c r="AF137" i="75" s="1"/>
  <c r="N137" i="75" a="1"/>
  <c r="N137" i="75" s="1"/>
  <c r="AE136" i="75"/>
  <c r="AD136" i="75"/>
  <c r="AA136" i="75"/>
  <c r="AG136" i="75" s="1"/>
  <c r="V136" i="75"/>
  <c r="U136" i="75"/>
  <c r="AF136" i="75" s="1"/>
  <c r="N136" i="75" a="1"/>
  <c r="N136" i="75" s="1"/>
  <c r="AE135" i="75"/>
  <c r="AD135" i="75"/>
  <c r="AA135" i="75"/>
  <c r="V135" i="75"/>
  <c r="U135" i="75"/>
  <c r="AF135" i="75" s="1"/>
  <c r="N135" i="75" a="1"/>
  <c r="N135" i="75" s="1"/>
  <c r="AE134" i="75"/>
  <c r="AD134" i="75"/>
  <c r="AA134" i="75"/>
  <c r="V134" i="75"/>
  <c r="AG134" i="75" s="1"/>
  <c r="U134" i="75"/>
  <c r="AF134" i="75" s="1"/>
  <c r="N134" i="75" a="1"/>
  <c r="N134" i="75" s="1"/>
  <c r="AE133" i="75"/>
  <c r="AD133" i="75"/>
  <c r="AA133" i="75"/>
  <c r="V133" i="75"/>
  <c r="U133" i="75"/>
  <c r="AF133" i="75" s="1"/>
  <c r="N133" i="75" a="1"/>
  <c r="N133" i="75" s="1"/>
  <c r="AE132" i="75"/>
  <c r="AD132" i="75"/>
  <c r="AA132" i="75"/>
  <c r="V132" i="75"/>
  <c r="U132" i="75"/>
  <c r="AF132" i="75" s="1"/>
  <c r="N132" i="75" a="1"/>
  <c r="N132" i="75" s="1"/>
  <c r="AE131" i="75"/>
  <c r="AD131" i="75"/>
  <c r="AA131" i="75"/>
  <c r="V131" i="75"/>
  <c r="U131" i="75"/>
  <c r="AF131" i="75" s="1"/>
  <c r="N131" i="75" a="1"/>
  <c r="N131" i="75" s="1"/>
  <c r="AE130" i="75"/>
  <c r="AD130" i="75"/>
  <c r="AA130" i="75"/>
  <c r="V130" i="75"/>
  <c r="AG130" i="75" s="1"/>
  <c r="U130" i="75"/>
  <c r="AF130" i="75" s="1"/>
  <c r="N130" i="75" a="1"/>
  <c r="N130" i="75" s="1"/>
  <c r="AE129" i="75"/>
  <c r="AD129" i="75"/>
  <c r="AA129" i="75"/>
  <c r="AG129" i="75" s="1"/>
  <c r="V129" i="75"/>
  <c r="U129" i="75"/>
  <c r="AF129" i="75" s="1"/>
  <c r="N129" i="75" a="1"/>
  <c r="N129" i="75" s="1"/>
  <c r="AE128" i="75"/>
  <c r="AD128" i="75"/>
  <c r="AA128" i="75"/>
  <c r="V128" i="75"/>
  <c r="U128" i="75"/>
  <c r="AF128" i="75" s="1"/>
  <c r="N128" i="75" a="1"/>
  <c r="N128" i="75" s="1"/>
  <c r="AE127" i="75"/>
  <c r="AD127" i="75"/>
  <c r="AA127" i="75"/>
  <c r="AG127" i="75" s="1"/>
  <c r="V127" i="75"/>
  <c r="U127" i="75"/>
  <c r="AF127" i="75" s="1"/>
  <c r="N127" i="75" a="1"/>
  <c r="N127" i="75" s="1"/>
  <c r="AE126" i="75"/>
  <c r="AD126" i="75"/>
  <c r="AA126" i="75"/>
  <c r="V126" i="75"/>
  <c r="AG126" i="75" s="1"/>
  <c r="U126" i="75"/>
  <c r="AF126" i="75" s="1"/>
  <c r="N126" i="75" a="1"/>
  <c r="N126" i="75" s="1"/>
  <c r="AE125" i="75"/>
  <c r="AD125" i="75"/>
  <c r="AA125" i="75"/>
  <c r="V125" i="75"/>
  <c r="U125" i="75"/>
  <c r="AF125" i="75" s="1"/>
  <c r="N125" i="75" a="1"/>
  <c r="N125" i="75" s="1"/>
  <c r="AE124" i="75"/>
  <c r="AD124" i="75"/>
  <c r="Z124" i="75"/>
  <c r="AA124" i="75" s="1"/>
  <c r="V124" i="75"/>
  <c r="U124" i="75"/>
  <c r="N124" i="75" a="1"/>
  <c r="N124" i="75" s="1"/>
  <c r="AE123" i="75"/>
  <c r="AD123" i="75"/>
  <c r="AA123" i="75"/>
  <c r="V123" i="75"/>
  <c r="U123" i="75"/>
  <c r="AF123" i="75" s="1"/>
  <c r="N123" i="75" a="1"/>
  <c r="N123" i="75" s="1"/>
  <c r="AE122" i="75"/>
  <c r="AD122" i="75"/>
  <c r="AA122" i="75"/>
  <c r="V122" i="75"/>
  <c r="AG122" i="75" s="1"/>
  <c r="U122" i="75"/>
  <c r="AF122" i="75" s="1"/>
  <c r="N122" i="75"/>
  <c r="N122" i="75" a="1"/>
  <c r="AE121" i="75"/>
  <c r="AD121" i="75"/>
  <c r="Z121" i="75"/>
  <c r="AA121" i="75" s="1"/>
  <c r="V121" i="75"/>
  <c r="U121" i="75"/>
  <c r="N121" i="75" a="1"/>
  <c r="N121" i="75" s="1"/>
  <c r="AE120" i="75"/>
  <c r="AD120" i="75"/>
  <c r="Z120" i="75"/>
  <c r="AA120" i="75" s="1"/>
  <c r="V120" i="75"/>
  <c r="U120" i="75"/>
  <c r="N120" i="75" a="1"/>
  <c r="N120" i="75" s="1"/>
  <c r="AF119" i="75"/>
  <c r="AE119" i="75"/>
  <c r="AD119" i="75"/>
  <c r="AA119" i="75"/>
  <c r="V119" i="75"/>
  <c r="AG119" i="75" s="1"/>
  <c r="U119" i="75"/>
  <c r="N119" i="75" a="1"/>
  <c r="N119" i="75" s="1"/>
  <c r="AF118" i="75"/>
  <c r="AE118" i="75"/>
  <c r="AD118" i="75"/>
  <c r="AA118" i="75"/>
  <c r="V118" i="75"/>
  <c r="U118" i="75"/>
  <c r="N118" i="75" a="1"/>
  <c r="N118" i="75" s="1"/>
  <c r="AE117" i="75"/>
  <c r="AD117" i="75"/>
  <c r="AA117" i="75"/>
  <c r="V117" i="75"/>
  <c r="U117" i="75"/>
  <c r="AF117" i="75" s="1"/>
  <c r="N117" i="75" a="1"/>
  <c r="N117" i="75" s="1"/>
  <c r="AE116" i="75"/>
  <c r="AD116" i="75"/>
  <c r="AA116" i="75"/>
  <c r="V116" i="75"/>
  <c r="U116" i="75"/>
  <c r="AF116" i="75" s="1"/>
  <c r="N116" i="75" a="1"/>
  <c r="N116" i="75" s="1"/>
  <c r="AE115" i="75"/>
  <c r="AD115" i="75"/>
  <c r="Z115" i="75"/>
  <c r="AA115" i="75" s="1"/>
  <c r="V115" i="75"/>
  <c r="U115" i="75"/>
  <c r="N115" i="75" a="1"/>
  <c r="N115" i="75" s="1"/>
  <c r="AE114" i="75"/>
  <c r="AD114" i="75"/>
  <c r="Z114" i="75"/>
  <c r="AA114" i="75" s="1"/>
  <c r="V114" i="75"/>
  <c r="U114" i="75"/>
  <c r="AF114" i="75" s="1"/>
  <c r="N114" i="75" a="1"/>
  <c r="N114" i="75" s="1"/>
  <c r="AF113" i="75"/>
  <c r="AE113" i="75"/>
  <c r="AD113" i="75"/>
  <c r="Z113" i="75"/>
  <c r="AA113" i="75" s="1"/>
  <c r="V113" i="75"/>
  <c r="AG113" i="75" s="1"/>
  <c r="U113" i="75"/>
  <c r="N113" i="75" a="1"/>
  <c r="N113" i="75" s="1"/>
  <c r="AE112" i="75"/>
  <c r="AD112" i="75"/>
  <c r="AA112" i="75"/>
  <c r="Z112" i="75"/>
  <c r="V112" i="75"/>
  <c r="U112" i="75"/>
  <c r="AF112" i="75" s="1"/>
  <c r="N112" i="75"/>
  <c r="N112" i="75" a="1"/>
  <c r="AE111" i="75"/>
  <c r="AD111" i="75"/>
  <c r="Z111" i="75"/>
  <c r="AA111" i="75" s="1"/>
  <c r="V111" i="75"/>
  <c r="U111" i="75"/>
  <c r="N111" i="75" a="1"/>
  <c r="N111" i="75" s="1"/>
  <c r="AE110" i="75"/>
  <c r="AD110" i="75"/>
  <c r="AA110" i="75"/>
  <c r="AG110" i="75" s="1"/>
  <c r="Z110" i="75"/>
  <c r="V110" i="75"/>
  <c r="U110" i="75"/>
  <c r="N110" i="75"/>
  <c r="N110" i="75" a="1"/>
  <c r="AE109" i="75"/>
  <c r="AD109" i="75"/>
  <c r="Z109" i="75"/>
  <c r="AA109" i="75" s="1"/>
  <c r="V109" i="75"/>
  <c r="U109" i="75"/>
  <c r="N109" i="75" a="1"/>
  <c r="N109" i="75" s="1"/>
  <c r="AE108" i="75"/>
  <c r="AD108" i="75"/>
  <c r="AA108" i="75"/>
  <c r="V108" i="75"/>
  <c r="U108" i="75"/>
  <c r="AF108" i="75" s="1"/>
  <c r="N108" i="75" a="1"/>
  <c r="N108" i="75" s="1"/>
  <c r="AE107" i="75"/>
  <c r="AD107" i="75"/>
  <c r="AA107" i="75"/>
  <c r="Z107" i="75"/>
  <c r="V107" i="75"/>
  <c r="U107" i="75"/>
  <c r="N107" i="75"/>
  <c r="N107" i="75" a="1"/>
  <c r="AE106" i="75"/>
  <c r="AD106" i="75"/>
  <c r="Z106" i="75"/>
  <c r="AA106" i="75" s="1"/>
  <c r="V106" i="75"/>
  <c r="U106" i="75"/>
  <c r="N106" i="75" a="1"/>
  <c r="N106" i="75" s="1"/>
  <c r="AE105" i="75"/>
  <c r="AD105" i="75"/>
  <c r="Z105" i="75"/>
  <c r="AA105" i="75" s="1"/>
  <c r="V105" i="75"/>
  <c r="U105" i="75"/>
  <c r="N105" i="75" a="1"/>
  <c r="N105" i="75" s="1"/>
  <c r="AE104" i="75"/>
  <c r="AD104" i="75"/>
  <c r="Z104" i="75"/>
  <c r="AA104" i="75" s="1"/>
  <c r="V104" i="75"/>
  <c r="U104" i="75"/>
  <c r="AF104" i="75" s="1"/>
  <c r="N104" i="75" a="1"/>
  <c r="N104" i="75" s="1"/>
  <c r="AE103" i="75"/>
  <c r="AD103" i="75"/>
  <c r="AA103" i="75"/>
  <c r="AG103" i="75" s="1"/>
  <c r="V103" i="75"/>
  <c r="U103" i="75"/>
  <c r="AF103" i="75" s="1"/>
  <c r="N103" i="75" a="1"/>
  <c r="N103" i="75" s="1"/>
  <c r="AE102" i="75"/>
  <c r="AD102" i="75"/>
  <c r="AA102" i="75"/>
  <c r="V102" i="75"/>
  <c r="U102" i="75"/>
  <c r="AF102" i="75" s="1"/>
  <c r="N102" i="75" a="1"/>
  <c r="N102" i="75" s="1"/>
  <c r="AE101" i="75"/>
  <c r="AD101" i="75"/>
  <c r="Z101" i="75"/>
  <c r="AA101" i="75" s="1"/>
  <c r="V101" i="75"/>
  <c r="AG101" i="75" s="1"/>
  <c r="U101" i="75"/>
  <c r="AF101" i="75" s="1"/>
  <c r="N101" i="75" a="1"/>
  <c r="N101" i="75" s="1"/>
  <c r="AE100" i="75"/>
  <c r="AD100" i="75"/>
  <c r="Z100" i="75"/>
  <c r="AA100" i="75" s="1"/>
  <c r="V100" i="75"/>
  <c r="U100" i="75"/>
  <c r="N100" i="75" a="1"/>
  <c r="N100" i="75" s="1"/>
  <c r="AE99" i="75"/>
  <c r="AD99" i="75"/>
  <c r="AA99" i="75"/>
  <c r="V99" i="75"/>
  <c r="U99" i="75"/>
  <c r="AF99" i="75" s="1"/>
  <c r="N99" i="75" a="1"/>
  <c r="N99" i="75" s="1"/>
  <c r="AE98" i="75"/>
  <c r="AD98" i="75"/>
  <c r="Z98" i="75"/>
  <c r="V98" i="75"/>
  <c r="U98" i="75"/>
  <c r="N98" i="75" a="1"/>
  <c r="N98" i="75" s="1"/>
  <c r="AF97" i="75"/>
  <c r="AE97" i="75"/>
  <c r="AD97" i="75"/>
  <c r="AA97" i="75"/>
  <c r="V97" i="75"/>
  <c r="U97" i="75"/>
  <c r="N97" i="75" a="1"/>
  <c r="N97" i="75" s="1"/>
  <c r="AE96" i="75"/>
  <c r="AD96" i="75"/>
  <c r="Z96" i="75"/>
  <c r="AA96" i="75" s="1"/>
  <c r="V96" i="75"/>
  <c r="U96" i="75"/>
  <c r="AF96" i="75" s="1"/>
  <c r="N96" i="75" a="1"/>
  <c r="N96" i="75" s="1"/>
  <c r="AE95" i="75"/>
  <c r="AD95" i="75"/>
  <c r="AA95" i="75"/>
  <c r="AG95" i="75" s="1"/>
  <c r="Z95" i="75"/>
  <c r="V95" i="75"/>
  <c r="U95" i="75"/>
  <c r="N95" i="75"/>
  <c r="N95" i="75" a="1"/>
  <c r="AE94" i="75"/>
  <c r="AD94" i="75"/>
  <c r="AJ94" i="75" s="1"/>
  <c r="Z94" i="75"/>
  <c r="AA94" i="75" s="1"/>
  <c r="V94" i="75"/>
  <c r="AG94" i="75" s="1"/>
  <c r="U94" i="75"/>
  <c r="AF94" i="75" s="1"/>
  <c r="N94" i="75" a="1"/>
  <c r="N94" i="75" s="1"/>
  <c r="AE93" i="75"/>
  <c r="AD93" i="75"/>
  <c r="Z93" i="75"/>
  <c r="AA93" i="75" s="1"/>
  <c r="V93" i="75"/>
  <c r="U93" i="75"/>
  <c r="N93" i="75" a="1"/>
  <c r="N93" i="75" s="1"/>
  <c r="AE92" i="75"/>
  <c r="AD92" i="75"/>
  <c r="Z92" i="75"/>
  <c r="AA92" i="75" s="1"/>
  <c r="V92" i="75"/>
  <c r="U92" i="75"/>
  <c r="N92" i="75" a="1"/>
  <c r="N92" i="75" s="1"/>
  <c r="AE91" i="75"/>
  <c r="AD91" i="75"/>
  <c r="AA91" i="75"/>
  <c r="V91" i="75"/>
  <c r="AG91" i="75" s="1"/>
  <c r="U91" i="75"/>
  <c r="AF91" i="75" s="1"/>
  <c r="N91" i="75" a="1"/>
  <c r="N91" i="75" s="1"/>
  <c r="AE90" i="75"/>
  <c r="AD90" i="75"/>
  <c r="AA90" i="75"/>
  <c r="AG90" i="75" s="1"/>
  <c r="V90" i="75"/>
  <c r="U90" i="75"/>
  <c r="AF90" i="75" s="1"/>
  <c r="N90" i="75" a="1"/>
  <c r="N90" i="75" s="1"/>
  <c r="AE89" i="75"/>
  <c r="AD89" i="75"/>
  <c r="Z89" i="75"/>
  <c r="V89" i="75"/>
  <c r="U89" i="75"/>
  <c r="N89" i="75"/>
  <c r="N89" i="75" a="1"/>
  <c r="AF88" i="75"/>
  <c r="AE88" i="75"/>
  <c r="AD88" i="75"/>
  <c r="AA88" i="75"/>
  <c r="V88" i="75"/>
  <c r="U88" i="75"/>
  <c r="N88" i="75"/>
  <c r="N88" i="75" a="1"/>
  <c r="AE87" i="75"/>
  <c r="AD87" i="75"/>
  <c r="Z87" i="75"/>
  <c r="AA87" i="75" s="1"/>
  <c r="AG87" i="75" s="1"/>
  <c r="V87" i="75"/>
  <c r="U87" i="75"/>
  <c r="N87" i="75" a="1"/>
  <c r="N87" i="75" s="1"/>
  <c r="AE86" i="75"/>
  <c r="AD86" i="75"/>
  <c r="Z86" i="75"/>
  <c r="V86" i="75"/>
  <c r="U86" i="75"/>
  <c r="N86" i="75" a="1"/>
  <c r="N86" i="75" s="1"/>
  <c r="AE85" i="75"/>
  <c r="AD85" i="75"/>
  <c r="Z85" i="75"/>
  <c r="AA85" i="75" s="1"/>
  <c r="V85" i="75"/>
  <c r="U85" i="75"/>
  <c r="N85" i="75" a="1"/>
  <c r="N85" i="75" s="1"/>
  <c r="AE84" i="75"/>
  <c r="AD84" i="75"/>
  <c r="Z84" i="75"/>
  <c r="AA84" i="75" s="1"/>
  <c r="AG84" i="75" s="1"/>
  <c r="V84" i="75"/>
  <c r="U84" i="75"/>
  <c r="N84" i="75" a="1"/>
  <c r="N84" i="75" s="1"/>
  <c r="AE83" i="75"/>
  <c r="AD83" i="75"/>
  <c r="Z83" i="75"/>
  <c r="AA83" i="75" s="1"/>
  <c r="AG83" i="75" s="1"/>
  <c r="V83" i="75"/>
  <c r="U83" i="75"/>
  <c r="N83" i="75" a="1"/>
  <c r="N83" i="75" s="1"/>
  <c r="AE82" i="75"/>
  <c r="AD82" i="75"/>
  <c r="AA82" i="75"/>
  <c r="AG82" i="75" s="1"/>
  <c r="V82" i="75"/>
  <c r="U82" i="75"/>
  <c r="AF82" i="75" s="1"/>
  <c r="N82" i="75" a="1"/>
  <c r="N82" i="75" s="1"/>
  <c r="AE81" i="75"/>
  <c r="AD81" i="75"/>
  <c r="AA81" i="75"/>
  <c r="V81" i="75"/>
  <c r="U81" i="75"/>
  <c r="AF81" i="75" s="1"/>
  <c r="N81" i="75" a="1"/>
  <c r="N81" i="75" s="1"/>
  <c r="AE80" i="75"/>
  <c r="AD80" i="75"/>
  <c r="AA80" i="75"/>
  <c r="AG80" i="75" s="1"/>
  <c r="V80" i="75"/>
  <c r="U80" i="75"/>
  <c r="AF80" i="75" s="1"/>
  <c r="N80" i="75" a="1"/>
  <c r="N80" i="75" s="1"/>
  <c r="AE79" i="75"/>
  <c r="AD79" i="75"/>
  <c r="AA79" i="75"/>
  <c r="AG79" i="75" s="1"/>
  <c r="Z79" i="75"/>
  <c r="V79" i="75"/>
  <c r="U79" i="75"/>
  <c r="AF79" i="75" s="1"/>
  <c r="N79" i="75"/>
  <c r="N79" i="75" a="1"/>
  <c r="AE78" i="75"/>
  <c r="AD78" i="75"/>
  <c r="AA78" i="75"/>
  <c r="AG78" i="75" s="1"/>
  <c r="Z78" i="75"/>
  <c r="V78" i="75"/>
  <c r="U78" i="75"/>
  <c r="N78" i="75"/>
  <c r="N78" i="75" a="1"/>
  <c r="AE77" i="75"/>
  <c r="AD77" i="75"/>
  <c r="Z77" i="75"/>
  <c r="AA77" i="75" s="1"/>
  <c r="V77" i="75"/>
  <c r="U77" i="75"/>
  <c r="N77" i="75" a="1"/>
  <c r="N77" i="75" s="1"/>
  <c r="AE76" i="75"/>
  <c r="AD76" i="75"/>
  <c r="Z76" i="75"/>
  <c r="V76" i="75"/>
  <c r="U76" i="75"/>
  <c r="N76" i="75" a="1"/>
  <c r="N76" i="75" s="1"/>
  <c r="AE75" i="75"/>
  <c r="AD75" i="75"/>
  <c r="AA75" i="75"/>
  <c r="V75" i="75"/>
  <c r="AG75" i="75" s="1"/>
  <c r="AJ75" i="75" s="1"/>
  <c r="U75" i="75"/>
  <c r="AF75" i="75" s="1"/>
  <c r="N75" i="75" a="1"/>
  <c r="N75" i="75" s="1"/>
  <c r="AE74" i="75"/>
  <c r="AD74" i="75"/>
  <c r="AA74" i="75"/>
  <c r="Z74" i="75"/>
  <c r="V74" i="75"/>
  <c r="AG74" i="75" s="1"/>
  <c r="U74" i="75"/>
  <c r="N74" i="75"/>
  <c r="N74" i="75" a="1"/>
  <c r="AF73" i="75"/>
  <c r="AE73" i="75"/>
  <c r="AD73" i="75"/>
  <c r="Z73" i="75"/>
  <c r="AA73" i="75" s="1"/>
  <c r="V73" i="75"/>
  <c r="AG73" i="75" s="1"/>
  <c r="U73" i="75"/>
  <c r="N73" i="75" a="1"/>
  <c r="N73" i="75" s="1"/>
  <c r="AE72" i="75"/>
  <c r="AD72" i="75"/>
  <c r="AA72" i="75"/>
  <c r="V72" i="75"/>
  <c r="U72" i="75"/>
  <c r="AF72" i="75" s="1"/>
  <c r="N72" i="75" a="1"/>
  <c r="N72" i="75" s="1"/>
  <c r="AF71" i="75"/>
  <c r="AE71" i="75"/>
  <c r="AD71" i="75"/>
  <c r="AA71" i="75"/>
  <c r="V71" i="75"/>
  <c r="U71" i="75"/>
  <c r="N71" i="75" a="1"/>
  <c r="N71" i="75" s="1"/>
  <c r="AE70" i="75"/>
  <c r="AD70" i="75"/>
  <c r="AA70" i="75"/>
  <c r="V70" i="75"/>
  <c r="U70" i="75"/>
  <c r="AF70" i="75" s="1"/>
  <c r="N70" i="75"/>
  <c r="N70" i="75" a="1"/>
  <c r="AE69" i="75"/>
  <c r="AD69" i="75"/>
  <c r="AA69" i="75"/>
  <c r="V69" i="75"/>
  <c r="AG69" i="75" s="1"/>
  <c r="U69" i="75"/>
  <c r="AF69" i="75" s="1"/>
  <c r="N69" i="75" a="1"/>
  <c r="N69" i="75" s="1"/>
  <c r="AE68" i="75"/>
  <c r="AD68" i="75"/>
  <c r="AA68" i="75"/>
  <c r="AG68" i="75" s="1"/>
  <c r="V68" i="75"/>
  <c r="U68" i="75"/>
  <c r="AF68" i="75" s="1"/>
  <c r="N68" i="75" a="1"/>
  <c r="N68" i="75" s="1"/>
  <c r="AE67" i="75"/>
  <c r="AD67" i="75"/>
  <c r="Z67" i="75"/>
  <c r="AF67" i="75" s="1"/>
  <c r="V67" i="75"/>
  <c r="U67" i="75"/>
  <c r="N67" i="75" a="1"/>
  <c r="N67" i="75" s="1"/>
  <c r="AE66" i="75"/>
  <c r="AD66" i="75"/>
  <c r="AA66" i="75"/>
  <c r="V66" i="75"/>
  <c r="AG66" i="75" s="1"/>
  <c r="U66" i="75"/>
  <c r="AF66" i="75" s="1"/>
  <c r="N66" i="75"/>
  <c r="N66" i="75" a="1"/>
  <c r="AE65" i="75"/>
  <c r="AD65" i="75"/>
  <c r="AA65" i="75"/>
  <c r="V65" i="75"/>
  <c r="U65" i="75"/>
  <c r="AF65" i="75" s="1"/>
  <c r="N65" i="75"/>
  <c r="N65" i="75" a="1"/>
  <c r="AE64" i="75"/>
  <c r="AD64" i="75"/>
  <c r="Z64" i="75"/>
  <c r="AA64" i="75" s="1"/>
  <c r="V64" i="75"/>
  <c r="U64" i="75"/>
  <c r="N64" i="75" a="1"/>
  <c r="N64" i="75" s="1"/>
  <c r="AE63" i="75"/>
  <c r="AD63" i="75"/>
  <c r="AA63" i="75"/>
  <c r="V63" i="75"/>
  <c r="U63" i="75"/>
  <c r="AF63" i="75" s="1"/>
  <c r="N63" i="75" a="1"/>
  <c r="N63" i="75" s="1"/>
  <c r="AF62" i="75"/>
  <c r="AE62" i="75"/>
  <c r="AD62" i="75"/>
  <c r="AA62" i="75"/>
  <c r="V62" i="75"/>
  <c r="U62" i="75"/>
  <c r="N62" i="75" a="1"/>
  <c r="N62" i="75" s="1"/>
  <c r="AE61" i="75"/>
  <c r="AD61" i="75"/>
  <c r="AJ61" i="75" s="1"/>
  <c r="AA61" i="75"/>
  <c r="AG61" i="75" s="1"/>
  <c r="V61" i="75"/>
  <c r="U61" i="75"/>
  <c r="AF61" i="75" s="1"/>
  <c r="N61" i="75"/>
  <c r="N61" i="75" a="1"/>
  <c r="AE60" i="75"/>
  <c r="AD60" i="75"/>
  <c r="AA60" i="75"/>
  <c r="V60" i="75"/>
  <c r="U60" i="75"/>
  <c r="AF60" i="75" s="1"/>
  <c r="N60" i="75" a="1"/>
  <c r="N60" i="75" s="1"/>
  <c r="AE59" i="75"/>
  <c r="AD59" i="75"/>
  <c r="AA59" i="75"/>
  <c r="V59" i="75"/>
  <c r="U59" i="75"/>
  <c r="AF59" i="75" s="1"/>
  <c r="N59" i="75" a="1"/>
  <c r="N59" i="75" s="1"/>
  <c r="AE58" i="75"/>
  <c r="AD58" i="75"/>
  <c r="Z58" i="75"/>
  <c r="AA58" i="75" s="1"/>
  <c r="V58" i="75"/>
  <c r="U58" i="75"/>
  <c r="N58" i="75" a="1"/>
  <c r="N58" i="75" s="1"/>
  <c r="AE57" i="75"/>
  <c r="AD57" i="75"/>
  <c r="Z57" i="75"/>
  <c r="AA57" i="75" s="1"/>
  <c r="V57" i="75"/>
  <c r="U57" i="75"/>
  <c r="AF57" i="75" s="1"/>
  <c r="N57" i="75" a="1"/>
  <c r="N57" i="75" s="1"/>
  <c r="AE56" i="75"/>
  <c r="AD56" i="75"/>
  <c r="AA56" i="75"/>
  <c r="V56" i="75"/>
  <c r="U56" i="75"/>
  <c r="AF56" i="75" s="1"/>
  <c r="N56" i="75" a="1"/>
  <c r="N56" i="75" s="1"/>
  <c r="AE55" i="75"/>
  <c r="AD55" i="75"/>
  <c r="Z55" i="75"/>
  <c r="V55" i="75"/>
  <c r="U55" i="75"/>
  <c r="N55" i="75" a="1"/>
  <c r="N55" i="75" s="1"/>
  <c r="AE54" i="75"/>
  <c r="AD54" i="75"/>
  <c r="Z54" i="75"/>
  <c r="AA54" i="75" s="1"/>
  <c r="V54" i="75"/>
  <c r="U54" i="75"/>
  <c r="AF54" i="75" s="1"/>
  <c r="N54" i="75" a="1"/>
  <c r="N54" i="75" s="1"/>
  <c r="AE53" i="75"/>
  <c r="AD53" i="75"/>
  <c r="Z53" i="75"/>
  <c r="AA53" i="75" s="1"/>
  <c r="V53" i="75"/>
  <c r="U53" i="75"/>
  <c r="N53" i="75" a="1"/>
  <c r="N53" i="75" s="1"/>
  <c r="AE52" i="75"/>
  <c r="AD52" i="75"/>
  <c r="Z52" i="75"/>
  <c r="AA52" i="75" s="1"/>
  <c r="AG52" i="75" s="1"/>
  <c r="V52" i="75"/>
  <c r="U52" i="75"/>
  <c r="N52" i="75" a="1"/>
  <c r="N52" i="75" s="1"/>
  <c r="AF51" i="75"/>
  <c r="AE51" i="75"/>
  <c r="AD51" i="75"/>
  <c r="AA51" i="75"/>
  <c r="V51" i="75"/>
  <c r="U51" i="75"/>
  <c r="N51" i="75" a="1"/>
  <c r="N51" i="75" s="1"/>
  <c r="AE50" i="75"/>
  <c r="AD50" i="75"/>
  <c r="Z50" i="75"/>
  <c r="AA50" i="75" s="1"/>
  <c r="V50" i="75"/>
  <c r="U50" i="75"/>
  <c r="N50" i="75" a="1"/>
  <c r="N50" i="75" s="1"/>
  <c r="AF49" i="75"/>
  <c r="AE49" i="75"/>
  <c r="AD49" i="75"/>
  <c r="AA49" i="75"/>
  <c r="V49" i="75"/>
  <c r="U49" i="75"/>
  <c r="N49" i="75" a="1"/>
  <c r="N49" i="75" s="1"/>
  <c r="AE48" i="75"/>
  <c r="AD48" i="75"/>
  <c r="AA48" i="75"/>
  <c r="V48" i="75"/>
  <c r="U48" i="75"/>
  <c r="AF48" i="75" s="1"/>
  <c r="N48" i="75"/>
  <c r="N48" i="75" a="1"/>
  <c r="AE47" i="75"/>
  <c r="AD47" i="75"/>
  <c r="AA47" i="75"/>
  <c r="AG47" i="75" s="1"/>
  <c r="V47" i="75"/>
  <c r="U47" i="75"/>
  <c r="AF47" i="75" s="1"/>
  <c r="N47" i="75" a="1"/>
  <c r="N47" i="75" s="1"/>
  <c r="AE46" i="75"/>
  <c r="AD46" i="75"/>
  <c r="AA46" i="75"/>
  <c r="V46" i="75"/>
  <c r="AG46" i="75" s="1"/>
  <c r="U46" i="75"/>
  <c r="AF46" i="75" s="1"/>
  <c r="N46" i="75" a="1"/>
  <c r="N46" i="75" s="1"/>
  <c r="AF45" i="75"/>
  <c r="AE45" i="75"/>
  <c r="AD45" i="75"/>
  <c r="AA45" i="75"/>
  <c r="V45" i="75"/>
  <c r="U45" i="75"/>
  <c r="N45" i="75" a="1"/>
  <c r="N45" i="75" s="1"/>
  <c r="AE44" i="75"/>
  <c r="AD44" i="75"/>
  <c r="AA44" i="75"/>
  <c r="V44" i="75"/>
  <c r="U44" i="75"/>
  <c r="AF44" i="75" s="1"/>
  <c r="N44" i="75"/>
  <c r="N44" i="75" a="1"/>
  <c r="AE43" i="75"/>
  <c r="AD43" i="75"/>
  <c r="AA43" i="75"/>
  <c r="V43" i="75"/>
  <c r="AG43" i="75" s="1"/>
  <c r="U43" i="75"/>
  <c r="AF43" i="75" s="1"/>
  <c r="N43" i="75"/>
  <c r="N43" i="75" a="1"/>
  <c r="AE42" i="75"/>
  <c r="AD42" i="75"/>
  <c r="AA42" i="75"/>
  <c r="V42" i="75"/>
  <c r="U42" i="75"/>
  <c r="AF42" i="75" s="1"/>
  <c r="N42" i="75" a="1"/>
  <c r="N42" i="75" s="1"/>
  <c r="AE41" i="75"/>
  <c r="AD41" i="75"/>
  <c r="AA41" i="75"/>
  <c r="V41" i="75"/>
  <c r="AG41" i="75" s="1"/>
  <c r="U41" i="75"/>
  <c r="AF41" i="75" s="1"/>
  <c r="N41" i="75" a="1"/>
  <c r="N41" i="75" s="1"/>
  <c r="AE40" i="75"/>
  <c r="AD40" i="75"/>
  <c r="AA40" i="75"/>
  <c r="V40" i="75"/>
  <c r="AG40" i="75" s="1"/>
  <c r="U40" i="75"/>
  <c r="AF40" i="75" s="1"/>
  <c r="N40" i="75" a="1"/>
  <c r="N40" i="75" s="1"/>
  <c r="AE39" i="75"/>
  <c r="AD39" i="75"/>
  <c r="AA39" i="75"/>
  <c r="V39" i="75"/>
  <c r="AG39" i="75" s="1"/>
  <c r="U39" i="75"/>
  <c r="AF39" i="75" s="1"/>
  <c r="N39" i="75"/>
  <c r="N39" i="75" a="1"/>
  <c r="AE38" i="75"/>
  <c r="AD38" i="75"/>
  <c r="AA38" i="75"/>
  <c r="V38" i="75"/>
  <c r="U38" i="75"/>
  <c r="AF38" i="75" s="1"/>
  <c r="N38" i="75" a="1"/>
  <c r="N38" i="75" s="1"/>
  <c r="AE37" i="75"/>
  <c r="AD37" i="75"/>
  <c r="AA37" i="75"/>
  <c r="V37" i="75"/>
  <c r="AG37" i="75" s="1"/>
  <c r="U37" i="75"/>
  <c r="AF37" i="75" s="1"/>
  <c r="N37" i="75" a="1"/>
  <c r="N37" i="75" s="1"/>
  <c r="AE36" i="75"/>
  <c r="AD36" i="75"/>
  <c r="AA36" i="75"/>
  <c r="V36" i="75"/>
  <c r="AG36" i="75" s="1"/>
  <c r="U36" i="75"/>
  <c r="AF36" i="75" s="1"/>
  <c r="N36" i="75" a="1"/>
  <c r="N36" i="75" s="1"/>
  <c r="AE35" i="75"/>
  <c r="AD35" i="75"/>
  <c r="AA35" i="75"/>
  <c r="V35" i="75"/>
  <c r="AG35" i="75" s="1"/>
  <c r="U35" i="75"/>
  <c r="AF35" i="75" s="1"/>
  <c r="N35" i="75"/>
  <c r="N35" i="75" a="1"/>
  <c r="AE34" i="75"/>
  <c r="AD34" i="75"/>
  <c r="Z34" i="75"/>
  <c r="AF34" i="75" s="1"/>
  <c r="V34" i="75"/>
  <c r="U34" i="75"/>
  <c r="N34" i="75" a="1"/>
  <c r="N34" i="75" s="1"/>
  <c r="AE33" i="75"/>
  <c r="AD33" i="75"/>
  <c r="Z33" i="75"/>
  <c r="AA33" i="75" s="1"/>
  <c r="V33" i="75"/>
  <c r="U33" i="75"/>
  <c r="AF33" i="75" s="1"/>
  <c r="N33" i="75" a="1"/>
  <c r="N33" i="75" s="1"/>
  <c r="AE32" i="75"/>
  <c r="AD32" i="75"/>
  <c r="AA32" i="75"/>
  <c r="AG32" i="75" s="1"/>
  <c r="Z32" i="75"/>
  <c r="V32" i="75"/>
  <c r="U32" i="75"/>
  <c r="AF32" i="75" s="1"/>
  <c r="N32" i="75"/>
  <c r="N32" i="75" a="1"/>
  <c r="AE31" i="75"/>
  <c r="AD31" i="75"/>
  <c r="AA31" i="75"/>
  <c r="AG31" i="75" s="1"/>
  <c r="Z31" i="75"/>
  <c r="V31" i="75"/>
  <c r="U31" i="75"/>
  <c r="N31" i="75" a="1"/>
  <c r="N31" i="75" s="1"/>
  <c r="AE30" i="75"/>
  <c r="AD30" i="75"/>
  <c r="AA30" i="75"/>
  <c r="V30" i="75"/>
  <c r="U30" i="75"/>
  <c r="AF30" i="75" s="1"/>
  <c r="N30" i="75" a="1"/>
  <c r="N30" i="75" s="1"/>
  <c r="AE29" i="75"/>
  <c r="AD29" i="75"/>
  <c r="AA29" i="75"/>
  <c r="Z29" i="75"/>
  <c r="V29" i="75"/>
  <c r="U29" i="75"/>
  <c r="AF29" i="75" s="1"/>
  <c r="N29" i="75"/>
  <c r="N29" i="75" a="1"/>
  <c r="AF28" i="75"/>
  <c r="AE28" i="75"/>
  <c r="AD28" i="75"/>
  <c r="AA28" i="75"/>
  <c r="V28" i="75"/>
  <c r="AG28" i="75" s="1"/>
  <c r="U28" i="75"/>
  <c r="N28" i="75" a="1"/>
  <c r="N28" i="75" s="1"/>
  <c r="AE27" i="75"/>
  <c r="AD27" i="75"/>
  <c r="AA27" i="75"/>
  <c r="V27" i="75"/>
  <c r="U27" i="75"/>
  <c r="AF27" i="75" s="1"/>
  <c r="N27" i="75"/>
  <c r="N27" i="75" a="1"/>
  <c r="AE26" i="75"/>
  <c r="AD26" i="75"/>
  <c r="AA26" i="75"/>
  <c r="AG26" i="75" s="1"/>
  <c r="Z26" i="75"/>
  <c r="AF26" i="75" s="1"/>
  <c r="V26" i="75"/>
  <c r="U26" i="75"/>
  <c r="N26" i="75" a="1"/>
  <c r="N26" i="75" s="1"/>
  <c r="AE25" i="75"/>
  <c r="AD25" i="75"/>
  <c r="Z25" i="75"/>
  <c r="V25" i="75"/>
  <c r="U25" i="75"/>
  <c r="N25" i="75" a="1"/>
  <c r="N25" i="75" s="1"/>
  <c r="AE24" i="75"/>
  <c r="AD24" i="75"/>
  <c r="AA24" i="75"/>
  <c r="Z24" i="75"/>
  <c r="V24" i="75"/>
  <c r="U24" i="75"/>
  <c r="AF24" i="75" s="1"/>
  <c r="N24" i="75" a="1"/>
  <c r="N24" i="75" s="1"/>
  <c r="AE23" i="75"/>
  <c r="AD23" i="75"/>
  <c r="AA23" i="75"/>
  <c r="AG23" i="75" s="1"/>
  <c r="V23" i="75"/>
  <c r="U23" i="75"/>
  <c r="AF23" i="75" s="1"/>
  <c r="N23" i="75" a="1"/>
  <c r="N23" i="75" s="1"/>
  <c r="AE22" i="75"/>
  <c r="AD22" i="75"/>
  <c r="Z22" i="75"/>
  <c r="V22" i="75"/>
  <c r="U22" i="75"/>
  <c r="N22" i="75" a="1"/>
  <c r="N22" i="75" s="1"/>
  <c r="AE21" i="75"/>
  <c r="AD21" i="75"/>
  <c r="Z21" i="75"/>
  <c r="AA21" i="75" s="1"/>
  <c r="V21" i="75"/>
  <c r="U21" i="75"/>
  <c r="N21" i="75" a="1"/>
  <c r="N21" i="75" s="1"/>
  <c r="AE20" i="75"/>
  <c r="AD20" i="75"/>
  <c r="AA20" i="75"/>
  <c r="AG20" i="75" s="1"/>
  <c r="V20" i="75"/>
  <c r="U20" i="75"/>
  <c r="AF20" i="75" s="1"/>
  <c r="N20" i="75" a="1"/>
  <c r="N20" i="75" s="1"/>
  <c r="AE19" i="75"/>
  <c r="AD19" i="75"/>
  <c r="AA19" i="75"/>
  <c r="V19" i="75"/>
  <c r="U19" i="75"/>
  <c r="AF19" i="75" s="1"/>
  <c r="N19" i="75" a="1"/>
  <c r="N19" i="75" s="1"/>
  <c r="AE18" i="75"/>
  <c r="AD18" i="75"/>
  <c r="AA18" i="75"/>
  <c r="AG18" i="75" s="1"/>
  <c r="V18" i="75"/>
  <c r="U18" i="75"/>
  <c r="AF18" i="75" s="1"/>
  <c r="N18" i="75" a="1"/>
  <c r="N18" i="75" s="1"/>
  <c r="AE17" i="75"/>
  <c r="AD17" i="75"/>
  <c r="AA17" i="75"/>
  <c r="V17" i="75"/>
  <c r="U17" i="75"/>
  <c r="AF17" i="75" s="1"/>
  <c r="N17" i="75" a="1"/>
  <c r="N17" i="75" s="1"/>
  <c r="AE16" i="75"/>
  <c r="AD16" i="75"/>
  <c r="AA16" i="75"/>
  <c r="Z16" i="75"/>
  <c r="V16" i="75"/>
  <c r="U16" i="75"/>
  <c r="AF16" i="75" s="1"/>
  <c r="N16" i="75"/>
  <c r="N16" i="75" a="1"/>
  <c r="AE15" i="75"/>
  <c r="AD15" i="75"/>
  <c r="AA15" i="75"/>
  <c r="V15" i="75"/>
  <c r="AG15" i="75" s="1"/>
  <c r="U15" i="75"/>
  <c r="AF15" i="75" s="1"/>
  <c r="N15" i="75" a="1"/>
  <c r="N15" i="75" s="1"/>
  <c r="AE14" i="75"/>
  <c r="AD14" i="75"/>
  <c r="AA14" i="75"/>
  <c r="V14" i="75"/>
  <c r="U14" i="75"/>
  <c r="AF14" i="75" s="1"/>
  <c r="N14" i="75" a="1"/>
  <c r="N14" i="75" s="1"/>
  <c r="AE13" i="75"/>
  <c r="AD13" i="75"/>
  <c r="Z13" i="75"/>
  <c r="AA13" i="75" s="1"/>
  <c r="V13" i="75"/>
  <c r="U13" i="75"/>
  <c r="N13" i="75" a="1"/>
  <c r="N13" i="75" s="1"/>
  <c r="AE12" i="75"/>
  <c r="AD12" i="75"/>
  <c r="AA12" i="75"/>
  <c r="V12" i="75"/>
  <c r="U12" i="75"/>
  <c r="AF12" i="75" s="1"/>
  <c r="N12" i="75" a="1"/>
  <c r="N12" i="75" s="1"/>
  <c r="AE11" i="75"/>
  <c r="AD11" i="75"/>
  <c r="AA11" i="75"/>
  <c r="V11" i="75"/>
  <c r="U11" i="75"/>
  <c r="AF11" i="75" s="1"/>
  <c r="N11" i="75" a="1"/>
  <c r="N11" i="75" s="1"/>
  <c r="AE10" i="75"/>
  <c r="AD10" i="75"/>
  <c r="Z10" i="75"/>
  <c r="V10" i="75"/>
  <c r="U10" i="75"/>
  <c r="N10" i="75" a="1"/>
  <c r="N10" i="75" s="1"/>
  <c r="AE9" i="75"/>
  <c r="AD9" i="75"/>
  <c r="AA9" i="75"/>
  <c r="V9" i="75"/>
  <c r="AG9" i="75" s="1"/>
  <c r="U9" i="75"/>
  <c r="AF9" i="75" s="1"/>
  <c r="N9" i="75" a="1"/>
  <c r="N9" i="75" s="1"/>
  <c r="AF8" i="75"/>
  <c r="AE8" i="75"/>
  <c r="AD8" i="75"/>
  <c r="AA8" i="75"/>
  <c r="V8" i="75"/>
  <c r="AG8" i="75" s="1"/>
  <c r="U8" i="75"/>
  <c r="N8" i="75" a="1"/>
  <c r="N8" i="75" s="1"/>
  <c r="E7" i="66"/>
  <c r="E6" i="66"/>
  <c r="E5" i="66"/>
  <c r="AI3" i="73"/>
  <c r="AI2" i="73"/>
  <c r="AG45" i="75" l="1"/>
  <c r="AG49" i="75"/>
  <c r="AJ49" i="75" s="1"/>
  <c r="AG56" i="75"/>
  <c r="AG59" i="75"/>
  <c r="AG62" i="75"/>
  <c r="AG63" i="75"/>
  <c r="AJ68" i="75"/>
  <c r="AF86" i="75"/>
  <c r="AA86" i="75"/>
  <c r="AG86" i="75" s="1"/>
  <c r="AJ86" i="75" s="1"/>
  <c r="AG120" i="75"/>
  <c r="AG131" i="75"/>
  <c r="AG133" i="75"/>
  <c r="AG208" i="75"/>
  <c r="AG13" i="75"/>
  <c r="AG12" i="75"/>
  <c r="AJ23" i="75"/>
  <c r="AG24" i="75"/>
  <c r="AF25" i="75"/>
  <c r="AJ37" i="75"/>
  <c r="AJ41" i="75"/>
  <c r="AG44" i="75"/>
  <c r="AJ45" i="75"/>
  <c r="AG48" i="75"/>
  <c r="AF52" i="75"/>
  <c r="AJ52" i="75" s="1"/>
  <c r="AF53" i="75"/>
  <c r="AG54" i="75"/>
  <c r="AF55" i="75"/>
  <c r="AJ56" i="75"/>
  <c r="AG57" i="75"/>
  <c r="AG58" i="75"/>
  <c r="AJ59" i="75"/>
  <c r="AG60" i="75"/>
  <c r="AJ63" i="75"/>
  <c r="AG65" i="75"/>
  <c r="AG70" i="75"/>
  <c r="AG72" i="75"/>
  <c r="AG81" i="75"/>
  <c r="AJ81" i="75" s="1"/>
  <c r="AF83" i="75"/>
  <c r="AF84" i="75"/>
  <c r="AG88" i="75"/>
  <c r="AG92" i="75"/>
  <c r="AG99" i="75"/>
  <c r="AG105" i="75"/>
  <c r="AG107" i="75"/>
  <c r="AG118" i="75"/>
  <c r="AJ118" i="75" s="1"/>
  <c r="AG138" i="75"/>
  <c r="AJ143" i="75"/>
  <c r="AG11" i="75"/>
  <c r="AJ11" i="75" s="1"/>
  <c r="AF10" i="75"/>
  <c r="AG14" i="75"/>
  <c r="AJ15" i="75"/>
  <c r="AG16" i="75"/>
  <c r="AF21" i="75"/>
  <c r="AJ21" i="75" s="1"/>
  <c r="AF22" i="75"/>
  <c r="AG27" i="75"/>
  <c r="AJ28" i="75"/>
  <c r="AG29" i="75"/>
  <c r="AF31" i="75"/>
  <c r="AG38" i="75"/>
  <c r="AG42" i="75"/>
  <c r="AF50" i="75"/>
  <c r="AJ50" i="75" s="1"/>
  <c r="AG51" i="75"/>
  <c r="AG53" i="75"/>
  <c r="AJ53" i="75" s="1"/>
  <c r="AJ70" i="75"/>
  <c r="AG71" i="75"/>
  <c r="AF89" i="75"/>
  <c r="AA89" i="75"/>
  <c r="AG89" i="75" s="1"/>
  <c r="AG97" i="75"/>
  <c r="AF98" i="75"/>
  <c r="AA98" i="75"/>
  <c r="AG98" i="75" s="1"/>
  <c r="AJ98" i="75" s="1"/>
  <c r="AG114" i="75"/>
  <c r="AJ122" i="75"/>
  <c r="AG17" i="75"/>
  <c r="AJ18" i="75"/>
  <c r="AG19" i="75"/>
  <c r="AJ19" i="75" s="1"/>
  <c r="AJ20" i="75"/>
  <c r="AG21" i="75"/>
  <c r="AG30" i="75"/>
  <c r="AJ30" i="75" s="1"/>
  <c r="AJ35" i="75"/>
  <c r="AJ39" i="75"/>
  <c r="AJ43" i="75"/>
  <c r="AJ47" i="75"/>
  <c r="AG50" i="75"/>
  <c r="AJ88" i="75"/>
  <c r="AJ141" i="75"/>
  <c r="AJ154" i="75"/>
  <c r="AA157" i="75"/>
  <c r="AJ197" i="75"/>
  <c r="AJ228" i="75"/>
  <c r="AF266" i="75"/>
  <c r="AA266" i="75"/>
  <c r="AG266" i="75" s="1"/>
  <c r="AF320" i="75"/>
  <c r="AA320" i="75"/>
  <c r="AG320" i="75" s="1"/>
  <c r="AG185" i="75"/>
  <c r="AJ186" i="75"/>
  <c r="AG192" i="75"/>
  <c r="AJ204" i="75"/>
  <c r="AG207" i="75"/>
  <c r="AJ211" i="75"/>
  <c r="AF334" i="75"/>
  <c r="AA334" i="75"/>
  <c r="AG334" i="75" s="1"/>
  <c r="AJ376" i="75"/>
  <c r="AF383" i="75"/>
  <c r="AA383" i="75"/>
  <c r="AG383" i="75" s="1"/>
  <c r="AA472" i="75"/>
  <c r="AF472" i="75"/>
  <c r="AF93" i="75"/>
  <c r="AG96" i="75"/>
  <c r="AJ97" i="75"/>
  <c r="AG102" i="75"/>
  <c r="AG104" i="75"/>
  <c r="AF106" i="75"/>
  <c r="AF110" i="75"/>
  <c r="AG112" i="75"/>
  <c r="AJ119" i="75"/>
  <c r="AF121" i="75"/>
  <c r="AF124" i="75"/>
  <c r="AG128" i="75"/>
  <c r="AG135" i="75"/>
  <c r="AG137" i="75"/>
  <c r="AJ139" i="75"/>
  <c r="AG146" i="75"/>
  <c r="AG151" i="75"/>
  <c r="AG153" i="75"/>
  <c r="AF165" i="75"/>
  <c r="AF166" i="75"/>
  <c r="AG167" i="75"/>
  <c r="AG168" i="75"/>
  <c r="AG170" i="75"/>
  <c r="AG181" i="75"/>
  <c r="AJ182" i="75"/>
  <c r="AG188" i="75"/>
  <c r="AJ188" i="75" s="1"/>
  <c r="AG198" i="75"/>
  <c r="AA200" i="75"/>
  <c r="AG200" i="75" s="1"/>
  <c r="AJ201" i="75"/>
  <c r="AF208" i="75"/>
  <c r="AJ208" i="75" s="1"/>
  <c r="AG210" i="75"/>
  <c r="AJ215" i="75"/>
  <c r="AA216" i="75"/>
  <c r="AG216" i="75" s="1"/>
  <c r="AJ216" i="75" s="1"/>
  <c r="AF232" i="75"/>
  <c r="AF233" i="75"/>
  <c r="AA233" i="75"/>
  <c r="AG233" i="75" s="1"/>
  <c r="AG259" i="75"/>
  <c r="AF260" i="75"/>
  <c r="AJ260" i="75" s="1"/>
  <c r="AF265" i="75"/>
  <c r="AA265" i="75"/>
  <c r="AJ293" i="75"/>
  <c r="AG294" i="75"/>
  <c r="AJ294" i="75" s="1"/>
  <c r="AG296" i="75"/>
  <c r="AF300" i="75"/>
  <c r="AJ301" i="75"/>
  <c r="AF310" i="75"/>
  <c r="AA310" i="75"/>
  <c r="AG310" i="75" s="1"/>
  <c r="AF311" i="75"/>
  <c r="AG317" i="75"/>
  <c r="AF318" i="75"/>
  <c r="AJ318" i="75"/>
  <c r="AJ339" i="75"/>
  <c r="AJ340" i="75"/>
  <c r="AG341" i="75"/>
  <c r="AF342" i="75"/>
  <c r="AF74" i="75"/>
  <c r="AF78" i="75"/>
  <c r="AJ80" i="75"/>
  <c r="AG93" i="75"/>
  <c r="AF95" i="75"/>
  <c r="AJ96" i="75"/>
  <c r="AJ104" i="75"/>
  <c r="AF105" i="75"/>
  <c r="AF107" i="75"/>
  <c r="AG108" i="75"/>
  <c r="AF109" i="75"/>
  <c r="AJ113" i="75"/>
  <c r="AF115" i="75"/>
  <c r="AG116" i="75"/>
  <c r="AJ116" i="75" s="1"/>
  <c r="AG117" i="75"/>
  <c r="AJ117" i="75" s="1"/>
  <c r="AF120" i="75"/>
  <c r="AG123" i="75"/>
  <c r="AJ123" i="75" s="1"/>
  <c r="AG124" i="75"/>
  <c r="AG125" i="75"/>
  <c r="AG132" i="75"/>
  <c r="AJ146" i="75"/>
  <c r="AG148" i="75"/>
  <c r="AF156" i="75"/>
  <c r="AG157" i="75"/>
  <c r="AG158" i="75"/>
  <c r="AF159" i="75"/>
  <c r="AJ159" i="75" s="1"/>
  <c r="AG160" i="75"/>
  <c r="AG161" i="75"/>
  <c r="AJ161" i="75" s="1"/>
  <c r="AG162" i="75"/>
  <c r="AJ162" i="75" s="1"/>
  <c r="AG163" i="75"/>
  <c r="AJ163" i="75" s="1"/>
  <c r="AG164" i="75"/>
  <c r="AJ164" i="75" s="1"/>
  <c r="AF167" i="75"/>
  <c r="AF171" i="75"/>
  <c r="AJ171" i="75" s="1"/>
  <c r="AJ175" i="75"/>
  <c r="AG176" i="75"/>
  <c r="AJ178" i="75"/>
  <c r="AG183" i="75"/>
  <c r="AG184" i="75"/>
  <c r="AJ192" i="75"/>
  <c r="AG193" i="75"/>
  <c r="AJ194" i="75"/>
  <c r="AG202" i="75"/>
  <c r="AJ202" i="75" s="1"/>
  <c r="AG203" i="75"/>
  <c r="AJ205" i="75"/>
  <c r="AJ206" i="75"/>
  <c r="AG212" i="75"/>
  <c r="AF227" i="75"/>
  <c r="AG238" i="75"/>
  <c r="AJ269" i="75"/>
  <c r="AJ289" i="75"/>
  <c r="AG305" i="75"/>
  <c r="AF314" i="75"/>
  <c r="AG328" i="75"/>
  <c r="AJ207" i="75"/>
  <c r="AG214" i="75"/>
  <c r="AF217" i="75"/>
  <c r="AG218" i="75"/>
  <c r="AG222" i="75"/>
  <c r="AG224" i="75"/>
  <c r="AJ224" i="75" s="1"/>
  <c r="AF234" i="75"/>
  <c r="AJ234" i="75" s="1"/>
  <c r="AJ238" i="75"/>
  <c r="AG240" i="75"/>
  <c r="AJ245" i="75"/>
  <c r="AG247" i="75"/>
  <c r="AG249" i="75"/>
  <c r="AJ249" i="75" s="1"/>
  <c r="AJ254" i="75"/>
  <c r="AF259" i="75"/>
  <c r="AG263" i="75"/>
  <c r="AJ263" i="75" s="1"/>
  <c r="AG265" i="75"/>
  <c r="AG268" i="75"/>
  <c r="AJ268" i="75" s="1"/>
  <c r="AG273" i="75"/>
  <c r="AJ273" i="75" s="1"/>
  <c r="AG281" i="75"/>
  <c r="AJ284" i="75"/>
  <c r="AG286" i="75"/>
  <c r="AF298" i="75"/>
  <c r="AF305" i="75"/>
  <c r="AG306" i="75"/>
  <c r="AJ306" i="75" s="1"/>
  <c r="AG308" i="75"/>
  <c r="AF313" i="75"/>
  <c r="AJ314" i="75"/>
  <c r="AG319" i="75"/>
  <c r="AG321" i="75"/>
  <c r="AG323" i="75"/>
  <c r="AG325" i="75"/>
  <c r="AJ325" i="75" s="1"/>
  <c r="AG330" i="75"/>
  <c r="AG332" i="75"/>
  <c r="AG335" i="75"/>
  <c r="AJ335" i="75" s="1"/>
  <c r="AJ358" i="75"/>
  <c r="AJ362" i="75"/>
  <c r="AJ364" i="75"/>
  <c r="AJ366" i="75"/>
  <c r="AG371" i="75"/>
  <c r="AG375" i="75"/>
  <c r="AJ389" i="75"/>
  <c r="AJ408" i="75"/>
  <c r="AJ418" i="75"/>
  <c r="AG217" i="75"/>
  <c r="AJ221" i="75"/>
  <c r="AG223" i="75"/>
  <c r="AG225" i="75"/>
  <c r="AJ225" i="75" s="1"/>
  <c r="AG226" i="75"/>
  <c r="AJ226" i="75" s="1"/>
  <c r="AG227" i="75"/>
  <c r="AJ231" i="75"/>
  <c r="AG232" i="75"/>
  <c r="AG234" i="75"/>
  <c r="AG239" i="75"/>
  <c r="AG241" i="75"/>
  <c r="AJ241" i="75" s="1"/>
  <c r="AJ246" i="75"/>
  <c r="AG248" i="75"/>
  <c r="AJ253" i="75"/>
  <c r="AG255" i="75"/>
  <c r="AG257" i="75"/>
  <c r="AJ257" i="75" s="1"/>
  <c r="AG261" i="75"/>
  <c r="AG262" i="75"/>
  <c r="AG274" i="75"/>
  <c r="AG277" i="75"/>
  <c r="AJ277" i="75" s="1"/>
  <c r="AG282" i="75"/>
  <c r="AJ283" i="75"/>
  <c r="AG285" i="75"/>
  <c r="AJ285" i="75" s="1"/>
  <c r="AG288" i="75"/>
  <c r="AG290" i="75"/>
  <c r="AG292" i="75"/>
  <c r="AJ292" i="75" s="1"/>
  <c r="AG300" i="75"/>
  <c r="AG302" i="75"/>
  <c r="AG304" i="75"/>
  <c r="AJ304" i="75" s="1"/>
  <c r="AG312" i="75"/>
  <c r="AJ312" i="75" s="1"/>
  <c r="AG315" i="75"/>
  <c r="AF317" i="75"/>
  <c r="AG322" i="75"/>
  <c r="AJ322" i="75" s="1"/>
  <c r="AG324" i="75"/>
  <c r="AG331" i="75"/>
  <c r="AF341" i="75"/>
  <c r="AJ342" i="75"/>
  <c r="AG369" i="75"/>
  <c r="AG373" i="75"/>
  <c r="AG406" i="75"/>
  <c r="AJ406" i="75" s="1"/>
  <c r="AJ452" i="75"/>
  <c r="AG344" i="75"/>
  <c r="AJ344" i="75" s="1"/>
  <c r="AG345" i="75"/>
  <c r="AG346" i="75"/>
  <c r="AJ346" i="75" s="1"/>
  <c r="AF347" i="75"/>
  <c r="AJ349" i="75"/>
  <c r="AG352" i="75"/>
  <c r="AG353" i="75"/>
  <c r="AG354" i="75"/>
  <c r="AJ354" i="75" s="1"/>
  <c r="AF356" i="75"/>
  <c r="AJ370" i="75"/>
  <c r="AJ371" i="75"/>
  <c r="AJ372" i="75"/>
  <c r="AJ373" i="75"/>
  <c r="AJ374" i="75"/>
  <c r="AF384" i="75"/>
  <c r="AF385" i="75"/>
  <c r="AJ385" i="75" s="1"/>
  <c r="AG390" i="75"/>
  <c r="AG391" i="75"/>
  <c r="AJ391" i="75" s="1"/>
  <c r="AG400" i="75"/>
  <c r="AJ400" i="75" s="1"/>
  <c r="AG405" i="75"/>
  <c r="AG413" i="75"/>
  <c r="AF418" i="75"/>
  <c r="AF426" i="75"/>
  <c r="AG427" i="75"/>
  <c r="AJ427" i="75" s="1"/>
  <c r="AF441" i="75"/>
  <c r="AG442" i="75"/>
  <c r="AJ442" i="75" s="1"/>
  <c r="AF443" i="75"/>
  <c r="AF445" i="75"/>
  <c r="AF446" i="75"/>
  <c r="AG447" i="75"/>
  <c r="AF450" i="75"/>
  <c r="AF454" i="75"/>
  <c r="AG459" i="75"/>
  <c r="AF461" i="75"/>
  <c r="AG462" i="75"/>
  <c r="AG463" i="75"/>
  <c r="AF469" i="75"/>
  <c r="AF474" i="75"/>
  <c r="AG475" i="75"/>
  <c r="AF479" i="75"/>
  <c r="AF483" i="75"/>
  <c r="AG347" i="75"/>
  <c r="AG357" i="75"/>
  <c r="AJ357" i="75" s="1"/>
  <c r="AG359" i="75"/>
  <c r="AG361" i="75"/>
  <c r="AG363" i="75"/>
  <c r="AJ363" i="75" s="1"/>
  <c r="AG365" i="75"/>
  <c r="AJ365" i="75" s="1"/>
  <c r="AG367" i="75"/>
  <c r="AG368" i="75"/>
  <c r="AJ368" i="75" s="1"/>
  <c r="AG380" i="75"/>
  <c r="AF382" i="75"/>
  <c r="AG386" i="75"/>
  <c r="AJ397" i="75"/>
  <c r="AG407" i="75"/>
  <c r="AJ407" i="75" s="1"/>
  <c r="AJ413" i="75"/>
  <c r="AG416" i="75"/>
  <c r="AJ416" i="75" s="1"/>
  <c r="AG417" i="75"/>
  <c r="AF424" i="75"/>
  <c r="AJ424" i="75" s="1"/>
  <c r="AG426" i="75"/>
  <c r="AF430" i="75"/>
  <c r="AJ430" i="75" s="1"/>
  <c r="AF431" i="75"/>
  <c r="AF435" i="75"/>
  <c r="AF439" i="75"/>
  <c r="AF440" i="75"/>
  <c r="AG452" i="75"/>
  <c r="AG453" i="75"/>
  <c r="AJ453" i="75" s="1"/>
  <c r="AF460" i="75"/>
  <c r="AF462" i="75"/>
  <c r="AJ462" i="75" s="1"/>
  <c r="AG464" i="75"/>
  <c r="AF467" i="75"/>
  <c r="AG468" i="75"/>
  <c r="AJ468" i="75" s="1"/>
  <c r="AF473" i="75"/>
  <c r="AG474" i="75"/>
  <c r="AJ474" i="75" s="1"/>
  <c r="AF477" i="75"/>
  <c r="AF478" i="75"/>
  <c r="AG479" i="75"/>
  <c r="AG481" i="75"/>
  <c r="AF482" i="75"/>
  <c r="AG483" i="75"/>
  <c r="AG485" i="75"/>
  <c r="AF491" i="75"/>
  <c r="AJ393" i="75"/>
  <c r="AG398" i="75"/>
  <c r="AG403" i="75"/>
  <c r="AG410" i="75"/>
  <c r="AG411" i="75"/>
  <c r="AJ411" i="75" s="1"/>
  <c r="AG414" i="75"/>
  <c r="AJ414" i="75" s="1"/>
  <c r="AJ421" i="75"/>
  <c r="AG431" i="75"/>
  <c r="AG435" i="75"/>
  <c r="AG439" i="75"/>
  <c r="AJ466" i="75"/>
  <c r="AG472" i="75"/>
  <c r="AG491" i="75"/>
  <c r="AJ65" i="75"/>
  <c r="AJ12" i="75"/>
  <c r="AJ16" i="75"/>
  <c r="AJ29" i="75"/>
  <c r="AJ14" i="75"/>
  <c r="AJ24" i="75"/>
  <c r="AJ27" i="75"/>
  <c r="AJ31" i="75"/>
  <c r="AJ32" i="75"/>
  <c r="AG33" i="75"/>
  <c r="AJ33" i="75" s="1"/>
  <c r="AJ8" i="75"/>
  <c r="AJ9" i="75"/>
  <c r="AJ17" i="75"/>
  <c r="AJ26" i="75"/>
  <c r="AA10" i="75"/>
  <c r="AG10" i="75" s="1"/>
  <c r="AJ10" i="75" s="1"/>
  <c r="AA22" i="75"/>
  <c r="AG22" i="75" s="1"/>
  <c r="AJ22" i="75" s="1"/>
  <c r="AA25" i="75"/>
  <c r="AG25" i="75" s="1"/>
  <c r="AJ25" i="75" s="1"/>
  <c r="AA34" i="75"/>
  <c r="AG34" i="75" s="1"/>
  <c r="AJ34" i="75" s="1"/>
  <c r="AJ54" i="75"/>
  <c r="AA55" i="75"/>
  <c r="AG55" i="75" s="1"/>
  <c r="AJ55" i="75" s="1"/>
  <c r="AF58" i="75"/>
  <c r="AG64" i="75"/>
  <c r="AJ64" i="75" s="1"/>
  <c r="AF64" i="75"/>
  <c r="AJ66" i="75"/>
  <c r="AA67" i="75"/>
  <c r="AG67" i="75" s="1"/>
  <c r="AJ73" i="75"/>
  <c r="AJ79" i="75"/>
  <c r="AJ46" i="75"/>
  <c r="AJ51" i="75"/>
  <c r="AJ57" i="75"/>
  <c r="AJ67" i="75"/>
  <c r="AJ69" i="75"/>
  <c r="AJ72" i="75"/>
  <c r="AJ74" i="75"/>
  <c r="AG77" i="75"/>
  <c r="AF13" i="75"/>
  <c r="AJ13" i="75" s="1"/>
  <c r="AJ36" i="75"/>
  <c r="AJ38" i="75"/>
  <c r="AJ40" i="75"/>
  <c r="AJ42" i="75"/>
  <c r="AJ58" i="75"/>
  <c r="AJ60" i="75"/>
  <c r="AJ62" i="75"/>
  <c r="AJ83" i="75"/>
  <c r="AJ44" i="75"/>
  <c r="AJ48" i="75"/>
  <c r="AA76" i="75"/>
  <c r="AG76" i="75" s="1"/>
  <c r="AF76" i="75"/>
  <c r="AJ78" i="75"/>
  <c r="AJ71" i="75"/>
  <c r="AF77" i="75"/>
  <c r="AJ82" i="75"/>
  <c r="AJ84" i="75"/>
  <c r="AJ99" i="75"/>
  <c r="AJ102" i="75"/>
  <c r="AJ105" i="75"/>
  <c r="AJ108" i="75"/>
  <c r="AG115" i="75"/>
  <c r="AJ115" i="75" s="1"/>
  <c r="AJ120" i="75"/>
  <c r="AJ127" i="75"/>
  <c r="AJ131" i="75"/>
  <c r="AJ135" i="75"/>
  <c r="AJ140" i="75"/>
  <c r="AJ147" i="75"/>
  <c r="AJ150" i="75"/>
  <c r="AJ155" i="75"/>
  <c r="AJ157" i="75"/>
  <c r="AJ165" i="75"/>
  <c r="AJ167" i="75"/>
  <c r="AJ199" i="75"/>
  <c r="AJ203" i="75"/>
  <c r="AG85" i="75"/>
  <c r="AF85" i="75"/>
  <c r="AJ91" i="75"/>
  <c r="AG100" i="75"/>
  <c r="AF100" i="75"/>
  <c r="AJ101" i="75"/>
  <c r="AG106" i="75"/>
  <c r="AJ106" i="75" s="1"/>
  <c r="AJ107" i="75"/>
  <c r="AG109" i="75"/>
  <c r="AJ109" i="75" s="1"/>
  <c r="AJ110" i="75"/>
  <c r="AG121" i="75"/>
  <c r="AJ121" i="75" s="1"/>
  <c r="AJ126" i="75"/>
  <c r="AJ130" i="75"/>
  <c r="AJ134" i="75"/>
  <c r="AJ138" i="75"/>
  <c r="AJ142" i="75"/>
  <c r="AJ149" i="75"/>
  <c r="AJ152" i="75"/>
  <c r="AG156" i="75"/>
  <c r="AJ156" i="75" s="1"/>
  <c r="AJ160" i="75"/>
  <c r="AG166" i="75"/>
  <c r="AJ166" i="75" s="1"/>
  <c r="AJ169" i="75"/>
  <c r="AJ184" i="75"/>
  <c r="AJ77" i="75"/>
  <c r="AF87" i="75"/>
  <c r="AJ87" i="75" s="1"/>
  <c r="AJ90" i="75"/>
  <c r="AF92" i="75"/>
  <c r="AJ92" i="75" s="1"/>
  <c r="AJ93" i="75"/>
  <c r="AG111" i="75"/>
  <c r="AF111" i="75"/>
  <c r="AJ112" i="75"/>
  <c r="AJ125" i="75"/>
  <c r="AJ129" i="75"/>
  <c r="AJ133" i="75"/>
  <c r="AJ137" i="75"/>
  <c r="AJ151" i="75"/>
  <c r="AJ158" i="75"/>
  <c r="AJ168" i="75"/>
  <c r="AJ89" i="75"/>
  <c r="AJ95" i="75"/>
  <c r="AJ103" i="75"/>
  <c r="AJ114" i="75"/>
  <c r="AJ124" i="75"/>
  <c r="AJ128" i="75"/>
  <c r="AJ132" i="75"/>
  <c r="AJ136" i="75"/>
  <c r="AJ145" i="75"/>
  <c r="AJ148" i="75"/>
  <c r="AJ153" i="75"/>
  <c r="AJ198" i="75"/>
  <c r="AF170" i="75"/>
  <c r="AJ170" i="75" s="1"/>
  <c r="AJ179" i="75"/>
  <c r="AJ187" i="75"/>
  <c r="AJ195" i="75"/>
  <c r="AF196" i="75"/>
  <c r="AJ196" i="75" s="1"/>
  <c r="AJ209" i="75"/>
  <c r="AJ267" i="75"/>
  <c r="AJ308" i="75"/>
  <c r="AJ356" i="75"/>
  <c r="AJ172" i="75"/>
  <c r="AJ181" i="75"/>
  <c r="AJ189" i="75"/>
  <c r="AJ200" i="75"/>
  <c r="AJ210" i="75"/>
  <c r="AJ214" i="75"/>
  <c r="AJ220" i="75"/>
  <c r="AJ223" i="75"/>
  <c r="AJ230" i="75"/>
  <c r="AJ240" i="75"/>
  <c r="AJ243" i="75"/>
  <c r="AJ248" i="75"/>
  <c r="AJ251" i="75"/>
  <c r="AA264" i="75"/>
  <c r="AG264" i="75" s="1"/>
  <c r="AF264" i="75"/>
  <c r="AJ271" i="75"/>
  <c r="AJ275" i="75"/>
  <c r="AJ281" i="75"/>
  <c r="AJ297" i="75"/>
  <c r="AJ309" i="75"/>
  <c r="AJ328" i="75"/>
  <c r="AJ384" i="75"/>
  <c r="AJ404" i="75"/>
  <c r="AJ174" i="75"/>
  <c r="AJ183" i="75"/>
  <c r="AJ191" i="75"/>
  <c r="AJ213" i="75"/>
  <c r="AJ219" i="75"/>
  <c r="AJ227" i="75"/>
  <c r="AJ232" i="75"/>
  <c r="AJ235" i="75"/>
  <c r="AJ242" i="75"/>
  <c r="AJ250" i="75"/>
  <c r="AJ258" i="75"/>
  <c r="AJ261" i="75"/>
  <c r="AJ279" i="75"/>
  <c r="AJ298" i="75"/>
  <c r="AJ311" i="75"/>
  <c r="AJ315" i="75"/>
  <c r="AJ378" i="75"/>
  <c r="AJ176" i="75"/>
  <c r="AJ185" i="75"/>
  <c r="AJ193" i="75"/>
  <c r="AJ212" i="75"/>
  <c r="AJ218" i="75"/>
  <c r="AJ222" i="75"/>
  <c r="AJ229" i="75"/>
  <c r="AJ233" i="75"/>
  <c r="AJ237" i="75"/>
  <c r="AJ239" i="75"/>
  <c r="AJ244" i="75"/>
  <c r="AJ247" i="75"/>
  <c r="AJ252" i="75"/>
  <c r="AJ255" i="75"/>
  <c r="AG256" i="75"/>
  <c r="AJ256" i="75" s="1"/>
  <c r="AF256" i="75"/>
  <c r="AJ259" i="75"/>
  <c r="AJ266" i="75"/>
  <c r="AJ276" i="75"/>
  <c r="AJ287" i="75"/>
  <c r="AJ290" i="75"/>
  <c r="AJ291" i="75"/>
  <c r="AA295" i="75"/>
  <c r="AG295" i="75" s="1"/>
  <c r="AF295" i="75"/>
  <c r="AJ302" i="75"/>
  <c r="AJ303" i="75"/>
  <c r="AJ351" i="75"/>
  <c r="AA399" i="75"/>
  <c r="AG399" i="75" s="1"/>
  <c r="AF399" i="75"/>
  <c r="AJ270" i="75"/>
  <c r="AJ278" i="75"/>
  <c r="AJ286" i="75"/>
  <c r="AJ310" i="75"/>
  <c r="AJ324" i="75"/>
  <c r="AJ330" i="75"/>
  <c r="AJ334" i="75"/>
  <c r="AJ337" i="75"/>
  <c r="AG338" i="75"/>
  <c r="AF338" i="75"/>
  <c r="AJ338" i="75" s="1"/>
  <c r="AJ341" i="75"/>
  <c r="AJ345" i="75"/>
  <c r="AJ348" i="75"/>
  <c r="AJ352" i="75"/>
  <c r="AJ359" i="75"/>
  <c r="AJ367" i="75"/>
  <c r="AJ375" i="75"/>
  <c r="AJ399" i="75"/>
  <c r="AJ402" i="75"/>
  <c r="AJ410" i="75"/>
  <c r="AA419" i="75"/>
  <c r="AF419" i="75"/>
  <c r="AJ419" i="75" s="1"/>
  <c r="AJ469" i="75"/>
  <c r="AF262" i="75"/>
  <c r="AJ262" i="75" s="1"/>
  <c r="AJ272" i="75"/>
  <c r="AJ280" i="75"/>
  <c r="AJ288" i="75"/>
  <c r="AG299" i="75"/>
  <c r="AF299" i="75"/>
  <c r="AJ300" i="75"/>
  <c r="AG307" i="75"/>
  <c r="AF307" i="75"/>
  <c r="AJ316" i="75"/>
  <c r="AJ319" i="75"/>
  <c r="AJ321" i="75"/>
  <c r="AJ326" i="75"/>
  <c r="AJ329" i="75"/>
  <c r="AJ332" i="75"/>
  <c r="AG333" i="75"/>
  <c r="AF333" i="75"/>
  <c r="AJ333" i="75" s="1"/>
  <c r="AJ336" i="75"/>
  <c r="AJ350" i="75"/>
  <c r="AJ355" i="75"/>
  <c r="AJ361" i="75"/>
  <c r="AJ369" i="75"/>
  <c r="AJ377" i="75"/>
  <c r="AJ381" i="75"/>
  <c r="AJ390" i="75"/>
  <c r="AJ398" i="75"/>
  <c r="AF409" i="75"/>
  <c r="AG412" i="75"/>
  <c r="AF412" i="75"/>
  <c r="AJ412" i="75" s="1"/>
  <c r="AJ417" i="75"/>
  <c r="AF420" i="75"/>
  <c r="AJ420" i="75" s="1"/>
  <c r="AJ439" i="75"/>
  <c r="AJ265" i="75"/>
  <c r="AJ274" i="75"/>
  <c r="AJ282" i="75"/>
  <c r="AJ296" i="75"/>
  <c r="AJ305" i="75"/>
  <c r="AJ313" i="75"/>
  <c r="AJ317" i="75"/>
  <c r="AJ320" i="75"/>
  <c r="AJ323" i="75"/>
  <c r="AJ331" i="75"/>
  <c r="AJ347" i="75"/>
  <c r="AJ353" i="75"/>
  <c r="AJ379" i="75"/>
  <c r="AJ387" i="75"/>
  <c r="AJ395" i="75"/>
  <c r="AA432" i="75"/>
  <c r="AF432" i="75"/>
  <c r="AG382" i="75"/>
  <c r="AJ382" i="75" s="1"/>
  <c r="AJ383" i="75"/>
  <c r="AJ392" i="75"/>
  <c r="AJ401" i="75"/>
  <c r="AG423" i="75"/>
  <c r="AF423" i="75"/>
  <c r="AJ423" i="75" s="1"/>
  <c r="AJ460" i="75"/>
  <c r="AA476" i="75"/>
  <c r="AF476" i="75"/>
  <c r="AJ380" i="75"/>
  <c r="AJ386" i="75"/>
  <c r="AJ394" i="75"/>
  <c r="AJ403" i="75"/>
  <c r="AG425" i="75"/>
  <c r="AF425" i="75"/>
  <c r="AJ425" i="75" s="1"/>
  <c r="AJ426" i="75"/>
  <c r="AJ437" i="75"/>
  <c r="AJ471" i="75"/>
  <c r="AA487" i="75"/>
  <c r="AG487" i="75" s="1"/>
  <c r="AF487" i="75"/>
  <c r="AJ388" i="75"/>
  <c r="AJ396" i="75"/>
  <c r="AJ405" i="75"/>
  <c r="AG409" i="75"/>
  <c r="AG419" i="75"/>
  <c r="AJ429" i="75"/>
  <c r="AA444" i="75"/>
  <c r="AG444" i="75" s="1"/>
  <c r="AJ444" i="75" s="1"/>
  <c r="AF444" i="75"/>
  <c r="AJ485" i="75"/>
  <c r="AJ422" i="75"/>
  <c r="AG428" i="75"/>
  <c r="AJ428" i="75" s="1"/>
  <c r="AJ433" i="75"/>
  <c r="AJ435" i="75"/>
  <c r="AF436" i="75"/>
  <c r="AJ436" i="75" s="1"/>
  <c r="AG438" i="75"/>
  <c r="AJ438" i="75" s="1"/>
  <c r="AJ447" i="75"/>
  <c r="AJ457" i="75"/>
  <c r="AF459" i="75"/>
  <c r="AG461" i="75"/>
  <c r="AJ461" i="75" s="1"/>
  <c r="AG467" i="75"/>
  <c r="AG470" i="75"/>
  <c r="AJ470" i="75" s="1"/>
  <c r="AJ481" i="75"/>
  <c r="AJ483" i="75"/>
  <c r="AG484" i="75"/>
  <c r="AF484" i="75"/>
  <c r="AJ484" i="75" s="1"/>
  <c r="AJ431" i="75"/>
  <c r="AG432" i="75"/>
  <c r="AJ432" i="75" s="1"/>
  <c r="AG434" i="75"/>
  <c r="AJ434" i="75" s="1"/>
  <c r="AJ440" i="75"/>
  <c r="AJ445" i="75"/>
  <c r="AJ448" i="75"/>
  <c r="AJ450" i="75"/>
  <c r="AF451" i="75"/>
  <c r="AJ451" i="75" s="1"/>
  <c r="AJ454" i="75"/>
  <c r="AJ463" i="75"/>
  <c r="AJ465" i="75"/>
  <c r="AJ472" i="75"/>
  <c r="AJ477" i="75"/>
  <c r="AJ479" i="75"/>
  <c r="AG480" i="75"/>
  <c r="AF480" i="75"/>
  <c r="AG482" i="75"/>
  <c r="AJ482" i="75" s="1"/>
  <c r="AJ489" i="75"/>
  <c r="AJ491" i="75"/>
  <c r="AJ441" i="75"/>
  <c r="AJ443" i="75"/>
  <c r="AG446" i="75"/>
  <c r="AJ446" i="75" s="1"/>
  <c r="AG449" i="75"/>
  <c r="AJ449" i="75" s="1"/>
  <c r="AJ459" i="75"/>
  <c r="AJ464" i="75"/>
  <c r="AJ473" i="75"/>
  <c r="AJ475" i="75"/>
  <c r="AG476" i="75"/>
  <c r="AJ476" i="75" s="1"/>
  <c r="AG478" i="75"/>
  <c r="AJ478" i="75" s="1"/>
  <c r="AJ486" i="75"/>
  <c r="AG490" i="75"/>
  <c r="AJ490" i="75" s="1"/>
  <c r="AJ480" i="75" l="1"/>
  <c r="AJ467" i="75"/>
  <c r="AJ299" i="75"/>
  <c r="AJ85" i="75"/>
  <c r="AJ76" i="75"/>
  <c r="AJ217" i="75"/>
  <c r="AJ307" i="75"/>
  <c r="AJ111" i="75"/>
  <c r="AJ487" i="75"/>
  <c r="AJ100" i="75"/>
  <c r="AJ3" i="75"/>
  <c r="AJ409" i="75"/>
  <c r="AJ295" i="75"/>
  <c r="AJ264" i="75"/>
  <c r="AJ4" i="75" s="1"/>
  <c r="X45" i="56"/>
  <c r="X26" i="56"/>
  <c r="X11" i="56"/>
  <c r="X6" i="56"/>
  <c r="X25" i="56"/>
  <c r="X35" i="56"/>
  <c r="X7" i="56"/>
  <c r="X30" i="56"/>
  <c r="X12" i="56"/>
  <c r="X28" i="56"/>
  <c r="X10" i="56"/>
  <c r="X20" i="56"/>
  <c r="X37" i="56"/>
  <c r="X42" i="56"/>
  <c r="X19" i="56"/>
  <c r="X31" i="56"/>
  <c r="X23" i="56"/>
  <c r="X36" i="56"/>
  <c r="X17" i="56"/>
  <c r="X16" i="56"/>
  <c r="X38" i="56"/>
  <c r="X14" i="56"/>
  <c r="X32" i="56"/>
  <c r="X27" i="56"/>
  <c r="X22" i="56"/>
  <c r="X29" i="56"/>
  <c r="X43" i="56"/>
  <c r="X24" i="56"/>
  <c r="X21" i="56"/>
  <c r="X40" i="56"/>
  <c r="X15" i="56"/>
  <c r="X33" i="56"/>
  <c r="X18" i="56"/>
  <c r="X9" i="56"/>
  <c r="X39" i="56"/>
  <c r="X41" i="56"/>
  <c r="X44" i="56"/>
  <c r="X13" i="56"/>
  <c r="X34" i="56"/>
  <c r="X64" i="56"/>
  <c r="X58" i="56"/>
  <c r="X65" i="56"/>
  <c r="X56" i="56"/>
  <c r="X59" i="56"/>
  <c r="X49" i="56"/>
  <c r="X50" i="56"/>
  <c r="X67" i="56"/>
  <c r="X51" i="56"/>
  <c r="X69" i="56"/>
  <c r="X62" i="56"/>
  <c r="X60" i="56"/>
  <c r="X61" i="56"/>
  <c r="X54" i="56"/>
  <c r="X46" i="56"/>
  <c r="X70" i="56"/>
  <c r="X63" i="56"/>
  <c r="X53" i="56"/>
  <c r="X55" i="56"/>
  <c r="X48" i="56"/>
  <c r="X52" i="56"/>
  <c r="X66" i="56"/>
  <c r="X68" i="56"/>
  <c r="X47" i="56"/>
  <c r="X57" i="56"/>
  <c r="X95" i="56"/>
  <c r="X91" i="56"/>
  <c r="X79" i="56"/>
  <c r="X99" i="56"/>
  <c r="X85" i="56"/>
  <c r="X97" i="56"/>
  <c r="X98" i="56"/>
  <c r="X78" i="56"/>
  <c r="X87" i="56"/>
  <c r="X75" i="56"/>
  <c r="X84" i="56"/>
  <c r="X82" i="56"/>
  <c r="X94" i="56"/>
  <c r="X83" i="56"/>
  <c r="X80" i="56"/>
  <c r="X93" i="56"/>
  <c r="X88" i="56"/>
  <c r="X72" i="56"/>
  <c r="X74" i="56"/>
  <c r="X86" i="56"/>
  <c r="X81" i="56"/>
  <c r="X71" i="56"/>
  <c r="X89" i="56"/>
  <c r="X96" i="56"/>
  <c r="X76" i="56"/>
  <c r="X77" i="56"/>
  <c r="X92" i="56"/>
  <c r="X73" i="56"/>
  <c r="X90" i="56"/>
  <c r="X134" i="56"/>
  <c r="X113" i="56"/>
  <c r="X107" i="56"/>
  <c r="X131" i="56"/>
  <c r="X118" i="56"/>
  <c r="X126" i="56"/>
  <c r="X119" i="56"/>
  <c r="X129" i="56"/>
  <c r="X112" i="56"/>
  <c r="X100" i="56"/>
  <c r="X117" i="56"/>
  <c r="X120" i="56"/>
  <c r="X108" i="56"/>
  <c r="X114" i="56"/>
  <c r="X121" i="56"/>
  <c r="X110" i="56"/>
  <c r="X130" i="56"/>
  <c r="X128" i="56"/>
  <c r="X137" i="56"/>
  <c r="X136" i="56"/>
  <c r="X123" i="56"/>
  <c r="X132" i="56"/>
  <c r="X127" i="56"/>
  <c r="X115" i="56"/>
  <c r="X101" i="56"/>
  <c r="X104" i="56"/>
  <c r="X135" i="56"/>
  <c r="X133" i="56"/>
  <c r="X124" i="56"/>
  <c r="X116" i="56"/>
  <c r="X103" i="56"/>
  <c r="X102" i="56"/>
  <c r="X105" i="56"/>
  <c r="X109" i="56"/>
  <c r="X106" i="56"/>
  <c r="X125" i="56"/>
  <c r="X122" i="56"/>
  <c r="X138" i="56"/>
  <c r="X111" i="56"/>
  <c r="X167" i="56"/>
  <c r="X146" i="56"/>
  <c r="X153" i="56"/>
  <c r="X155" i="56"/>
  <c r="X168" i="56"/>
  <c r="X163" i="56"/>
  <c r="X148" i="56"/>
  <c r="X142" i="56"/>
  <c r="X169" i="56"/>
  <c r="X165" i="56"/>
  <c r="X156" i="56"/>
  <c r="X152" i="56"/>
  <c r="X159" i="56"/>
  <c r="X147" i="56"/>
  <c r="X151" i="56"/>
  <c r="X144" i="56"/>
  <c r="X160" i="56"/>
  <c r="X157" i="56"/>
  <c r="X161" i="56"/>
  <c r="X164" i="56"/>
  <c r="X140" i="56"/>
  <c r="X149" i="56"/>
  <c r="X154" i="56"/>
  <c r="X139" i="56"/>
  <c r="X145" i="56"/>
  <c r="X158" i="56"/>
  <c r="X162" i="56"/>
  <c r="X150" i="56"/>
  <c r="X166" i="56"/>
  <c r="X141" i="56"/>
  <c r="X143" i="56"/>
  <c r="X191" i="56"/>
  <c r="X181" i="56"/>
  <c r="X174" i="56"/>
  <c r="X184" i="56"/>
  <c r="X171" i="56"/>
  <c r="X177" i="56"/>
  <c r="X192" i="56"/>
  <c r="X201" i="56"/>
  <c r="X190" i="56"/>
  <c r="X193" i="56"/>
  <c r="X186" i="56"/>
  <c r="X198" i="56"/>
  <c r="X176" i="56"/>
  <c r="X183" i="56"/>
  <c r="X170" i="56"/>
  <c r="X187" i="56"/>
  <c r="X182" i="56"/>
  <c r="X194" i="56"/>
  <c r="X172" i="56"/>
  <c r="X196" i="56"/>
  <c r="X180" i="56"/>
  <c r="X199" i="56"/>
  <c r="X188" i="56"/>
  <c r="X197" i="56"/>
  <c r="X185" i="56"/>
  <c r="X195" i="56"/>
  <c r="X189" i="56"/>
  <c r="X178" i="56"/>
  <c r="X173" i="56"/>
  <c r="X179" i="56"/>
  <c r="X200" i="56"/>
  <c r="X175" i="56"/>
  <c r="X222" i="56"/>
  <c r="X214" i="56"/>
  <c r="X216" i="56"/>
  <c r="X230" i="56"/>
  <c r="X226" i="56"/>
  <c r="X231" i="56"/>
  <c r="X203" i="56"/>
  <c r="X207" i="56"/>
  <c r="X210" i="56"/>
  <c r="X223" i="56"/>
  <c r="X206" i="56"/>
  <c r="X232" i="56"/>
  <c r="X224" i="56"/>
  <c r="X233" i="56"/>
  <c r="X218" i="56"/>
  <c r="X220" i="56"/>
  <c r="X211" i="56"/>
  <c r="X225" i="56"/>
  <c r="X219" i="56"/>
  <c r="X227" i="56"/>
  <c r="X202" i="56"/>
  <c r="X229" i="56"/>
  <c r="X213" i="56"/>
  <c r="X221" i="56"/>
  <c r="X208" i="56"/>
  <c r="X204" i="56"/>
  <c r="X209" i="56"/>
  <c r="X205" i="56"/>
  <c r="X217" i="56"/>
  <c r="X228" i="56"/>
  <c r="X215" i="56"/>
  <c r="X212" i="56"/>
  <c r="X249" i="56"/>
  <c r="X256" i="56"/>
  <c r="X239" i="56"/>
  <c r="X234" i="56"/>
  <c r="X236" i="56"/>
  <c r="X253" i="56"/>
  <c r="X246" i="56"/>
  <c r="X257" i="56"/>
  <c r="X237" i="56"/>
  <c r="X250" i="56"/>
  <c r="X238" i="56"/>
  <c r="X244" i="56"/>
  <c r="X248" i="56"/>
  <c r="X245" i="56"/>
  <c r="X240" i="56"/>
  <c r="X254" i="56"/>
  <c r="X235" i="56"/>
  <c r="X241" i="56"/>
  <c r="X251" i="56"/>
  <c r="X252" i="56"/>
  <c r="X243" i="56"/>
  <c r="X247" i="56"/>
  <c r="X242" i="56"/>
  <c r="X255" i="56"/>
  <c r="X271" i="56"/>
  <c r="X277" i="56"/>
  <c r="X278" i="56"/>
  <c r="X267" i="56"/>
  <c r="X283" i="56"/>
  <c r="X282" i="56"/>
  <c r="X273" i="56"/>
  <c r="X262" i="56"/>
  <c r="X263" i="56"/>
  <c r="X265" i="56"/>
  <c r="X276" i="56"/>
  <c r="X266" i="56"/>
  <c r="X272" i="56"/>
  <c r="X268" i="56"/>
  <c r="X259" i="56"/>
  <c r="X280" i="56"/>
  <c r="X258" i="56"/>
  <c r="X286" i="56"/>
  <c r="X260" i="56"/>
  <c r="X269" i="56"/>
  <c r="X275" i="56"/>
  <c r="X285" i="56"/>
  <c r="X281" i="56"/>
  <c r="X264" i="56"/>
  <c r="X261" i="56"/>
  <c r="X270" i="56"/>
  <c r="X274" i="56"/>
  <c r="X279" i="56"/>
  <c r="X284" i="56"/>
  <c r="X298" i="56"/>
  <c r="X287" i="56"/>
  <c r="X310" i="56"/>
  <c r="X316" i="56"/>
  <c r="X295" i="56"/>
  <c r="X288" i="56"/>
  <c r="X290" i="56"/>
  <c r="X292" i="56"/>
  <c r="X308" i="56"/>
  <c r="X309" i="56"/>
  <c r="X313" i="56"/>
  <c r="X311" i="56"/>
  <c r="X289" i="56"/>
  <c r="X301" i="56"/>
  <c r="X312" i="56"/>
  <c r="X299" i="56"/>
  <c r="X307" i="56"/>
  <c r="X294" i="56"/>
  <c r="X306" i="56"/>
  <c r="X300" i="56"/>
  <c r="X304" i="56"/>
  <c r="X302" i="56"/>
  <c r="X297" i="56"/>
  <c r="X296" i="56"/>
  <c r="X291" i="56"/>
  <c r="X303" i="56"/>
  <c r="X293" i="56"/>
  <c r="X305" i="56"/>
  <c r="X315" i="56"/>
  <c r="X314" i="56"/>
  <c r="X338" i="56"/>
  <c r="X328" i="56"/>
  <c r="X318" i="56"/>
  <c r="X331" i="56"/>
  <c r="X342" i="56"/>
  <c r="X320" i="56"/>
  <c r="X350" i="56"/>
  <c r="X351" i="56"/>
  <c r="X334" i="56"/>
  <c r="X349" i="56"/>
  <c r="X324" i="56"/>
  <c r="X354" i="56"/>
  <c r="X333" i="56"/>
  <c r="X335" i="56"/>
  <c r="X325" i="56"/>
  <c r="X340" i="56"/>
  <c r="X327" i="56"/>
  <c r="X322" i="56"/>
  <c r="X341" i="56"/>
  <c r="X346" i="56"/>
  <c r="X347" i="56"/>
  <c r="X339" i="56"/>
  <c r="X317" i="56"/>
  <c r="X348" i="56"/>
  <c r="X343" i="56"/>
  <c r="X353" i="56"/>
  <c r="X321" i="56"/>
  <c r="X323" i="56"/>
  <c r="X352" i="56"/>
  <c r="X344" i="56"/>
  <c r="X330" i="56"/>
  <c r="X319" i="56"/>
  <c r="X336" i="56"/>
  <c r="X329" i="56"/>
  <c r="X326" i="56"/>
  <c r="X337" i="56"/>
  <c r="X332" i="56"/>
  <c r="X345" i="56"/>
  <c r="X384" i="56"/>
  <c r="X376" i="56"/>
  <c r="X380" i="56"/>
  <c r="X378" i="56"/>
  <c r="X364" i="56"/>
  <c r="X368" i="56"/>
  <c r="X370" i="56"/>
  <c r="X365" i="56"/>
  <c r="X377" i="56"/>
  <c r="X375" i="56"/>
  <c r="X367" i="56"/>
  <c r="X357" i="56"/>
  <c r="X383" i="56"/>
  <c r="X381" i="56"/>
  <c r="X373" i="56"/>
  <c r="X374" i="56"/>
  <c r="X363" i="56"/>
  <c r="X362" i="56"/>
  <c r="X382" i="56"/>
  <c r="X355" i="56"/>
  <c r="X361" i="56"/>
  <c r="X372" i="56"/>
  <c r="X356" i="56"/>
  <c r="X366" i="56"/>
  <c r="X371" i="56"/>
  <c r="X358" i="56"/>
  <c r="X360" i="56"/>
  <c r="X369" i="56"/>
  <c r="X359" i="56"/>
  <c r="X379" i="56"/>
  <c r="X405" i="56"/>
  <c r="X414" i="56"/>
  <c r="X416" i="56"/>
  <c r="X426" i="56"/>
  <c r="X413" i="56"/>
  <c r="X412" i="56"/>
  <c r="X409" i="56"/>
  <c r="X417" i="56"/>
  <c r="X407" i="56"/>
  <c r="X430" i="56"/>
  <c r="X394" i="56"/>
  <c r="X418" i="56"/>
  <c r="X391" i="56"/>
  <c r="X423" i="56"/>
  <c r="X403" i="56"/>
  <c r="X386" i="56"/>
  <c r="X401" i="56"/>
  <c r="X419" i="56"/>
  <c r="X404" i="56"/>
  <c r="X387" i="56"/>
  <c r="X431" i="56"/>
  <c r="X397" i="56"/>
  <c r="X428" i="56"/>
  <c r="X421" i="56"/>
  <c r="X402" i="56"/>
  <c r="X415" i="56"/>
  <c r="X427" i="56"/>
  <c r="X400" i="56"/>
  <c r="X395" i="56"/>
  <c r="X425" i="56"/>
  <c r="X396" i="56"/>
  <c r="X422" i="56"/>
  <c r="X390" i="56"/>
  <c r="X399" i="56"/>
  <c r="X392" i="56"/>
  <c r="X410" i="56"/>
  <c r="X429" i="56"/>
  <c r="X389" i="56"/>
  <c r="X388" i="56"/>
  <c r="X408" i="56"/>
  <c r="X406" i="56"/>
  <c r="X393" i="56"/>
  <c r="X398" i="56"/>
  <c r="X420" i="56"/>
  <c r="X424" i="56"/>
  <c r="X385" i="56"/>
  <c r="X432" i="56"/>
  <c r="X411" i="56"/>
  <c r="X440" i="56"/>
  <c r="X451" i="56"/>
  <c r="X441" i="56"/>
  <c r="X446" i="56"/>
  <c r="X454" i="56"/>
  <c r="X438" i="56"/>
  <c r="X443" i="56"/>
  <c r="X452" i="56"/>
  <c r="X450" i="56"/>
  <c r="X433" i="56"/>
  <c r="X449" i="56"/>
  <c r="X442" i="56"/>
  <c r="X447" i="56"/>
  <c r="X453" i="56"/>
  <c r="X436" i="56"/>
  <c r="X448" i="56"/>
  <c r="X434" i="56"/>
  <c r="X435" i="56"/>
  <c r="X444" i="56"/>
  <c r="X437" i="56"/>
  <c r="X445" i="56"/>
  <c r="X439" i="56"/>
  <c r="X475" i="56"/>
  <c r="X462" i="56"/>
  <c r="X483" i="56"/>
  <c r="X468" i="56"/>
  <c r="X464" i="56"/>
  <c r="X457" i="56"/>
  <c r="X489" i="56"/>
  <c r="X495" i="56"/>
  <c r="X471" i="56"/>
  <c r="X455" i="56"/>
  <c r="X481" i="56"/>
  <c r="X463" i="56"/>
  <c r="X466" i="56"/>
  <c r="X490" i="56"/>
  <c r="X465" i="56"/>
  <c r="X458" i="56"/>
  <c r="X485" i="56"/>
  <c r="X467" i="56"/>
  <c r="X487" i="56"/>
  <c r="X474" i="56"/>
  <c r="X472" i="56"/>
  <c r="X492" i="56"/>
  <c r="X460" i="56"/>
  <c r="X494" i="56"/>
  <c r="X477" i="56"/>
  <c r="X470" i="56"/>
  <c r="X456" i="56"/>
  <c r="X461" i="56"/>
  <c r="X476" i="56"/>
  <c r="X478" i="56"/>
  <c r="X488" i="56"/>
  <c r="X497" i="56"/>
  <c r="X469" i="56"/>
  <c r="X473" i="56"/>
  <c r="X496" i="56"/>
  <c r="X493" i="56"/>
  <c r="X484" i="56"/>
  <c r="X479" i="56"/>
  <c r="X482" i="56"/>
  <c r="X459" i="56"/>
  <c r="X480" i="56"/>
  <c r="X486" i="56"/>
  <c r="X491" i="56"/>
  <c r="X536" i="56"/>
  <c r="X523" i="56"/>
  <c r="X528" i="56"/>
  <c r="X507" i="56"/>
  <c r="X514" i="56"/>
  <c r="X532" i="56"/>
  <c r="X524" i="56"/>
  <c r="X518" i="56"/>
  <c r="X503" i="56"/>
  <c r="X505" i="56"/>
  <c r="X529" i="56"/>
  <c r="X534" i="56"/>
  <c r="X506" i="56"/>
  <c r="X509" i="56"/>
  <c r="X498" i="56"/>
  <c r="X521" i="56"/>
  <c r="X504" i="56"/>
  <c r="X519" i="56"/>
  <c r="X526" i="56"/>
  <c r="X499" i="56"/>
  <c r="X517" i="56"/>
  <c r="X508" i="56"/>
  <c r="X522" i="56"/>
  <c r="X537" i="56"/>
  <c r="X510" i="56"/>
  <c r="X520" i="56"/>
  <c r="X527" i="56"/>
  <c r="X531" i="56"/>
  <c r="X515" i="56"/>
  <c r="X502" i="56"/>
  <c r="X530" i="56"/>
  <c r="X513" i="56"/>
  <c r="X533" i="56"/>
  <c r="X516" i="56"/>
  <c r="X511" i="56"/>
  <c r="X500" i="56"/>
  <c r="X525" i="56"/>
  <c r="X535" i="56"/>
  <c r="X501" i="56"/>
  <c r="X512" i="56"/>
  <c r="X546" i="56"/>
  <c r="X538" i="56"/>
  <c r="X552" i="56"/>
  <c r="X541" i="56"/>
  <c r="X543" i="56"/>
  <c r="X553" i="56"/>
  <c r="X549" i="56"/>
  <c r="X558" i="56"/>
  <c r="X540" i="56"/>
  <c r="X557" i="56"/>
  <c r="X548" i="56"/>
  <c r="X556" i="56"/>
  <c r="X555" i="56"/>
  <c r="X551" i="56"/>
  <c r="X550" i="56"/>
  <c r="X542" i="56"/>
  <c r="X539" i="56"/>
  <c r="X547" i="56"/>
  <c r="X544" i="56"/>
  <c r="X554" i="56"/>
  <c r="X545" i="56"/>
  <c r="X585" i="56"/>
  <c r="X567" i="56"/>
  <c r="X575" i="56"/>
  <c r="X566" i="56"/>
  <c r="X568" i="56"/>
  <c r="X584" i="56"/>
  <c r="X586" i="56"/>
  <c r="X565" i="56"/>
  <c r="X579" i="56"/>
  <c r="X576" i="56"/>
  <c r="X559" i="56"/>
  <c r="X563" i="56"/>
  <c r="X569" i="56"/>
  <c r="X574" i="56"/>
  <c r="X588" i="56"/>
  <c r="X580" i="56"/>
  <c r="X572" i="56"/>
  <c r="X573" i="56"/>
  <c r="X583" i="56"/>
  <c r="X571" i="56"/>
  <c r="X564" i="56"/>
  <c r="X561" i="56"/>
  <c r="X562" i="56"/>
  <c r="X570" i="56"/>
  <c r="X560" i="56"/>
  <c r="X589" i="56"/>
  <c r="X587" i="56"/>
  <c r="X578" i="56"/>
  <c r="X582" i="56"/>
  <c r="X577" i="56"/>
  <c r="X581" i="56"/>
  <c r="X600" i="56"/>
  <c r="X601" i="56"/>
  <c r="X595" i="56"/>
  <c r="X603" i="56"/>
  <c r="X608" i="56"/>
  <c r="X598" i="56"/>
  <c r="X607" i="56"/>
  <c r="X612" i="56"/>
  <c r="X605" i="56"/>
  <c r="X592" i="56"/>
  <c r="X614" i="56"/>
  <c r="X613" i="56"/>
  <c r="X611" i="56"/>
  <c r="X596" i="56"/>
  <c r="X594" i="56"/>
  <c r="X590" i="56"/>
  <c r="X606" i="56"/>
  <c r="X602" i="56"/>
  <c r="X610" i="56"/>
  <c r="X599" i="56"/>
  <c r="X616" i="56"/>
  <c r="X593" i="56"/>
  <c r="X591" i="56"/>
  <c r="X604" i="56"/>
  <c r="X597" i="56"/>
  <c r="X615" i="56"/>
  <c r="X609" i="56"/>
  <c r="X636" i="56"/>
  <c r="X619" i="56"/>
  <c r="X634" i="56"/>
  <c r="X631" i="56"/>
  <c r="X638" i="56"/>
  <c r="X617" i="56"/>
  <c r="X628" i="56"/>
  <c r="X620" i="56"/>
  <c r="X625" i="56"/>
  <c r="X641" i="56"/>
  <c r="X648" i="56"/>
  <c r="X639" i="56"/>
  <c r="X630" i="56"/>
  <c r="X627" i="56"/>
  <c r="X650" i="56"/>
  <c r="X635" i="56"/>
  <c r="X643" i="56"/>
  <c r="X633" i="56"/>
  <c r="X647" i="56"/>
  <c r="X637" i="56"/>
  <c r="X618" i="56"/>
  <c r="X622" i="56"/>
  <c r="X626" i="56"/>
  <c r="X642" i="56"/>
  <c r="X649" i="56"/>
  <c r="X624" i="56"/>
  <c r="X632" i="56"/>
  <c r="X644" i="56"/>
  <c r="X640" i="56"/>
  <c r="X645" i="56"/>
  <c r="X623" i="56"/>
  <c r="X621" i="56"/>
  <c r="X629" i="56"/>
  <c r="X646" i="56"/>
  <c r="X653" i="56"/>
  <c r="X672" i="56"/>
  <c r="X667" i="56"/>
  <c r="X663" i="56"/>
  <c r="X657" i="56"/>
  <c r="X656" i="56"/>
  <c r="X677" i="56"/>
  <c r="X651" i="56"/>
  <c r="X654" i="56"/>
  <c r="X674" i="56"/>
  <c r="X661" i="56"/>
  <c r="X660" i="56"/>
  <c r="X665" i="56"/>
  <c r="X669" i="56"/>
  <c r="X671" i="56"/>
  <c r="X666" i="56"/>
  <c r="X673" i="56"/>
  <c r="X658" i="56"/>
  <c r="X655" i="56"/>
  <c r="X675" i="56"/>
  <c r="X679" i="56"/>
  <c r="X670" i="56"/>
  <c r="X678" i="56"/>
  <c r="X676" i="56"/>
  <c r="X680" i="56"/>
  <c r="X659" i="56"/>
  <c r="X664" i="56"/>
  <c r="X668" i="56"/>
  <c r="X652" i="56"/>
  <c r="X662" i="56"/>
  <c r="X706" i="56"/>
  <c r="X702" i="56"/>
  <c r="X704" i="56"/>
  <c r="X715" i="56"/>
  <c r="X697" i="56"/>
  <c r="X712" i="56"/>
  <c r="X684" i="56"/>
  <c r="X699" i="56"/>
  <c r="X713" i="56"/>
  <c r="X691" i="56"/>
  <c r="X714" i="56"/>
  <c r="X707" i="56"/>
  <c r="X716" i="56"/>
  <c r="X694" i="56"/>
  <c r="X686" i="56"/>
  <c r="X682" i="56"/>
  <c r="X681" i="56"/>
  <c r="X696" i="56"/>
  <c r="X689" i="56"/>
  <c r="X683" i="56"/>
  <c r="X710" i="56"/>
  <c r="X685" i="56"/>
  <c r="X703" i="56"/>
  <c r="X688" i="56"/>
  <c r="X690" i="56"/>
  <c r="X695" i="56"/>
  <c r="X687" i="56"/>
  <c r="X692" i="56"/>
  <c r="X698" i="56"/>
  <c r="X708" i="56"/>
  <c r="X709" i="56"/>
  <c r="X700" i="56"/>
  <c r="X693" i="56"/>
  <c r="X701" i="56"/>
  <c r="X711" i="56"/>
  <c r="X705" i="56"/>
  <c r="X733" i="56"/>
  <c r="X728" i="56"/>
  <c r="X741" i="56"/>
  <c r="X734" i="56"/>
  <c r="X738" i="56"/>
  <c r="X732" i="56"/>
  <c r="X727" i="56"/>
  <c r="X724" i="56"/>
  <c r="X731" i="56"/>
  <c r="X720" i="56"/>
  <c r="X737" i="56"/>
  <c r="X742" i="56"/>
  <c r="X743" i="56"/>
  <c r="X746" i="56"/>
  <c r="X719" i="56"/>
  <c r="X736" i="56"/>
  <c r="X730" i="56"/>
  <c r="X735" i="56"/>
  <c r="X729" i="56"/>
  <c r="X739" i="56"/>
  <c r="X717" i="56"/>
  <c r="X744" i="56"/>
  <c r="X745" i="56"/>
  <c r="X721" i="56"/>
  <c r="X723" i="56"/>
  <c r="X722" i="56"/>
  <c r="X718" i="56"/>
  <c r="X740" i="56"/>
  <c r="X725" i="56"/>
  <c r="X726" i="56"/>
  <c r="X753" i="56"/>
  <c r="X760" i="56"/>
  <c r="X776" i="56"/>
  <c r="X777" i="56"/>
  <c r="X757" i="56"/>
  <c r="X765" i="56"/>
  <c r="X762" i="56"/>
  <c r="X761" i="56"/>
  <c r="X770" i="56"/>
  <c r="X755" i="56"/>
  <c r="X772" i="56"/>
  <c r="X749" i="56"/>
  <c r="X763" i="56"/>
  <c r="X771" i="56"/>
  <c r="X759" i="56"/>
  <c r="X758" i="56"/>
  <c r="X747" i="56"/>
  <c r="X773" i="56"/>
  <c r="X766" i="56"/>
  <c r="X756" i="56"/>
  <c r="X750" i="56"/>
  <c r="X769" i="56"/>
  <c r="X754" i="56"/>
  <c r="X768" i="56"/>
  <c r="X774" i="56"/>
  <c r="X767" i="56"/>
  <c r="X748" i="56"/>
  <c r="X764" i="56"/>
  <c r="X751" i="56"/>
  <c r="X752" i="56"/>
  <c r="X775" i="56"/>
  <c r="X802" i="56"/>
  <c r="X796" i="56"/>
  <c r="X781" i="56"/>
  <c r="X798" i="56"/>
  <c r="X787" i="56"/>
  <c r="X795" i="56"/>
  <c r="X807" i="56"/>
  <c r="X784" i="56"/>
  <c r="X786" i="56"/>
  <c r="X783" i="56"/>
  <c r="X799" i="56"/>
  <c r="X797" i="56"/>
  <c r="X794" i="56"/>
  <c r="X803" i="56"/>
  <c r="X782" i="56"/>
  <c r="X778" i="56"/>
  <c r="X800" i="56"/>
  <c r="X789" i="56"/>
  <c r="X805" i="56"/>
  <c r="X808" i="56"/>
  <c r="X804" i="56"/>
  <c r="X806" i="56"/>
  <c r="X788" i="56"/>
  <c r="X779" i="56"/>
  <c r="X785" i="56"/>
  <c r="X792" i="56"/>
  <c r="X780" i="56"/>
  <c r="X801" i="56"/>
  <c r="X791" i="56"/>
  <c r="X790" i="56"/>
  <c r="X793" i="56"/>
  <c r="X835" i="56"/>
  <c r="X812" i="56"/>
  <c r="X817" i="56"/>
  <c r="X834" i="56"/>
  <c r="X826" i="56"/>
  <c r="X825" i="56"/>
  <c r="X813" i="56"/>
  <c r="X810" i="56"/>
  <c r="X822" i="56"/>
  <c r="X830" i="56"/>
  <c r="X814" i="56"/>
  <c r="X816" i="56"/>
  <c r="X823" i="56"/>
  <c r="X833" i="56"/>
  <c r="X831" i="56"/>
  <c r="X820" i="56"/>
  <c r="X809" i="56"/>
  <c r="X832" i="56"/>
  <c r="X811" i="56"/>
  <c r="X828" i="56"/>
  <c r="X818" i="56"/>
  <c r="X829" i="56"/>
  <c r="X819" i="56"/>
  <c r="X824" i="56"/>
  <c r="X815" i="56"/>
  <c r="X827" i="56"/>
  <c r="X821" i="56"/>
  <c r="X850" i="56"/>
  <c r="X853" i="56"/>
  <c r="X859" i="56"/>
  <c r="X861" i="56"/>
  <c r="X855" i="56"/>
  <c r="X839" i="56"/>
  <c r="X837" i="56"/>
  <c r="X841" i="56"/>
  <c r="X845" i="56"/>
  <c r="X862" i="56"/>
  <c r="X856" i="56"/>
  <c r="X852" i="56"/>
  <c r="X854" i="56"/>
  <c r="X847" i="56"/>
  <c r="X836" i="56"/>
  <c r="X840" i="56"/>
  <c r="X846" i="56"/>
  <c r="X849" i="56"/>
  <c r="X863" i="56"/>
  <c r="X851" i="56"/>
  <c r="X857" i="56"/>
  <c r="X838" i="56"/>
  <c r="X870" i="56"/>
  <c r="X864" i="56"/>
  <c r="X866" i="56"/>
  <c r="X860" i="56"/>
  <c r="X869" i="56"/>
  <c r="X867" i="56"/>
  <c r="X848" i="56"/>
  <c r="X842" i="56"/>
  <c r="X858" i="56"/>
  <c r="X865" i="56"/>
  <c r="X844" i="56"/>
  <c r="X868" i="56"/>
  <c r="X843" i="56"/>
  <c r="W45" i="56"/>
  <c r="W26" i="56"/>
  <c r="W11" i="56"/>
  <c r="W6" i="56"/>
  <c r="W25" i="56"/>
  <c r="W35" i="56"/>
  <c r="W7" i="56"/>
  <c r="W30" i="56"/>
  <c r="W12" i="56"/>
  <c r="W28" i="56"/>
  <c r="W10" i="56"/>
  <c r="W20" i="56"/>
  <c r="W37" i="56"/>
  <c r="W42" i="56"/>
  <c r="W19" i="56"/>
  <c r="W31" i="56"/>
  <c r="W23" i="56"/>
  <c r="W36" i="56"/>
  <c r="W17" i="56"/>
  <c r="W16" i="56"/>
  <c r="W38" i="56"/>
  <c r="W14" i="56"/>
  <c r="W32" i="56"/>
  <c r="W27" i="56"/>
  <c r="W22" i="56"/>
  <c r="W29" i="56"/>
  <c r="W43" i="56"/>
  <c r="W24" i="56"/>
  <c r="W21" i="56"/>
  <c r="W40" i="56"/>
  <c r="W15" i="56"/>
  <c r="W33" i="56"/>
  <c r="W18" i="56"/>
  <c r="W9" i="56"/>
  <c r="W39" i="56"/>
  <c r="W41" i="56"/>
  <c r="W44" i="56"/>
  <c r="W13" i="56"/>
  <c r="W34" i="56"/>
  <c r="W64" i="56"/>
  <c r="W58" i="56"/>
  <c r="W65" i="56"/>
  <c r="W56" i="56"/>
  <c r="W59" i="56"/>
  <c r="W49" i="56"/>
  <c r="W50" i="56"/>
  <c r="W67" i="56"/>
  <c r="W51" i="56"/>
  <c r="W69" i="56"/>
  <c r="W62" i="56"/>
  <c r="W60" i="56"/>
  <c r="W61" i="56"/>
  <c r="W54" i="56"/>
  <c r="W46" i="56"/>
  <c r="W70" i="56"/>
  <c r="W63" i="56"/>
  <c r="W53" i="56"/>
  <c r="W55" i="56"/>
  <c r="W48" i="56"/>
  <c r="W52" i="56"/>
  <c r="W66" i="56"/>
  <c r="W68" i="56"/>
  <c r="W47" i="56"/>
  <c r="W57" i="56"/>
  <c r="W95" i="56"/>
  <c r="W91" i="56"/>
  <c r="W79" i="56"/>
  <c r="W99" i="56"/>
  <c r="W85" i="56"/>
  <c r="W97" i="56"/>
  <c r="W98" i="56"/>
  <c r="W78" i="56"/>
  <c r="W87" i="56"/>
  <c r="W75" i="56"/>
  <c r="W84" i="56"/>
  <c r="W82" i="56"/>
  <c r="W94" i="56"/>
  <c r="W83" i="56"/>
  <c r="W80" i="56"/>
  <c r="W93" i="56"/>
  <c r="W88" i="56"/>
  <c r="W72" i="56"/>
  <c r="W74" i="56"/>
  <c r="W86" i="56"/>
  <c r="W81" i="56"/>
  <c r="W71" i="56"/>
  <c r="W89" i="56"/>
  <c r="W96" i="56"/>
  <c r="W76" i="56"/>
  <c r="W77" i="56"/>
  <c r="W92" i="56"/>
  <c r="W73" i="56"/>
  <c r="W90" i="56"/>
  <c r="W134" i="56"/>
  <c r="W113" i="56"/>
  <c r="W107" i="56"/>
  <c r="W131" i="56"/>
  <c r="W118" i="56"/>
  <c r="W126" i="56"/>
  <c r="W119" i="56"/>
  <c r="W129" i="56"/>
  <c r="W112" i="56"/>
  <c r="W100" i="56"/>
  <c r="W117" i="56"/>
  <c r="W120" i="56"/>
  <c r="W108" i="56"/>
  <c r="W114" i="56"/>
  <c r="W121" i="56"/>
  <c r="W110" i="56"/>
  <c r="W130" i="56"/>
  <c r="W128" i="56"/>
  <c r="W137" i="56"/>
  <c r="W136" i="56"/>
  <c r="W123" i="56"/>
  <c r="W132" i="56"/>
  <c r="W127" i="56"/>
  <c r="W115" i="56"/>
  <c r="W101" i="56"/>
  <c r="W104" i="56"/>
  <c r="W135" i="56"/>
  <c r="W133" i="56"/>
  <c r="W124" i="56"/>
  <c r="W116" i="56"/>
  <c r="W103" i="56"/>
  <c r="W102" i="56"/>
  <c r="W105" i="56"/>
  <c r="W109" i="56"/>
  <c r="W106" i="56"/>
  <c r="W125" i="56"/>
  <c r="W122" i="56"/>
  <c r="W138" i="56"/>
  <c r="W111" i="56"/>
  <c r="W167" i="56"/>
  <c r="W146" i="56"/>
  <c r="W153" i="56"/>
  <c r="W155" i="56"/>
  <c r="W168" i="56"/>
  <c r="W163" i="56"/>
  <c r="W148" i="56"/>
  <c r="W142" i="56"/>
  <c r="W169" i="56"/>
  <c r="W165" i="56"/>
  <c r="W156" i="56"/>
  <c r="W152" i="56"/>
  <c r="W159" i="56"/>
  <c r="W147" i="56"/>
  <c r="W151" i="56"/>
  <c r="W144" i="56"/>
  <c r="W160" i="56"/>
  <c r="W157" i="56"/>
  <c r="W161" i="56"/>
  <c r="W164" i="56"/>
  <c r="W140" i="56"/>
  <c r="W149" i="56"/>
  <c r="W154" i="56"/>
  <c r="W139" i="56"/>
  <c r="W145" i="56"/>
  <c r="W158" i="56"/>
  <c r="W162" i="56"/>
  <c r="W150" i="56"/>
  <c r="W166" i="56"/>
  <c r="W141" i="56"/>
  <c r="W143" i="56"/>
  <c r="W191" i="56"/>
  <c r="W181" i="56"/>
  <c r="W174" i="56"/>
  <c r="W184" i="56"/>
  <c r="W171" i="56"/>
  <c r="W177" i="56"/>
  <c r="W192" i="56"/>
  <c r="W201" i="56"/>
  <c r="W190" i="56"/>
  <c r="W193" i="56"/>
  <c r="W186" i="56"/>
  <c r="W198" i="56"/>
  <c r="W176" i="56"/>
  <c r="W183" i="56"/>
  <c r="W170" i="56"/>
  <c r="W187" i="56"/>
  <c r="W182" i="56"/>
  <c r="W194" i="56"/>
  <c r="W172" i="56"/>
  <c r="W196" i="56"/>
  <c r="W180" i="56"/>
  <c r="W199" i="56"/>
  <c r="W188" i="56"/>
  <c r="W197" i="56"/>
  <c r="W185" i="56"/>
  <c r="W195" i="56"/>
  <c r="W189" i="56"/>
  <c r="W178" i="56"/>
  <c r="W173" i="56"/>
  <c r="W179" i="56"/>
  <c r="W200" i="56"/>
  <c r="W175" i="56"/>
  <c r="W222" i="56"/>
  <c r="W214" i="56"/>
  <c r="W216" i="56"/>
  <c r="W230" i="56"/>
  <c r="W226" i="56"/>
  <c r="W231" i="56"/>
  <c r="W203" i="56"/>
  <c r="W207" i="56"/>
  <c r="W210" i="56"/>
  <c r="W223" i="56"/>
  <c r="W206" i="56"/>
  <c r="W232" i="56"/>
  <c r="W224" i="56"/>
  <c r="W233" i="56"/>
  <c r="W218" i="56"/>
  <c r="W220" i="56"/>
  <c r="W211" i="56"/>
  <c r="W225" i="56"/>
  <c r="W219" i="56"/>
  <c r="W227" i="56"/>
  <c r="W202" i="56"/>
  <c r="W229" i="56"/>
  <c r="W213" i="56"/>
  <c r="W221" i="56"/>
  <c r="W208" i="56"/>
  <c r="W204" i="56"/>
  <c r="W209" i="56"/>
  <c r="W205" i="56"/>
  <c r="W217" i="56"/>
  <c r="W228" i="56"/>
  <c r="W215" i="56"/>
  <c r="W212" i="56"/>
  <c r="W249" i="56"/>
  <c r="W256" i="56"/>
  <c r="W239" i="56"/>
  <c r="W234" i="56"/>
  <c r="W236" i="56"/>
  <c r="W253" i="56"/>
  <c r="W246" i="56"/>
  <c r="W257" i="56"/>
  <c r="W237" i="56"/>
  <c r="W250" i="56"/>
  <c r="W238" i="56"/>
  <c r="W244" i="56"/>
  <c r="W248" i="56"/>
  <c r="W245" i="56"/>
  <c r="W240" i="56"/>
  <c r="W254" i="56"/>
  <c r="W235" i="56"/>
  <c r="W241" i="56"/>
  <c r="W251" i="56"/>
  <c r="W252" i="56"/>
  <c r="W243" i="56"/>
  <c r="W247" i="56"/>
  <c r="W242" i="56"/>
  <c r="W255" i="56"/>
  <c r="W271" i="56"/>
  <c r="W277" i="56"/>
  <c r="W278" i="56"/>
  <c r="W267" i="56"/>
  <c r="W283" i="56"/>
  <c r="W282" i="56"/>
  <c r="W273" i="56"/>
  <c r="W262" i="56"/>
  <c r="W263" i="56"/>
  <c r="W265" i="56"/>
  <c r="W276" i="56"/>
  <c r="W266" i="56"/>
  <c r="W272" i="56"/>
  <c r="W268" i="56"/>
  <c r="W259" i="56"/>
  <c r="W280" i="56"/>
  <c r="W258" i="56"/>
  <c r="W286" i="56"/>
  <c r="W260" i="56"/>
  <c r="W269" i="56"/>
  <c r="W275" i="56"/>
  <c r="W285" i="56"/>
  <c r="W281" i="56"/>
  <c r="W264" i="56"/>
  <c r="W261" i="56"/>
  <c r="W270" i="56"/>
  <c r="W274" i="56"/>
  <c r="W279" i="56"/>
  <c r="W284" i="56"/>
  <c r="W298" i="56"/>
  <c r="W287" i="56"/>
  <c r="W310" i="56"/>
  <c r="W316" i="56"/>
  <c r="W295" i="56"/>
  <c r="W288" i="56"/>
  <c r="W290" i="56"/>
  <c r="W292" i="56"/>
  <c r="W308" i="56"/>
  <c r="W309" i="56"/>
  <c r="W313" i="56"/>
  <c r="W311" i="56"/>
  <c r="W289" i="56"/>
  <c r="W301" i="56"/>
  <c r="W312" i="56"/>
  <c r="W299" i="56"/>
  <c r="W307" i="56"/>
  <c r="W294" i="56"/>
  <c r="W306" i="56"/>
  <c r="W300" i="56"/>
  <c r="W304" i="56"/>
  <c r="W302" i="56"/>
  <c r="W297" i="56"/>
  <c r="W296" i="56"/>
  <c r="W291" i="56"/>
  <c r="W303" i="56"/>
  <c r="W293" i="56"/>
  <c r="W305" i="56"/>
  <c r="W315" i="56"/>
  <c r="W314" i="56"/>
  <c r="W338" i="56"/>
  <c r="W328" i="56"/>
  <c r="W318" i="56"/>
  <c r="W331" i="56"/>
  <c r="W342" i="56"/>
  <c r="W320" i="56"/>
  <c r="W350" i="56"/>
  <c r="W351" i="56"/>
  <c r="W334" i="56"/>
  <c r="W349" i="56"/>
  <c r="W324" i="56"/>
  <c r="W354" i="56"/>
  <c r="W333" i="56"/>
  <c r="W335" i="56"/>
  <c r="W325" i="56"/>
  <c r="W340" i="56"/>
  <c r="W327" i="56"/>
  <c r="W322" i="56"/>
  <c r="W341" i="56"/>
  <c r="W346" i="56"/>
  <c r="W347" i="56"/>
  <c r="W339" i="56"/>
  <c r="W317" i="56"/>
  <c r="W348" i="56"/>
  <c r="W343" i="56"/>
  <c r="W353" i="56"/>
  <c r="W321" i="56"/>
  <c r="W323" i="56"/>
  <c r="W352" i="56"/>
  <c r="W344" i="56"/>
  <c r="W330" i="56"/>
  <c r="W319" i="56"/>
  <c r="W336" i="56"/>
  <c r="W329" i="56"/>
  <c r="W326" i="56"/>
  <c r="W337" i="56"/>
  <c r="W332" i="56"/>
  <c r="W345" i="56"/>
  <c r="W384" i="56"/>
  <c r="W376" i="56"/>
  <c r="W380" i="56"/>
  <c r="W378" i="56"/>
  <c r="W364" i="56"/>
  <c r="W368" i="56"/>
  <c r="W370" i="56"/>
  <c r="W365" i="56"/>
  <c r="W377" i="56"/>
  <c r="W375" i="56"/>
  <c r="W367" i="56"/>
  <c r="W357" i="56"/>
  <c r="W383" i="56"/>
  <c r="W381" i="56"/>
  <c r="W373" i="56"/>
  <c r="W374" i="56"/>
  <c r="W363" i="56"/>
  <c r="W362" i="56"/>
  <c r="W382" i="56"/>
  <c r="W355" i="56"/>
  <c r="W361" i="56"/>
  <c r="W372" i="56"/>
  <c r="W356" i="56"/>
  <c r="W366" i="56"/>
  <c r="W371" i="56"/>
  <c r="W358" i="56"/>
  <c r="W360" i="56"/>
  <c r="W369" i="56"/>
  <c r="W359" i="56"/>
  <c r="W379" i="56"/>
  <c r="W405" i="56"/>
  <c r="W414" i="56"/>
  <c r="W416" i="56"/>
  <c r="W426" i="56"/>
  <c r="W413" i="56"/>
  <c r="W412" i="56"/>
  <c r="W409" i="56"/>
  <c r="W417" i="56"/>
  <c r="W407" i="56"/>
  <c r="W430" i="56"/>
  <c r="W394" i="56"/>
  <c r="W418" i="56"/>
  <c r="W391" i="56"/>
  <c r="W423" i="56"/>
  <c r="W403" i="56"/>
  <c r="W386" i="56"/>
  <c r="W401" i="56"/>
  <c r="W419" i="56"/>
  <c r="W404" i="56"/>
  <c r="W387" i="56"/>
  <c r="W431" i="56"/>
  <c r="W397" i="56"/>
  <c r="W428" i="56"/>
  <c r="W421" i="56"/>
  <c r="W402" i="56"/>
  <c r="W415" i="56"/>
  <c r="W427" i="56"/>
  <c r="W400" i="56"/>
  <c r="W395" i="56"/>
  <c r="W425" i="56"/>
  <c r="W396" i="56"/>
  <c r="W422" i="56"/>
  <c r="W390" i="56"/>
  <c r="W399" i="56"/>
  <c r="W392" i="56"/>
  <c r="W410" i="56"/>
  <c r="W429" i="56"/>
  <c r="W389" i="56"/>
  <c r="W388" i="56"/>
  <c r="W408" i="56"/>
  <c r="W406" i="56"/>
  <c r="W393" i="56"/>
  <c r="W398" i="56"/>
  <c r="W420" i="56"/>
  <c r="W424" i="56"/>
  <c r="W385" i="56"/>
  <c r="W432" i="56"/>
  <c r="W411" i="56"/>
  <c r="W440" i="56"/>
  <c r="W451" i="56"/>
  <c r="W441" i="56"/>
  <c r="W446" i="56"/>
  <c r="W454" i="56"/>
  <c r="W438" i="56"/>
  <c r="W443" i="56"/>
  <c r="W452" i="56"/>
  <c r="W450" i="56"/>
  <c r="W433" i="56"/>
  <c r="W449" i="56"/>
  <c r="W442" i="56"/>
  <c r="W447" i="56"/>
  <c r="W453" i="56"/>
  <c r="W436" i="56"/>
  <c r="W448" i="56"/>
  <c r="W434" i="56"/>
  <c r="W435" i="56"/>
  <c r="W444" i="56"/>
  <c r="W437" i="56"/>
  <c r="W445" i="56"/>
  <c r="W439" i="56"/>
  <c r="W475" i="56"/>
  <c r="W462" i="56"/>
  <c r="W483" i="56"/>
  <c r="W468" i="56"/>
  <c r="W464" i="56"/>
  <c r="W457" i="56"/>
  <c r="W489" i="56"/>
  <c r="W495" i="56"/>
  <c r="W471" i="56"/>
  <c r="W455" i="56"/>
  <c r="W481" i="56"/>
  <c r="W463" i="56"/>
  <c r="W466" i="56"/>
  <c r="W490" i="56"/>
  <c r="W465" i="56"/>
  <c r="W458" i="56"/>
  <c r="W485" i="56"/>
  <c r="W467" i="56"/>
  <c r="W487" i="56"/>
  <c r="W474" i="56"/>
  <c r="W472" i="56"/>
  <c r="W492" i="56"/>
  <c r="W460" i="56"/>
  <c r="W494" i="56"/>
  <c r="W477" i="56"/>
  <c r="W470" i="56"/>
  <c r="W456" i="56"/>
  <c r="W461" i="56"/>
  <c r="W476" i="56"/>
  <c r="W478" i="56"/>
  <c r="W488" i="56"/>
  <c r="W497" i="56"/>
  <c r="W469" i="56"/>
  <c r="W473" i="56"/>
  <c r="W496" i="56"/>
  <c r="W493" i="56"/>
  <c r="W484" i="56"/>
  <c r="W479" i="56"/>
  <c r="W482" i="56"/>
  <c r="W459" i="56"/>
  <c r="W480" i="56"/>
  <c r="W486" i="56"/>
  <c r="W491" i="56"/>
  <c r="W536" i="56"/>
  <c r="W523" i="56"/>
  <c r="W528" i="56"/>
  <c r="W507" i="56"/>
  <c r="W514" i="56"/>
  <c r="W532" i="56"/>
  <c r="W524" i="56"/>
  <c r="W518" i="56"/>
  <c r="W503" i="56"/>
  <c r="W505" i="56"/>
  <c r="W529" i="56"/>
  <c r="W534" i="56"/>
  <c r="W506" i="56"/>
  <c r="W509" i="56"/>
  <c r="W498" i="56"/>
  <c r="W521" i="56"/>
  <c r="W504" i="56"/>
  <c r="W519" i="56"/>
  <c r="W526" i="56"/>
  <c r="W499" i="56"/>
  <c r="W517" i="56"/>
  <c r="W508" i="56"/>
  <c r="W522" i="56"/>
  <c r="W537" i="56"/>
  <c r="W510" i="56"/>
  <c r="W520" i="56"/>
  <c r="W527" i="56"/>
  <c r="W531" i="56"/>
  <c r="W515" i="56"/>
  <c r="W502" i="56"/>
  <c r="W530" i="56"/>
  <c r="W513" i="56"/>
  <c r="W533" i="56"/>
  <c r="W516" i="56"/>
  <c r="W511" i="56"/>
  <c r="W500" i="56"/>
  <c r="W525" i="56"/>
  <c r="W535" i="56"/>
  <c r="W501" i="56"/>
  <c r="W512" i="56"/>
  <c r="W546" i="56"/>
  <c r="W538" i="56"/>
  <c r="W552" i="56"/>
  <c r="W541" i="56"/>
  <c r="W543" i="56"/>
  <c r="W553" i="56"/>
  <c r="W549" i="56"/>
  <c r="W558" i="56"/>
  <c r="W540" i="56"/>
  <c r="W557" i="56"/>
  <c r="W548" i="56"/>
  <c r="W556" i="56"/>
  <c r="W555" i="56"/>
  <c r="W551" i="56"/>
  <c r="W550" i="56"/>
  <c r="W542" i="56"/>
  <c r="W539" i="56"/>
  <c r="W547" i="56"/>
  <c r="W544" i="56"/>
  <c r="W554" i="56"/>
  <c r="W545" i="56"/>
  <c r="W585" i="56"/>
  <c r="W567" i="56"/>
  <c r="W575" i="56"/>
  <c r="W566" i="56"/>
  <c r="W568" i="56"/>
  <c r="W584" i="56"/>
  <c r="W586" i="56"/>
  <c r="W565" i="56"/>
  <c r="W579" i="56"/>
  <c r="W576" i="56"/>
  <c r="W559" i="56"/>
  <c r="W563" i="56"/>
  <c r="W569" i="56"/>
  <c r="W574" i="56"/>
  <c r="W588" i="56"/>
  <c r="W580" i="56"/>
  <c r="W572" i="56"/>
  <c r="W573" i="56"/>
  <c r="W583" i="56"/>
  <c r="W571" i="56"/>
  <c r="W564" i="56"/>
  <c r="W561" i="56"/>
  <c r="W562" i="56"/>
  <c r="W570" i="56"/>
  <c r="W560" i="56"/>
  <c r="W589" i="56"/>
  <c r="W587" i="56"/>
  <c r="W578" i="56"/>
  <c r="W582" i="56"/>
  <c r="W577" i="56"/>
  <c r="W581" i="56"/>
  <c r="W600" i="56"/>
  <c r="W601" i="56"/>
  <c r="W595" i="56"/>
  <c r="W603" i="56"/>
  <c r="W608" i="56"/>
  <c r="W598" i="56"/>
  <c r="W607" i="56"/>
  <c r="W612" i="56"/>
  <c r="W605" i="56"/>
  <c r="W592" i="56"/>
  <c r="W614" i="56"/>
  <c r="W613" i="56"/>
  <c r="W611" i="56"/>
  <c r="W596" i="56"/>
  <c r="W594" i="56"/>
  <c r="W590" i="56"/>
  <c r="W606" i="56"/>
  <c r="W602" i="56"/>
  <c r="W610" i="56"/>
  <c r="W599" i="56"/>
  <c r="W616" i="56"/>
  <c r="W593" i="56"/>
  <c r="W591" i="56"/>
  <c r="W604" i="56"/>
  <c r="W597" i="56"/>
  <c r="W615" i="56"/>
  <c r="W609" i="56"/>
  <c r="W636" i="56"/>
  <c r="W619" i="56"/>
  <c r="W634" i="56"/>
  <c r="W631" i="56"/>
  <c r="W638" i="56"/>
  <c r="W617" i="56"/>
  <c r="W628" i="56"/>
  <c r="W620" i="56"/>
  <c r="W625" i="56"/>
  <c r="W641" i="56"/>
  <c r="W648" i="56"/>
  <c r="W639" i="56"/>
  <c r="W630" i="56"/>
  <c r="W627" i="56"/>
  <c r="W650" i="56"/>
  <c r="W635" i="56"/>
  <c r="W643" i="56"/>
  <c r="W633" i="56"/>
  <c r="W647" i="56"/>
  <c r="W637" i="56"/>
  <c r="W618" i="56"/>
  <c r="W622" i="56"/>
  <c r="W626" i="56"/>
  <c r="W642" i="56"/>
  <c r="W649" i="56"/>
  <c r="W624" i="56"/>
  <c r="W632" i="56"/>
  <c r="W644" i="56"/>
  <c r="W640" i="56"/>
  <c r="W645" i="56"/>
  <c r="W623" i="56"/>
  <c r="W621" i="56"/>
  <c r="W629" i="56"/>
  <c r="W646" i="56"/>
  <c r="W653" i="56"/>
  <c r="W672" i="56"/>
  <c r="W667" i="56"/>
  <c r="W663" i="56"/>
  <c r="W657" i="56"/>
  <c r="W656" i="56"/>
  <c r="W677" i="56"/>
  <c r="W651" i="56"/>
  <c r="W654" i="56"/>
  <c r="W674" i="56"/>
  <c r="W661" i="56"/>
  <c r="W660" i="56"/>
  <c r="W665" i="56"/>
  <c r="W669" i="56"/>
  <c r="W671" i="56"/>
  <c r="W666" i="56"/>
  <c r="W673" i="56"/>
  <c r="W658" i="56"/>
  <c r="W655" i="56"/>
  <c r="W675" i="56"/>
  <c r="W679" i="56"/>
  <c r="W670" i="56"/>
  <c r="W678" i="56"/>
  <c r="W676" i="56"/>
  <c r="W680" i="56"/>
  <c r="W659" i="56"/>
  <c r="W664" i="56"/>
  <c r="W668" i="56"/>
  <c r="W652" i="56"/>
  <c r="W662" i="56"/>
  <c r="W706" i="56"/>
  <c r="W702" i="56"/>
  <c r="W704" i="56"/>
  <c r="W715" i="56"/>
  <c r="W697" i="56"/>
  <c r="W712" i="56"/>
  <c r="W684" i="56"/>
  <c r="W699" i="56"/>
  <c r="W713" i="56"/>
  <c r="W691" i="56"/>
  <c r="W714" i="56"/>
  <c r="W707" i="56"/>
  <c r="W716" i="56"/>
  <c r="W694" i="56"/>
  <c r="W686" i="56"/>
  <c r="W682" i="56"/>
  <c r="W681" i="56"/>
  <c r="W696" i="56"/>
  <c r="W689" i="56"/>
  <c r="W683" i="56"/>
  <c r="W710" i="56"/>
  <c r="W685" i="56"/>
  <c r="W703" i="56"/>
  <c r="W688" i="56"/>
  <c r="W690" i="56"/>
  <c r="W695" i="56"/>
  <c r="W687" i="56"/>
  <c r="W692" i="56"/>
  <c r="W698" i="56"/>
  <c r="W708" i="56"/>
  <c r="W709" i="56"/>
  <c r="W700" i="56"/>
  <c r="W693" i="56"/>
  <c r="W701" i="56"/>
  <c r="W711" i="56"/>
  <c r="W705" i="56"/>
  <c r="W733" i="56"/>
  <c r="W728" i="56"/>
  <c r="W741" i="56"/>
  <c r="W734" i="56"/>
  <c r="W738" i="56"/>
  <c r="W732" i="56"/>
  <c r="W727" i="56"/>
  <c r="W724" i="56"/>
  <c r="W731" i="56"/>
  <c r="W720" i="56"/>
  <c r="W737" i="56"/>
  <c r="W742" i="56"/>
  <c r="W743" i="56"/>
  <c r="W746" i="56"/>
  <c r="W719" i="56"/>
  <c r="W736" i="56"/>
  <c r="W730" i="56"/>
  <c r="W735" i="56"/>
  <c r="W729" i="56"/>
  <c r="W739" i="56"/>
  <c r="W717" i="56"/>
  <c r="W744" i="56"/>
  <c r="W745" i="56"/>
  <c r="W721" i="56"/>
  <c r="W723" i="56"/>
  <c r="W722" i="56"/>
  <c r="W718" i="56"/>
  <c r="W740" i="56"/>
  <c r="W725" i="56"/>
  <c r="W726" i="56"/>
  <c r="W753" i="56"/>
  <c r="W760" i="56"/>
  <c r="W776" i="56"/>
  <c r="W777" i="56"/>
  <c r="W757" i="56"/>
  <c r="W765" i="56"/>
  <c r="W762" i="56"/>
  <c r="W761" i="56"/>
  <c r="W770" i="56"/>
  <c r="W755" i="56"/>
  <c r="W772" i="56"/>
  <c r="W749" i="56"/>
  <c r="W763" i="56"/>
  <c r="W771" i="56"/>
  <c r="W759" i="56"/>
  <c r="W758" i="56"/>
  <c r="W747" i="56"/>
  <c r="W773" i="56"/>
  <c r="W766" i="56"/>
  <c r="W756" i="56"/>
  <c r="W750" i="56"/>
  <c r="W769" i="56"/>
  <c r="W754" i="56"/>
  <c r="W768" i="56"/>
  <c r="W774" i="56"/>
  <c r="W767" i="56"/>
  <c r="W748" i="56"/>
  <c r="W764" i="56"/>
  <c r="W751" i="56"/>
  <c r="W752" i="56"/>
  <c r="W775" i="56"/>
  <c r="W802" i="56"/>
  <c r="W796" i="56"/>
  <c r="W781" i="56"/>
  <c r="W798" i="56"/>
  <c r="W787" i="56"/>
  <c r="W795" i="56"/>
  <c r="W807" i="56"/>
  <c r="W784" i="56"/>
  <c r="W786" i="56"/>
  <c r="W783" i="56"/>
  <c r="W799" i="56"/>
  <c r="W797" i="56"/>
  <c r="W794" i="56"/>
  <c r="W803" i="56"/>
  <c r="W782" i="56"/>
  <c r="W778" i="56"/>
  <c r="W800" i="56"/>
  <c r="W789" i="56"/>
  <c r="W805" i="56"/>
  <c r="W808" i="56"/>
  <c r="W804" i="56"/>
  <c r="W806" i="56"/>
  <c r="W788" i="56"/>
  <c r="W779" i="56"/>
  <c r="W785" i="56"/>
  <c r="W792" i="56"/>
  <c r="W780" i="56"/>
  <c r="W801" i="56"/>
  <c r="W791" i="56"/>
  <c r="W790" i="56"/>
  <c r="W793" i="56"/>
  <c r="W835" i="56"/>
  <c r="W812" i="56"/>
  <c r="W817" i="56"/>
  <c r="W834" i="56"/>
  <c r="W826" i="56"/>
  <c r="W825" i="56"/>
  <c r="W813" i="56"/>
  <c r="W810" i="56"/>
  <c r="W822" i="56"/>
  <c r="W830" i="56"/>
  <c r="W814" i="56"/>
  <c r="W816" i="56"/>
  <c r="W823" i="56"/>
  <c r="W833" i="56"/>
  <c r="W831" i="56"/>
  <c r="W820" i="56"/>
  <c r="W809" i="56"/>
  <c r="W832" i="56"/>
  <c r="W811" i="56"/>
  <c r="W828" i="56"/>
  <c r="W818" i="56"/>
  <c r="W829" i="56"/>
  <c r="W819" i="56"/>
  <c r="W824" i="56"/>
  <c r="W815" i="56"/>
  <c r="W827" i="56"/>
  <c r="W821" i="56"/>
  <c r="W850" i="56"/>
  <c r="W853" i="56"/>
  <c r="W859" i="56"/>
  <c r="W861" i="56"/>
  <c r="W855" i="56"/>
  <c r="W839" i="56"/>
  <c r="W837" i="56"/>
  <c r="W841" i="56"/>
  <c r="W845" i="56"/>
  <c r="W862" i="56"/>
  <c r="W856" i="56"/>
  <c r="W852" i="56"/>
  <c r="W854" i="56"/>
  <c r="W847" i="56"/>
  <c r="W836" i="56"/>
  <c r="W840" i="56"/>
  <c r="W846" i="56"/>
  <c r="W849" i="56"/>
  <c r="W863" i="56"/>
  <c r="W851" i="56"/>
  <c r="W857" i="56"/>
  <c r="W838" i="56"/>
  <c r="W870" i="56"/>
  <c r="W864" i="56"/>
  <c r="W866" i="56"/>
  <c r="W860" i="56"/>
  <c r="W869" i="56"/>
  <c r="W867" i="56"/>
  <c r="W848" i="56"/>
  <c r="W842" i="56"/>
  <c r="W858" i="56"/>
  <c r="W865" i="56"/>
  <c r="W844" i="56"/>
  <c r="W868" i="56"/>
  <c r="W843" i="56"/>
  <c r="V45" i="56"/>
  <c r="V26" i="56"/>
  <c r="V11" i="56"/>
  <c r="V6" i="56"/>
  <c r="V25" i="56"/>
  <c r="V35" i="56"/>
  <c r="V7" i="56"/>
  <c r="V30" i="56"/>
  <c r="V12" i="56"/>
  <c r="V28" i="56"/>
  <c r="V10" i="56"/>
  <c r="V20" i="56"/>
  <c r="V37" i="56"/>
  <c r="V42" i="56"/>
  <c r="V19" i="56"/>
  <c r="V31" i="56"/>
  <c r="V23" i="56"/>
  <c r="V36" i="56"/>
  <c r="V17" i="56"/>
  <c r="V16" i="56"/>
  <c r="V38" i="56"/>
  <c r="V14" i="56"/>
  <c r="V32" i="56"/>
  <c r="V27" i="56"/>
  <c r="V22" i="56"/>
  <c r="V29" i="56"/>
  <c r="V43" i="56"/>
  <c r="V24" i="56"/>
  <c r="V21" i="56"/>
  <c r="V40" i="56"/>
  <c r="V15" i="56"/>
  <c r="V33" i="56"/>
  <c r="V18" i="56"/>
  <c r="V9" i="56"/>
  <c r="V39" i="56"/>
  <c r="V41" i="56"/>
  <c r="V44" i="56"/>
  <c r="V13" i="56"/>
  <c r="V34" i="56"/>
  <c r="V64" i="56"/>
  <c r="V58" i="56"/>
  <c r="V65" i="56"/>
  <c r="V56" i="56"/>
  <c r="V59" i="56"/>
  <c r="V49" i="56"/>
  <c r="V50" i="56"/>
  <c r="V67" i="56"/>
  <c r="V51" i="56"/>
  <c r="V69" i="56"/>
  <c r="V62" i="56"/>
  <c r="V60" i="56"/>
  <c r="V61" i="56"/>
  <c r="V54" i="56"/>
  <c r="V46" i="56"/>
  <c r="V70" i="56"/>
  <c r="V63" i="56"/>
  <c r="V53" i="56"/>
  <c r="V55" i="56"/>
  <c r="V48" i="56"/>
  <c r="V52" i="56"/>
  <c r="V66" i="56"/>
  <c r="V68" i="56"/>
  <c r="V47" i="56"/>
  <c r="V57" i="56"/>
  <c r="V95" i="56"/>
  <c r="V91" i="56"/>
  <c r="V79" i="56"/>
  <c r="V99" i="56"/>
  <c r="V85" i="56"/>
  <c r="V97" i="56"/>
  <c r="V98" i="56"/>
  <c r="V78" i="56"/>
  <c r="V87" i="56"/>
  <c r="V75" i="56"/>
  <c r="V84" i="56"/>
  <c r="V82" i="56"/>
  <c r="V94" i="56"/>
  <c r="V83" i="56"/>
  <c r="V80" i="56"/>
  <c r="V93" i="56"/>
  <c r="V88" i="56"/>
  <c r="V72" i="56"/>
  <c r="V74" i="56"/>
  <c r="V86" i="56"/>
  <c r="V81" i="56"/>
  <c r="V71" i="56"/>
  <c r="V89" i="56"/>
  <c r="V96" i="56"/>
  <c r="V76" i="56"/>
  <c r="V77" i="56"/>
  <c r="V92" i="56"/>
  <c r="V73" i="56"/>
  <c r="V90" i="56"/>
  <c r="V134" i="56"/>
  <c r="V113" i="56"/>
  <c r="V107" i="56"/>
  <c r="V131" i="56"/>
  <c r="V118" i="56"/>
  <c r="V126" i="56"/>
  <c r="V119" i="56"/>
  <c r="V129" i="56"/>
  <c r="V112" i="56"/>
  <c r="V100" i="56"/>
  <c r="V117" i="56"/>
  <c r="V120" i="56"/>
  <c r="V108" i="56"/>
  <c r="V114" i="56"/>
  <c r="V121" i="56"/>
  <c r="V110" i="56"/>
  <c r="V130" i="56"/>
  <c r="V128" i="56"/>
  <c r="V137" i="56"/>
  <c r="V136" i="56"/>
  <c r="V123" i="56"/>
  <c r="V132" i="56"/>
  <c r="V127" i="56"/>
  <c r="V115" i="56"/>
  <c r="V101" i="56"/>
  <c r="V104" i="56"/>
  <c r="V135" i="56"/>
  <c r="V133" i="56"/>
  <c r="V124" i="56"/>
  <c r="V116" i="56"/>
  <c r="V103" i="56"/>
  <c r="V102" i="56"/>
  <c r="V105" i="56"/>
  <c r="V109" i="56"/>
  <c r="V106" i="56"/>
  <c r="V125" i="56"/>
  <c r="V122" i="56"/>
  <c r="V138" i="56"/>
  <c r="V111" i="56"/>
  <c r="V167" i="56"/>
  <c r="V146" i="56"/>
  <c r="V153" i="56"/>
  <c r="V155" i="56"/>
  <c r="V168" i="56"/>
  <c r="V163" i="56"/>
  <c r="V148" i="56"/>
  <c r="V142" i="56"/>
  <c r="V169" i="56"/>
  <c r="V165" i="56"/>
  <c r="V156" i="56"/>
  <c r="V152" i="56"/>
  <c r="V159" i="56"/>
  <c r="V147" i="56"/>
  <c r="V151" i="56"/>
  <c r="V144" i="56"/>
  <c r="V160" i="56"/>
  <c r="V157" i="56"/>
  <c r="V161" i="56"/>
  <c r="V164" i="56"/>
  <c r="V140" i="56"/>
  <c r="V149" i="56"/>
  <c r="V154" i="56"/>
  <c r="V139" i="56"/>
  <c r="V145" i="56"/>
  <c r="V158" i="56"/>
  <c r="V162" i="56"/>
  <c r="V150" i="56"/>
  <c r="V166" i="56"/>
  <c r="V141" i="56"/>
  <c r="V143" i="56"/>
  <c r="V191" i="56"/>
  <c r="V181" i="56"/>
  <c r="V174" i="56"/>
  <c r="V184" i="56"/>
  <c r="V171" i="56"/>
  <c r="V177" i="56"/>
  <c r="V192" i="56"/>
  <c r="V201" i="56"/>
  <c r="V190" i="56"/>
  <c r="V193" i="56"/>
  <c r="V186" i="56"/>
  <c r="V198" i="56"/>
  <c r="V176" i="56"/>
  <c r="V183" i="56"/>
  <c r="V170" i="56"/>
  <c r="V187" i="56"/>
  <c r="V182" i="56"/>
  <c r="V194" i="56"/>
  <c r="V172" i="56"/>
  <c r="V196" i="56"/>
  <c r="V180" i="56"/>
  <c r="V199" i="56"/>
  <c r="V188" i="56"/>
  <c r="V197" i="56"/>
  <c r="V185" i="56"/>
  <c r="V195" i="56"/>
  <c r="V189" i="56"/>
  <c r="V178" i="56"/>
  <c r="V173" i="56"/>
  <c r="V179" i="56"/>
  <c r="V200" i="56"/>
  <c r="V175" i="56"/>
  <c r="V222" i="56"/>
  <c r="V214" i="56"/>
  <c r="V216" i="56"/>
  <c r="V230" i="56"/>
  <c r="V226" i="56"/>
  <c r="V231" i="56"/>
  <c r="V203" i="56"/>
  <c r="V207" i="56"/>
  <c r="V210" i="56"/>
  <c r="V223" i="56"/>
  <c r="V206" i="56"/>
  <c r="V232" i="56"/>
  <c r="V224" i="56"/>
  <c r="V233" i="56"/>
  <c r="V218" i="56"/>
  <c r="V220" i="56"/>
  <c r="V211" i="56"/>
  <c r="V225" i="56"/>
  <c r="V219" i="56"/>
  <c r="V227" i="56"/>
  <c r="V202" i="56"/>
  <c r="V229" i="56"/>
  <c r="V213" i="56"/>
  <c r="V221" i="56"/>
  <c r="V208" i="56"/>
  <c r="V204" i="56"/>
  <c r="V209" i="56"/>
  <c r="V205" i="56"/>
  <c r="V217" i="56"/>
  <c r="V228" i="56"/>
  <c r="V215" i="56"/>
  <c r="V212" i="56"/>
  <c r="V249" i="56"/>
  <c r="V256" i="56"/>
  <c r="V239" i="56"/>
  <c r="V234" i="56"/>
  <c r="V236" i="56"/>
  <c r="V253" i="56"/>
  <c r="V246" i="56"/>
  <c r="V257" i="56"/>
  <c r="V237" i="56"/>
  <c r="V250" i="56"/>
  <c r="V238" i="56"/>
  <c r="V244" i="56"/>
  <c r="V248" i="56"/>
  <c r="V245" i="56"/>
  <c r="V240" i="56"/>
  <c r="V254" i="56"/>
  <c r="V235" i="56"/>
  <c r="V241" i="56"/>
  <c r="V251" i="56"/>
  <c r="V252" i="56"/>
  <c r="V243" i="56"/>
  <c r="V247" i="56"/>
  <c r="V242" i="56"/>
  <c r="V255" i="56"/>
  <c r="V271" i="56"/>
  <c r="V277" i="56"/>
  <c r="V278" i="56"/>
  <c r="V267" i="56"/>
  <c r="V283" i="56"/>
  <c r="V282" i="56"/>
  <c r="V273" i="56"/>
  <c r="V262" i="56"/>
  <c r="V263" i="56"/>
  <c r="V265" i="56"/>
  <c r="V276" i="56"/>
  <c r="V266" i="56"/>
  <c r="V272" i="56"/>
  <c r="V268" i="56"/>
  <c r="V259" i="56"/>
  <c r="V280" i="56"/>
  <c r="V258" i="56"/>
  <c r="V286" i="56"/>
  <c r="V260" i="56"/>
  <c r="V269" i="56"/>
  <c r="V275" i="56"/>
  <c r="V285" i="56"/>
  <c r="V281" i="56"/>
  <c r="V264" i="56"/>
  <c r="V261" i="56"/>
  <c r="V270" i="56"/>
  <c r="V274" i="56"/>
  <c r="V279" i="56"/>
  <c r="V284" i="56"/>
  <c r="V298" i="56"/>
  <c r="V287" i="56"/>
  <c r="V310" i="56"/>
  <c r="V316" i="56"/>
  <c r="V295" i="56"/>
  <c r="V288" i="56"/>
  <c r="V290" i="56"/>
  <c r="V292" i="56"/>
  <c r="V308" i="56"/>
  <c r="V309" i="56"/>
  <c r="V313" i="56"/>
  <c r="V311" i="56"/>
  <c r="V289" i="56"/>
  <c r="V301" i="56"/>
  <c r="V312" i="56"/>
  <c r="V299" i="56"/>
  <c r="V307" i="56"/>
  <c r="V294" i="56"/>
  <c r="V306" i="56"/>
  <c r="V300" i="56"/>
  <c r="V304" i="56"/>
  <c r="V302" i="56"/>
  <c r="V297" i="56"/>
  <c r="V296" i="56"/>
  <c r="V291" i="56"/>
  <c r="V303" i="56"/>
  <c r="V293" i="56"/>
  <c r="V305" i="56"/>
  <c r="V315" i="56"/>
  <c r="V314" i="56"/>
  <c r="V338" i="56"/>
  <c r="V328" i="56"/>
  <c r="V318" i="56"/>
  <c r="V331" i="56"/>
  <c r="V342" i="56"/>
  <c r="V320" i="56"/>
  <c r="V350" i="56"/>
  <c r="V351" i="56"/>
  <c r="V334" i="56"/>
  <c r="V349" i="56"/>
  <c r="V324" i="56"/>
  <c r="V354" i="56"/>
  <c r="V333" i="56"/>
  <c r="V335" i="56"/>
  <c r="V325" i="56"/>
  <c r="V340" i="56"/>
  <c r="V327" i="56"/>
  <c r="V322" i="56"/>
  <c r="V341" i="56"/>
  <c r="V346" i="56"/>
  <c r="V347" i="56"/>
  <c r="V339" i="56"/>
  <c r="V317" i="56"/>
  <c r="V348" i="56"/>
  <c r="V343" i="56"/>
  <c r="V353" i="56"/>
  <c r="V321" i="56"/>
  <c r="V323" i="56"/>
  <c r="V352" i="56"/>
  <c r="V344" i="56"/>
  <c r="V330" i="56"/>
  <c r="V319" i="56"/>
  <c r="V336" i="56"/>
  <c r="V329" i="56"/>
  <c r="V326" i="56"/>
  <c r="V337" i="56"/>
  <c r="V332" i="56"/>
  <c r="V345" i="56"/>
  <c r="V384" i="56"/>
  <c r="V376" i="56"/>
  <c r="V380" i="56"/>
  <c r="V378" i="56"/>
  <c r="V364" i="56"/>
  <c r="V368" i="56"/>
  <c r="V370" i="56"/>
  <c r="V365" i="56"/>
  <c r="V377" i="56"/>
  <c r="V375" i="56"/>
  <c r="V367" i="56"/>
  <c r="V357" i="56"/>
  <c r="V383" i="56"/>
  <c r="V381" i="56"/>
  <c r="V373" i="56"/>
  <c r="V374" i="56"/>
  <c r="V363" i="56"/>
  <c r="V362" i="56"/>
  <c r="V382" i="56"/>
  <c r="V355" i="56"/>
  <c r="V361" i="56"/>
  <c r="V372" i="56"/>
  <c r="V356" i="56"/>
  <c r="V366" i="56"/>
  <c r="V371" i="56"/>
  <c r="V358" i="56"/>
  <c r="V360" i="56"/>
  <c r="V369" i="56"/>
  <c r="V359" i="56"/>
  <c r="V379" i="56"/>
  <c r="V405" i="56"/>
  <c r="V414" i="56"/>
  <c r="V416" i="56"/>
  <c r="V426" i="56"/>
  <c r="V413" i="56"/>
  <c r="V412" i="56"/>
  <c r="V409" i="56"/>
  <c r="V417" i="56"/>
  <c r="V407" i="56"/>
  <c r="V430" i="56"/>
  <c r="V394" i="56"/>
  <c r="V418" i="56"/>
  <c r="V391" i="56"/>
  <c r="V423" i="56"/>
  <c r="V403" i="56"/>
  <c r="V386" i="56"/>
  <c r="V401" i="56"/>
  <c r="V419" i="56"/>
  <c r="V404" i="56"/>
  <c r="V387" i="56"/>
  <c r="V431" i="56"/>
  <c r="V397" i="56"/>
  <c r="V428" i="56"/>
  <c r="V421" i="56"/>
  <c r="V402" i="56"/>
  <c r="V415" i="56"/>
  <c r="V427" i="56"/>
  <c r="V400" i="56"/>
  <c r="V395" i="56"/>
  <c r="V425" i="56"/>
  <c r="V396" i="56"/>
  <c r="V422" i="56"/>
  <c r="V390" i="56"/>
  <c r="V399" i="56"/>
  <c r="V392" i="56"/>
  <c r="V410" i="56"/>
  <c r="V429" i="56"/>
  <c r="V389" i="56"/>
  <c r="V388" i="56"/>
  <c r="V408" i="56"/>
  <c r="V406" i="56"/>
  <c r="V393" i="56"/>
  <c r="V398" i="56"/>
  <c r="V420" i="56"/>
  <c r="V424" i="56"/>
  <c r="V385" i="56"/>
  <c r="V432" i="56"/>
  <c r="V411" i="56"/>
  <c r="V440" i="56"/>
  <c r="V451" i="56"/>
  <c r="V441" i="56"/>
  <c r="V446" i="56"/>
  <c r="V454" i="56"/>
  <c r="V438" i="56"/>
  <c r="V443" i="56"/>
  <c r="V452" i="56"/>
  <c r="V450" i="56"/>
  <c r="V433" i="56"/>
  <c r="V449" i="56"/>
  <c r="V442" i="56"/>
  <c r="V447" i="56"/>
  <c r="V453" i="56"/>
  <c r="V436" i="56"/>
  <c r="V448" i="56"/>
  <c r="V434" i="56"/>
  <c r="V435" i="56"/>
  <c r="V444" i="56"/>
  <c r="V437" i="56"/>
  <c r="V445" i="56"/>
  <c r="V439" i="56"/>
  <c r="V475" i="56"/>
  <c r="V462" i="56"/>
  <c r="V483" i="56"/>
  <c r="V468" i="56"/>
  <c r="V464" i="56"/>
  <c r="V457" i="56"/>
  <c r="V489" i="56"/>
  <c r="V495" i="56"/>
  <c r="V471" i="56"/>
  <c r="V455" i="56"/>
  <c r="V481" i="56"/>
  <c r="V463" i="56"/>
  <c r="V466" i="56"/>
  <c r="V490" i="56"/>
  <c r="V465" i="56"/>
  <c r="V458" i="56"/>
  <c r="V485" i="56"/>
  <c r="V467" i="56"/>
  <c r="V487" i="56"/>
  <c r="V474" i="56"/>
  <c r="V472" i="56"/>
  <c r="V492" i="56"/>
  <c r="V460" i="56"/>
  <c r="V494" i="56"/>
  <c r="V477" i="56"/>
  <c r="V470" i="56"/>
  <c r="V456" i="56"/>
  <c r="V461" i="56"/>
  <c r="V476" i="56"/>
  <c r="V478" i="56"/>
  <c r="V488" i="56"/>
  <c r="V497" i="56"/>
  <c r="V469" i="56"/>
  <c r="V473" i="56"/>
  <c r="V496" i="56"/>
  <c r="V493" i="56"/>
  <c r="V484" i="56"/>
  <c r="V479" i="56"/>
  <c r="V482" i="56"/>
  <c r="V459" i="56"/>
  <c r="V480" i="56"/>
  <c r="V486" i="56"/>
  <c r="V491" i="56"/>
  <c r="V536" i="56"/>
  <c r="V523" i="56"/>
  <c r="V528" i="56"/>
  <c r="V507" i="56"/>
  <c r="V514" i="56"/>
  <c r="V532" i="56"/>
  <c r="V524" i="56"/>
  <c r="V518" i="56"/>
  <c r="V503" i="56"/>
  <c r="V505" i="56"/>
  <c r="V529" i="56"/>
  <c r="V534" i="56"/>
  <c r="V506" i="56"/>
  <c r="V509" i="56"/>
  <c r="V498" i="56"/>
  <c r="V521" i="56"/>
  <c r="V504" i="56"/>
  <c r="V519" i="56"/>
  <c r="V526" i="56"/>
  <c r="V499" i="56"/>
  <c r="V517" i="56"/>
  <c r="V508" i="56"/>
  <c r="V522" i="56"/>
  <c r="V537" i="56"/>
  <c r="V510" i="56"/>
  <c r="V520" i="56"/>
  <c r="V527" i="56"/>
  <c r="V531" i="56"/>
  <c r="V515" i="56"/>
  <c r="V502" i="56"/>
  <c r="V530" i="56"/>
  <c r="V513" i="56"/>
  <c r="V533" i="56"/>
  <c r="V516" i="56"/>
  <c r="V511" i="56"/>
  <c r="V500" i="56"/>
  <c r="V525" i="56"/>
  <c r="V535" i="56"/>
  <c r="V501" i="56"/>
  <c r="V512" i="56"/>
  <c r="V546" i="56"/>
  <c r="V538" i="56"/>
  <c r="V552" i="56"/>
  <c r="V541" i="56"/>
  <c r="V543" i="56"/>
  <c r="V553" i="56"/>
  <c r="V549" i="56"/>
  <c r="V558" i="56"/>
  <c r="V540" i="56"/>
  <c r="V557" i="56"/>
  <c r="V548" i="56"/>
  <c r="V556" i="56"/>
  <c r="V555" i="56"/>
  <c r="V551" i="56"/>
  <c r="V550" i="56"/>
  <c r="V542" i="56"/>
  <c r="V539" i="56"/>
  <c r="V547" i="56"/>
  <c r="V544" i="56"/>
  <c r="V554" i="56"/>
  <c r="V545" i="56"/>
  <c r="V585" i="56"/>
  <c r="V567" i="56"/>
  <c r="V575" i="56"/>
  <c r="V566" i="56"/>
  <c r="V568" i="56"/>
  <c r="V584" i="56"/>
  <c r="V586" i="56"/>
  <c r="V565" i="56"/>
  <c r="V579" i="56"/>
  <c r="V576" i="56"/>
  <c r="V559" i="56"/>
  <c r="V563" i="56"/>
  <c r="V569" i="56"/>
  <c r="V574" i="56"/>
  <c r="V588" i="56"/>
  <c r="V580" i="56"/>
  <c r="V572" i="56"/>
  <c r="V573" i="56"/>
  <c r="V583" i="56"/>
  <c r="V571" i="56"/>
  <c r="V564" i="56"/>
  <c r="V561" i="56"/>
  <c r="V562" i="56"/>
  <c r="V570" i="56"/>
  <c r="V560" i="56"/>
  <c r="V589" i="56"/>
  <c r="V587" i="56"/>
  <c r="V578" i="56"/>
  <c r="V582" i="56"/>
  <c r="V577" i="56"/>
  <c r="V581" i="56"/>
  <c r="V600" i="56"/>
  <c r="V601" i="56"/>
  <c r="V595" i="56"/>
  <c r="V603" i="56"/>
  <c r="V608" i="56"/>
  <c r="V598" i="56"/>
  <c r="V607" i="56"/>
  <c r="V612" i="56"/>
  <c r="V605" i="56"/>
  <c r="V592" i="56"/>
  <c r="V614" i="56"/>
  <c r="V613" i="56"/>
  <c r="V611" i="56"/>
  <c r="V596" i="56"/>
  <c r="V594" i="56"/>
  <c r="V590" i="56"/>
  <c r="V606" i="56"/>
  <c r="V602" i="56"/>
  <c r="V610" i="56"/>
  <c r="V599" i="56"/>
  <c r="V616" i="56"/>
  <c r="V593" i="56"/>
  <c r="V591" i="56"/>
  <c r="V604" i="56"/>
  <c r="V597" i="56"/>
  <c r="V615" i="56"/>
  <c r="V609" i="56"/>
  <c r="V636" i="56"/>
  <c r="V619" i="56"/>
  <c r="V634" i="56"/>
  <c r="V631" i="56"/>
  <c r="V638" i="56"/>
  <c r="V617" i="56"/>
  <c r="V628" i="56"/>
  <c r="V620" i="56"/>
  <c r="V625" i="56"/>
  <c r="V641" i="56"/>
  <c r="V648" i="56"/>
  <c r="V639" i="56"/>
  <c r="V630" i="56"/>
  <c r="V627" i="56"/>
  <c r="V650" i="56"/>
  <c r="V635" i="56"/>
  <c r="V643" i="56"/>
  <c r="V633" i="56"/>
  <c r="V647" i="56"/>
  <c r="V637" i="56"/>
  <c r="V618" i="56"/>
  <c r="V622" i="56"/>
  <c r="V626" i="56"/>
  <c r="V642" i="56"/>
  <c r="V649" i="56"/>
  <c r="V624" i="56"/>
  <c r="V632" i="56"/>
  <c r="V644" i="56"/>
  <c r="V640" i="56"/>
  <c r="V645" i="56"/>
  <c r="V623" i="56"/>
  <c r="V621" i="56"/>
  <c r="V629" i="56"/>
  <c r="V646" i="56"/>
  <c r="V653" i="56"/>
  <c r="V672" i="56"/>
  <c r="V667" i="56"/>
  <c r="V663" i="56"/>
  <c r="V657" i="56"/>
  <c r="V656" i="56"/>
  <c r="V677" i="56"/>
  <c r="V651" i="56"/>
  <c r="V654" i="56"/>
  <c r="V674" i="56"/>
  <c r="V661" i="56"/>
  <c r="V660" i="56"/>
  <c r="V665" i="56"/>
  <c r="V669" i="56"/>
  <c r="V671" i="56"/>
  <c r="V666" i="56"/>
  <c r="V673" i="56"/>
  <c r="V658" i="56"/>
  <c r="V655" i="56"/>
  <c r="V675" i="56"/>
  <c r="V679" i="56"/>
  <c r="V670" i="56"/>
  <c r="V678" i="56"/>
  <c r="V676" i="56"/>
  <c r="V680" i="56"/>
  <c r="V659" i="56"/>
  <c r="V664" i="56"/>
  <c r="V668" i="56"/>
  <c r="V652" i="56"/>
  <c r="V662" i="56"/>
  <c r="V706" i="56"/>
  <c r="V702" i="56"/>
  <c r="V704" i="56"/>
  <c r="V715" i="56"/>
  <c r="V697" i="56"/>
  <c r="V712" i="56"/>
  <c r="V684" i="56"/>
  <c r="V699" i="56"/>
  <c r="V713" i="56"/>
  <c r="V691" i="56"/>
  <c r="V714" i="56"/>
  <c r="V707" i="56"/>
  <c r="V716" i="56"/>
  <c r="V694" i="56"/>
  <c r="V686" i="56"/>
  <c r="V682" i="56"/>
  <c r="V681" i="56"/>
  <c r="V696" i="56"/>
  <c r="V689" i="56"/>
  <c r="V683" i="56"/>
  <c r="V710" i="56"/>
  <c r="V685" i="56"/>
  <c r="V703" i="56"/>
  <c r="V688" i="56"/>
  <c r="V690" i="56"/>
  <c r="V695" i="56"/>
  <c r="V687" i="56"/>
  <c r="V692" i="56"/>
  <c r="V698" i="56"/>
  <c r="V708" i="56"/>
  <c r="V709" i="56"/>
  <c r="V700" i="56"/>
  <c r="V693" i="56"/>
  <c r="V701" i="56"/>
  <c r="V711" i="56"/>
  <c r="V705" i="56"/>
  <c r="V733" i="56"/>
  <c r="V728" i="56"/>
  <c r="V741" i="56"/>
  <c r="V734" i="56"/>
  <c r="V738" i="56"/>
  <c r="V732" i="56"/>
  <c r="V727" i="56"/>
  <c r="V724" i="56"/>
  <c r="V731" i="56"/>
  <c r="V720" i="56"/>
  <c r="V737" i="56"/>
  <c r="V742" i="56"/>
  <c r="V743" i="56"/>
  <c r="V746" i="56"/>
  <c r="V719" i="56"/>
  <c r="V736" i="56"/>
  <c r="V730" i="56"/>
  <c r="V735" i="56"/>
  <c r="V729" i="56"/>
  <c r="V739" i="56"/>
  <c r="V717" i="56"/>
  <c r="V744" i="56"/>
  <c r="V745" i="56"/>
  <c r="V721" i="56"/>
  <c r="V723" i="56"/>
  <c r="V722" i="56"/>
  <c r="V718" i="56"/>
  <c r="V740" i="56"/>
  <c r="V725" i="56"/>
  <c r="V726" i="56"/>
  <c r="V753" i="56"/>
  <c r="V760" i="56"/>
  <c r="V776" i="56"/>
  <c r="V777" i="56"/>
  <c r="V757" i="56"/>
  <c r="V765" i="56"/>
  <c r="V762" i="56"/>
  <c r="V761" i="56"/>
  <c r="V770" i="56"/>
  <c r="V755" i="56"/>
  <c r="V772" i="56"/>
  <c r="V749" i="56"/>
  <c r="V763" i="56"/>
  <c r="V771" i="56"/>
  <c r="V759" i="56"/>
  <c r="V758" i="56"/>
  <c r="V747" i="56"/>
  <c r="V773" i="56"/>
  <c r="V766" i="56"/>
  <c r="V756" i="56"/>
  <c r="V750" i="56"/>
  <c r="V769" i="56"/>
  <c r="V754" i="56"/>
  <c r="V768" i="56"/>
  <c r="V774" i="56"/>
  <c r="V767" i="56"/>
  <c r="V748" i="56"/>
  <c r="V764" i="56"/>
  <c r="V751" i="56"/>
  <c r="V752" i="56"/>
  <c r="V775" i="56"/>
  <c r="V802" i="56"/>
  <c r="V796" i="56"/>
  <c r="V781" i="56"/>
  <c r="V798" i="56"/>
  <c r="V787" i="56"/>
  <c r="V795" i="56"/>
  <c r="V807" i="56"/>
  <c r="V784" i="56"/>
  <c r="V786" i="56"/>
  <c r="V783" i="56"/>
  <c r="V799" i="56"/>
  <c r="V797" i="56"/>
  <c r="V794" i="56"/>
  <c r="V803" i="56"/>
  <c r="V782" i="56"/>
  <c r="V778" i="56"/>
  <c r="V800" i="56"/>
  <c r="V789" i="56"/>
  <c r="V805" i="56"/>
  <c r="V808" i="56"/>
  <c r="V804" i="56"/>
  <c r="V806" i="56"/>
  <c r="V788" i="56"/>
  <c r="V779" i="56"/>
  <c r="V785" i="56"/>
  <c r="V792" i="56"/>
  <c r="V780" i="56"/>
  <c r="V801" i="56"/>
  <c r="V791" i="56"/>
  <c r="V790" i="56"/>
  <c r="V793" i="56"/>
  <c r="V835" i="56"/>
  <c r="V812" i="56"/>
  <c r="V817" i="56"/>
  <c r="V834" i="56"/>
  <c r="V826" i="56"/>
  <c r="V825" i="56"/>
  <c r="V813" i="56"/>
  <c r="V810" i="56"/>
  <c r="V822" i="56"/>
  <c r="V830" i="56"/>
  <c r="V814" i="56"/>
  <c r="V816" i="56"/>
  <c r="V823" i="56"/>
  <c r="V833" i="56"/>
  <c r="V831" i="56"/>
  <c r="V820" i="56"/>
  <c r="V809" i="56"/>
  <c r="V832" i="56"/>
  <c r="V811" i="56"/>
  <c r="V828" i="56"/>
  <c r="V818" i="56"/>
  <c r="V829" i="56"/>
  <c r="V819" i="56"/>
  <c r="V824" i="56"/>
  <c r="V815" i="56"/>
  <c r="V827" i="56"/>
  <c r="V821" i="56"/>
  <c r="V850" i="56"/>
  <c r="V853" i="56"/>
  <c r="V859" i="56"/>
  <c r="V861" i="56"/>
  <c r="V855" i="56"/>
  <c r="V839" i="56"/>
  <c r="V837" i="56"/>
  <c r="V841" i="56"/>
  <c r="V845" i="56"/>
  <c r="V862" i="56"/>
  <c r="V856" i="56"/>
  <c r="V852" i="56"/>
  <c r="V854" i="56"/>
  <c r="V847" i="56"/>
  <c r="V836" i="56"/>
  <c r="V840" i="56"/>
  <c r="V846" i="56"/>
  <c r="V849" i="56"/>
  <c r="V863" i="56"/>
  <c r="V851" i="56"/>
  <c r="V857" i="56"/>
  <c r="V838" i="56"/>
  <c r="V870" i="56"/>
  <c r="V864" i="56"/>
  <c r="V866" i="56"/>
  <c r="V860" i="56"/>
  <c r="V869" i="56"/>
  <c r="V867" i="56"/>
  <c r="V848" i="56"/>
  <c r="V842" i="56"/>
  <c r="V858" i="56"/>
  <c r="V865" i="56"/>
  <c r="V844" i="56"/>
  <c r="V868" i="56"/>
  <c r="V843" i="56"/>
  <c r="X8" i="56"/>
  <c r="W8" i="56"/>
  <c r="V8" i="56"/>
  <c r="AA45" i="56"/>
  <c r="AA26" i="56"/>
  <c r="AA11" i="56"/>
  <c r="AA6" i="56"/>
  <c r="AA25" i="56"/>
  <c r="AA35" i="56"/>
  <c r="AA7" i="56"/>
  <c r="AA30" i="56"/>
  <c r="AA12" i="56"/>
  <c r="AA28" i="56"/>
  <c r="AA10" i="56"/>
  <c r="AA20" i="56"/>
  <c r="AA37" i="56"/>
  <c r="AA42" i="56"/>
  <c r="AA19" i="56"/>
  <c r="AA31" i="56"/>
  <c r="AA23" i="56"/>
  <c r="AA36" i="56"/>
  <c r="AA17" i="56"/>
  <c r="AA16" i="56"/>
  <c r="AA38" i="56"/>
  <c r="AA14" i="56"/>
  <c r="AA32" i="56"/>
  <c r="AA27" i="56"/>
  <c r="AA22" i="56"/>
  <c r="AA29" i="56"/>
  <c r="AA43" i="56"/>
  <c r="AA24" i="56"/>
  <c r="AA21" i="56"/>
  <c r="AA40" i="56"/>
  <c r="AA15" i="56"/>
  <c r="AA33" i="56"/>
  <c r="AA18" i="56"/>
  <c r="AA9" i="56"/>
  <c r="Y39" i="56"/>
  <c r="AA39" i="56"/>
  <c r="Y41" i="56"/>
  <c r="AA41" i="56"/>
  <c r="Y44" i="56"/>
  <c r="AA44" i="56"/>
  <c r="Y13" i="56"/>
  <c r="AA13" i="56"/>
  <c r="Y34" i="56"/>
  <c r="AA34" i="56"/>
  <c r="AA64" i="56"/>
  <c r="AA58" i="56"/>
  <c r="AA65" i="56"/>
  <c r="AA56" i="56"/>
  <c r="AA59" i="56"/>
  <c r="AA49" i="56"/>
  <c r="AA50" i="56"/>
  <c r="AA67" i="56"/>
  <c r="AA51" i="56"/>
  <c r="AA69" i="56"/>
  <c r="AA62" i="56"/>
  <c r="AA60" i="56"/>
  <c r="AA61" i="56"/>
  <c r="AA54" i="56"/>
  <c r="AA46" i="56"/>
  <c r="AA70" i="56"/>
  <c r="AA63" i="56"/>
  <c r="AA53" i="56"/>
  <c r="AA55" i="56"/>
  <c r="AA48" i="56"/>
  <c r="AA52" i="56"/>
  <c r="AA66" i="56"/>
  <c r="AA68" i="56"/>
  <c r="AA47" i="56"/>
  <c r="Y57" i="56"/>
  <c r="AA57" i="56"/>
  <c r="Y95" i="56"/>
  <c r="AA95" i="56"/>
  <c r="Y91" i="56"/>
  <c r="AA91" i="56"/>
  <c r="Y79" i="56"/>
  <c r="AA79" i="56"/>
  <c r="Y99" i="56"/>
  <c r="AA99" i="56"/>
  <c r="Y85" i="56"/>
  <c r="AA85" i="56"/>
  <c r="Y97" i="56"/>
  <c r="AA97" i="56"/>
  <c r="Y98" i="56"/>
  <c r="AA98" i="56"/>
  <c r="Y78" i="56"/>
  <c r="AA78" i="56"/>
  <c r="Y87" i="56"/>
  <c r="AA87" i="56"/>
  <c r="Y75" i="56"/>
  <c r="AA75" i="56"/>
  <c r="Y84" i="56"/>
  <c r="AA84" i="56"/>
  <c r="Y82" i="56"/>
  <c r="AA82" i="56"/>
  <c r="Y94" i="56"/>
  <c r="AA94" i="56"/>
  <c r="Y83" i="56"/>
  <c r="AA83" i="56"/>
  <c r="Y80" i="56"/>
  <c r="AA80" i="56"/>
  <c r="Y93" i="56"/>
  <c r="AA93" i="56"/>
  <c r="Y88" i="56"/>
  <c r="AA88" i="56"/>
  <c r="Y72" i="56"/>
  <c r="AA72" i="56"/>
  <c r="Y74" i="56"/>
  <c r="AA74" i="56"/>
  <c r="Y86" i="56"/>
  <c r="AA86" i="56"/>
  <c r="Y81" i="56"/>
  <c r="AA81" i="56"/>
  <c r="Y71" i="56"/>
  <c r="AA71" i="56"/>
  <c r="Y89" i="56"/>
  <c r="AA89" i="56"/>
  <c r="Y96" i="56"/>
  <c r="AA96" i="56"/>
  <c r="Y76" i="56"/>
  <c r="AA76" i="56"/>
  <c r="Y77" i="56"/>
  <c r="AA77" i="56"/>
  <c r="Y92" i="56"/>
  <c r="AA92" i="56"/>
  <c r="Y73" i="56"/>
  <c r="AA73" i="56"/>
  <c r="Y90" i="56"/>
  <c r="AA90" i="56"/>
  <c r="Y134" i="56"/>
  <c r="Z134" i="56"/>
  <c r="AA134" i="56"/>
  <c r="Y113" i="56"/>
  <c r="Z113" i="56"/>
  <c r="AA113" i="56"/>
  <c r="Y107" i="56"/>
  <c r="Z107" i="56"/>
  <c r="AA107" i="56"/>
  <c r="Y131" i="56"/>
  <c r="Z131" i="56"/>
  <c r="AA131" i="56"/>
  <c r="Y118" i="56"/>
  <c r="Z118" i="56"/>
  <c r="AA118" i="56"/>
  <c r="Y126" i="56"/>
  <c r="Z126" i="56"/>
  <c r="AA126" i="56"/>
  <c r="Y119" i="56"/>
  <c r="Z119" i="56"/>
  <c r="AA119" i="56"/>
  <c r="Y129" i="56"/>
  <c r="Z129" i="56"/>
  <c r="AA129" i="56"/>
  <c r="Y112" i="56"/>
  <c r="Z112" i="56"/>
  <c r="AA112" i="56"/>
  <c r="Y100" i="56"/>
  <c r="Z100" i="56"/>
  <c r="AA100" i="56"/>
  <c r="Y117" i="56"/>
  <c r="Z117" i="56"/>
  <c r="AA117" i="56"/>
  <c r="Y120" i="56"/>
  <c r="Z120" i="56"/>
  <c r="AA120" i="56"/>
  <c r="Y108" i="56"/>
  <c r="Z108" i="56"/>
  <c r="AA108" i="56"/>
  <c r="Y114" i="56"/>
  <c r="Z114" i="56"/>
  <c r="AA114" i="56"/>
  <c r="Y121" i="56"/>
  <c r="Z121" i="56"/>
  <c r="AA121" i="56"/>
  <c r="Y110" i="56"/>
  <c r="Z110" i="56"/>
  <c r="AA110" i="56"/>
  <c r="Y130" i="56"/>
  <c r="Z130" i="56"/>
  <c r="AA130" i="56"/>
  <c r="Y128" i="56"/>
  <c r="Z128" i="56"/>
  <c r="AA128" i="56"/>
  <c r="Y137" i="56"/>
  <c r="Z137" i="56"/>
  <c r="AA137" i="56"/>
  <c r="Y136" i="56"/>
  <c r="Z136" i="56"/>
  <c r="AA136" i="56"/>
  <c r="Y123" i="56"/>
  <c r="Z123" i="56"/>
  <c r="AA123" i="56"/>
  <c r="Y132" i="56"/>
  <c r="Z132" i="56"/>
  <c r="AA132" i="56"/>
  <c r="Y127" i="56"/>
  <c r="Z127" i="56"/>
  <c r="AA127" i="56"/>
  <c r="Y115" i="56"/>
  <c r="Z115" i="56"/>
  <c r="AA115" i="56"/>
  <c r="Y101" i="56"/>
  <c r="Z101" i="56"/>
  <c r="AA101" i="56"/>
  <c r="Y104" i="56"/>
  <c r="Z104" i="56"/>
  <c r="AA104" i="56"/>
  <c r="Y135" i="56"/>
  <c r="Z135" i="56"/>
  <c r="AA135" i="56"/>
  <c r="Y133" i="56"/>
  <c r="Z133" i="56"/>
  <c r="AA133" i="56"/>
  <c r="Y124" i="56"/>
  <c r="Z124" i="56"/>
  <c r="AA124" i="56"/>
  <c r="Y116" i="56"/>
  <c r="Z116" i="56"/>
  <c r="AA116" i="56"/>
  <c r="Y103" i="56"/>
  <c r="Z103" i="56"/>
  <c r="AA103" i="56"/>
  <c r="Y102" i="56"/>
  <c r="Z102" i="56"/>
  <c r="AA102" i="56"/>
  <c r="Y105" i="56"/>
  <c r="Z105" i="56"/>
  <c r="AA105" i="56"/>
  <c r="Y109" i="56"/>
  <c r="Z109" i="56"/>
  <c r="AA109" i="56"/>
  <c r="Y106" i="56"/>
  <c r="Z106" i="56"/>
  <c r="AA106" i="56"/>
  <c r="Y125" i="56"/>
  <c r="Z125" i="56"/>
  <c r="AA125" i="56"/>
  <c r="Y122" i="56"/>
  <c r="Z122" i="56"/>
  <c r="AA122" i="56"/>
  <c r="Y138" i="56"/>
  <c r="Z138" i="56"/>
  <c r="AA138" i="56"/>
  <c r="Y111" i="56"/>
  <c r="Z111" i="56"/>
  <c r="AA111" i="56"/>
  <c r="Y167" i="56"/>
  <c r="AA167" i="56"/>
  <c r="Y146" i="56"/>
  <c r="AA146" i="56"/>
  <c r="Y153" i="56"/>
  <c r="AA153" i="56"/>
  <c r="Y155" i="56"/>
  <c r="AA155" i="56"/>
  <c r="Y168" i="56"/>
  <c r="AA168" i="56"/>
  <c r="Y163" i="56"/>
  <c r="AA163" i="56"/>
  <c r="Y148" i="56"/>
  <c r="AA148" i="56"/>
  <c r="Y142" i="56"/>
  <c r="AA142" i="56"/>
  <c r="Y169" i="56"/>
  <c r="AA169" i="56"/>
  <c r="Y165" i="56"/>
  <c r="AA165" i="56"/>
  <c r="Y156" i="56"/>
  <c r="AA156" i="56"/>
  <c r="Y152" i="56"/>
  <c r="AA152" i="56"/>
  <c r="Y159" i="56"/>
  <c r="AA159" i="56"/>
  <c r="Y147" i="56"/>
  <c r="AA147" i="56"/>
  <c r="Y151" i="56"/>
  <c r="AA151" i="56"/>
  <c r="Y144" i="56"/>
  <c r="AA144" i="56"/>
  <c r="Y160" i="56"/>
  <c r="AA160" i="56"/>
  <c r="Y157" i="56"/>
  <c r="AA157" i="56"/>
  <c r="Y161" i="56"/>
  <c r="AA161" i="56"/>
  <c r="Y164" i="56"/>
  <c r="AA164" i="56"/>
  <c r="Y140" i="56"/>
  <c r="AA140" i="56"/>
  <c r="Y149" i="56"/>
  <c r="AA149" i="56"/>
  <c r="Y154" i="56"/>
  <c r="AA154" i="56"/>
  <c r="Y139" i="56"/>
  <c r="AA139" i="56"/>
  <c r="Y145" i="56"/>
  <c r="AA145" i="56"/>
  <c r="Y158" i="56"/>
  <c r="AA158" i="56"/>
  <c r="Y162" i="56"/>
  <c r="AA162" i="56"/>
  <c r="Y150" i="56"/>
  <c r="AA150" i="56"/>
  <c r="Y166" i="56"/>
  <c r="AA166" i="56"/>
  <c r="Y141" i="56"/>
  <c r="AA141" i="56"/>
  <c r="Y143" i="56"/>
  <c r="AA143" i="56"/>
  <c r="AA191" i="56"/>
  <c r="AA181" i="56"/>
  <c r="AA174" i="56"/>
  <c r="AA184" i="56"/>
  <c r="AA171" i="56"/>
  <c r="AA177" i="56"/>
  <c r="AA192" i="56"/>
  <c r="AA201" i="56"/>
  <c r="AA190" i="56"/>
  <c r="AA193" i="56"/>
  <c r="AA186" i="56"/>
  <c r="AA198" i="56"/>
  <c r="AA176" i="56"/>
  <c r="AA183" i="56"/>
  <c r="AA170" i="56"/>
  <c r="AA187" i="56"/>
  <c r="AA182" i="56"/>
  <c r="AA194" i="56"/>
  <c r="AA172" i="56"/>
  <c r="AA196" i="56"/>
  <c r="AA180" i="56"/>
  <c r="AA199" i="56"/>
  <c r="AA188" i="56"/>
  <c r="AA197" i="56"/>
  <c r="AA185" i="56"/>
  <c r="AA195" i="56"/>
  <c r="AA189" i="56"/>
  <c r="AA178" i="56"/>
  <c r="AA173" i="56"/>
  <c r="AA179" i="56"/>
  <c r="AA200" i="56"/>
  <c r="AA175" i="56"/>
  <c r="AA222" i="56"/>
  <c r="AA214" i="56"/>
  <c r="AA216" i="56"/>
  <c r="AA230" i="56"/>
  <c r="AA226" i="56"/>
  <c r="AA231" i="56"/>
  <c r="AA203" i="56"/>
  <c r="AA207" i="56"/>
  <c r="AA210" i="56"/>
  <c r="AA223" i="56"/>
  <c r="AA206" i="56"/>
  <c r="AA232" i="56"/>
  <c r="AA224" i="56"/>
  <c r="AA233" i="56"/>
  <c r="AA218" i="56"/>
  <c r="AA220" i="56"/>
  <c r="AA211" i="56"/>
  <c r="AA225" i="56"/>
  <c r="AA219" i="56"/>
  <c r="AA227" i="56"/>
  <c r="AA202" i="56"/>
  <c r="AA229" i="56"/>
  <c r="AA213" i="56"/>
  <c r="AA221" i="56"/>
  <c r="AA208" i="56"/>
  <c r="AA204" i="56"/>
  <c r="AA209" i="56"/>
  <c r="AA205" i="56"/>
  <c r="AA217" i="56"/>
  <c r="AA228" i="56"/>
  <c r="AA215" i="56"/>
  <c r="AA212" i="56"/>
  <c r="Y249" i="56"/>
  <c r="Z249" i="56"/>
  <c r="AA249" i="56"/>
  <c r="Y256" i="56"/>
  <c r="Z256" i="56"/>
  <c r="AA256" i="56"/>
  <c r="Y239" i="56"/>
  <c r="Z239" i="56"/>
  <c r="AA239" i="56"/>
  <c r="Y234" i="56"/>
  <c r="Z234" i="56"/>
  <c r="AA234" i="56"/>
  <c r="Y236" i="56"/>
  <c r="Z236" i="56"/>
  <c r="AA236" i="56"/>
  <c r="Y253" i="56"/>
  <c r="Z253" i="56"/>
  <c r="AA253" i="56"/>
  <c r="Y246" i="56"/>
  <c r="Z246" i="56"/>
  <c r="AA246" i="56"/>
  <c r="Y257" i="56"/>
  <c r="Z257" i="56"/>
  <c r="AA257" i="56"/>
  <c r="Y237" i="56"/>
  <c r="Z237" i="56"/>
  <c r="AA237" i="56"/>
  <c r="Y250" i="56"/>
  <c r="Z250" i="56"/>
  <c r="AA250" i="56"/>
  <c r="Y238" i="56"/>
  <c r="Z238" i="56"/>
  <c r="AA238" i="56"/>
  <c r="Y244" i="56"/>
  <c r="Z244" i="56"/>
  <c r="AA244" i="56"/>
  <c r="Y248" i="56"/>
  <c r="Z248" i="56"/>
  <c r="AA248" i="56"/>
  <c r="Y245" i="56"/>
  <c r="Z245" i="56"/>
  <c r="AA245" i="56"/>
  <c r="Y240" i="56"/>
  <c r="Z240" i="56"/>
  <c r="AA240" i="56"/>
  <c r="Y254" i="56"/>
  <c r="Z254" i="56"/>
  <c r="AA254" i="56"/>
  <c r="Y235" i="56"/>
  <c r="Z235" i="56"/>
  <c r="AA235" i="56"/>
  <c r="Y241" i="56"/>
  <c r="Z241" i="56"/>
  <c r="AA241" i="56"/>
  <c r="Y251" i="56"/>
  <c r="Z251" i="56"/>
  <c r="AA251" i="56"/>
  <c r="Y252" i="56"/>
  <c r="Z252" i="56"/>
  <c r="AA252" i="56"/>
  <c r="Y243" i="56"/>
  <c r="AA243" i="56"/>
  <c r="Y247" i="56"/>
  <c r="Z247" i="56"/>
  <c r="AA247" i="56"/>
  <c r="Y242" i="56"/>
  <c r="Z242" i="56"/>
  <c r="AA242" i="56"/>
  <c r="Y255" i="56"/>
  <c r="Z255" i="56"/>
  <c r="AA255" i="56"/>
  <c r="AA271" i="56"/>
  <c r="AA277" i="56"/>
  <c r="AA278" i="56"/>
  <c r="AA267" i="56"/>
  <c r="AA283" i="56"/>
  <c r="AA282" i="56"/>
  <c r="AA273" i="56"/>
  <c r="AA262" i="56"/>
  <c r="AA263" i="56"/>
  <c r="AA265" i="56"/>
  <c r="AA276" i="56"/>
  <c r="AA266" i="56"/>
  <c r="AA272" i="56"/>
  <c r="AA268" i="56"/>
  <c r="AA259" i="56"/>
  <c r="AA280" i="56"/>
  <c r="AA258" i="56"/>
  <c r="AA286" i="56"/>
  <c r="AA260" i="56"/>
  <c r="AA269" i="56"/>
  <c r="AA275" i="56"/>
  <c r="AA285" i="56"/>
  <c r="AA281" i="56"/>
  <c r="AA264" i="56"/>
  <c r="AA261" i="56"/>
  <c r="AA270" i="56"/>
  <c r="AA274" i="56"/>
  <c r="AA279" i="56"/>
  <c r="AA284" i="56"/>
  <c r="Y298" i="56"/>
  <c r="AA298" i="56"/>
  <c r="Y287" i="56"/>
  <c r="AA287" i="56"/>
  <c r="Y310" i="56"/>
  <c r="AA310" i="56"/>
  <c r="Y316" i="56"/>
  <c r="AA316" i="56"/>
  <c r="Y295" i="56"/>
  <c r="AA295" i="56"/>
  <c r="Y288" i="56"/>
  <c r="AA288" i="56"/>
  <c r="Y290" i="56"/>
  <c r="AA290" i="56"/>
  <c r="Y292" i="56"/>
  <c r="AA292" i="56"/>
  <c r="Y308" i="56"/>
  <c r="AA308" i="56"/>
  <c r="Y309" i="56"/>
  <c r="AA309" i="56"/>
  <c r="Y313" i="56"/>
  <c r="AA313" i="56"/>
  <c r="Y311" i="56"/>
  <c r="AA311" i="56"/>
  <c r="Y289" i="56"/>
  <c r="AA289" i="56"/>
  <c r="Y301" i="56"/>
  <c r="AA301" i="56"/>
  <c r="Y312" i="56"/>
  <c r="AA312" i="56"/>
  <c r="Y299" i="56"/>
  <c r="AA299" i="56"/>
  <c r="Y307" i="56"/>
  <c r="AA307" i="56"/>
  <c r="Y294" i="56"/>
  <c r="AA294" i="56"/>
  <c r="Y306" i="56"/>
  <c r="AA306" i="56"/>
  <c r="Y300" i="56"/>
  <c r="AA300" i="56"/>
  <c r="Y304" i="56"/>
  <c r="AA304" i="56"/>
  <c r="Y302" i="56"/>
  <c r="AA302" i="56"/>
  <c r="Y297" i="56"/>
  <c r="AA297" i="56"/>
  <c r="Y296" i="56"/>
  <c r="AA296" i="56"/>
  <c r="Y291" i="56"/>
  <c r="AA291" i="56"/>
  <c r="Y303" i="56"/>
  <c r="AA303" i="56"/>
  <c r="Y293" i="56"/>
  <c r="AA293" i="56"/>
  <c r="Y305" i="56"/>
  <c r="AA305" i="56"/>
  <c r="Y315" i="56"/>
  <c r="AA315" i="56"/>
  <c r="Y314" i="56"/>
  <c r="AA314" i="56"/>
  <c r="AA338" i="56"/>
  <c r="AA328" i="56"/>
  <c r="AA318" i="56"/>
  <c r="AA331" i="56"/>
  <c r="AA342" i="56"/>
  <c r="AA320" i="56"/>
  <c r="AA350" i="56"/>
  <c r="AA351" i="56"/>
  <c r="AA334" i="56"/>
  <c r="AA349" i="56"/>
  <c r="AA324" i="56"/>
  <c r="AA354" i="56"/>
  <c r="AA333" i="56"/>
  <c r="AA335" i="56"/>
  <c r="AA325" i="56"/>
  <c r="AA340" i="56"/>
  <c r="AA327" i="56"/>
  <c r="AA322" i="56"/>
  <c r="AA341" i="56"/>
  <c r="AA346" i="56"/>
  <c r="AA347" i="56"/>
  <c r="AA339" i="56"/>
  <c r="AA317" i="56"/>
  <c r="AA348" i="56"/>
  <c r="AA343" i="56"/>
  <c r="AA353" i="56"/>
  <c r="AA321" i="56"/>
  <c r="AA323" i="56"/>
  <c r="AA352" i="56"/>
  <c r="AA344" i="56"/>
  <c r="AA330" i="56"/>
  <c r="AA319" i="56"/>
  <c r="AA336" i="56"/>
  <c r="Y329" i="56"/>
  <c r="Z329" i="56"/>
  <c r="AA329" i="56"/>
  <c r="Y326" i="56"/>
  <c r="Z326" i="56"/>
  <c r="AA326" i="56"/>
  <c r="Y337" i="56"/>
  <c r="Z337" i="56"/>
  <c r="AA337" i="56"/>
  <c r="Y332" i="56"/>
  <c r="Z332" i="56"/>
  <c r="AA332" i="56"/>
  <c r="Y345" i="56"/>
  <c r="Z345" i="56"/>
  <c r="AA345" i="56"/>
  <c r="AA384" i="56"/>
  <c r="AA376" i="56"/>
  <c r="AA380" i="56"/>
  <c r="AA378" i="56"/>
  <c r="AA364" i="56"/>
  <c r="AA368" i="56"/>
  <c r="AA370" i="56"/>
  <c r="AA365" i="56"/>
  <c r="AA377" i="56"/>
  <c r="AA375" i="56"/>
  <c r="AA367" i="56"/>
  <c r="AA357" i="56"/>
  <c r="AA383" i="56"/>
  <c r="AA381" i="56"/>
  <c r="AA373" i="56"/>
  <c r="AA374" i="56"/>
  <c r="AA363" i="56"/>
  <c r="AA362" i="56"/>
  <c r="AA382" i="56"/>
  <c r="AA355" i="56"/>
  <c r="AA361" i="56"/>
  <c r="AA372" i="56"/>
  <c r="AA356" i="56"/>
  <c r="AA366" i="56"/>
  <c r="AA371" i="56"/>
  <c r="AA358" i="56"/>
  <c r="AA360" i="56"/>
  <c r="AA369" i="56"/>
  <c r="AA359" i="56"/>
  <c r="AA379" i="56"/>
  <c r="Y405" i="56"/>
  <c r="Z405" i="56"/>
  <c r="AA405" i="56"/>
  <c r="Y414" i="56"/>
  <c r="Z414" i="56"/>
  <c r="AA414" i="56"/>
  <c r="Y416" i="56"/>
  <c r="Z416" i="56"/>
  <c r="AA416" i="56"/>
  <c r="Y426" i="56"/>
  <c r="Z426" i="56"/>
  <c r="AA426" i="56"/>
  <c r="Y413" i="56"/>
  <c r="Z413" i="56"/>
  <c r="AA413" i="56"/>
  <c r="Y412" i="56"/>
  <c r="Z412" i="56"/>
  <c r="AA412" i="56"/>
  <c r="Y409" i="56"/>
  <c r="Z409" i="56"/>
  <c r="AA409" i="56"/>
  <c r="Y417" i="56"/>
  <c r="Z417" i="56"/>
  <c r="AA417" i="56"/>
  <c r="Y407" i="56"/>
  <c r="Z407" i="56"/>
  <c r="AA407" i="56"/>
  <c r="Y430" i="56"/>
  <c r="Z430" i="56"/>
  <c r="AA430" i="56"/>
  <c r="Y394" i="56"/>
  <c r="Z394" i="56"/>
  <c r="AA394" i="56"/>
  <c r="Y418" i="56"/>
  <c r="Z418" i="56"/>
  <c r="AA418" i="56"/>
  <c r="Y391" i="56"/>
  <c r="Z391" i="56"/>
  <c r="AA391" i="56"/>
  <c r="Y423" i="56"/>
  <c r="Z423" i="56"/>
  <c r="AA423" i="56"/>
  <c r="Y403" i="56"/>
  <c r="Z403" i="56"/>
  <c r="AA403" i="56"/>
  <c r="Y386" i="56"/>
  <c r="Z386" i="56"/>
  <c r="AA386" i="56"/>
  <c r="Y401" i="56"/>
  <c r="Z401" i="56"/>
  <c r="AA401" i="56"/>
  <c r="AA419" i="56"/>
  <c r="AA404" i="56"/>
  <c r="AA387" i="56"/>
  <c r="AA431" i="56"/>
  <c r="AA397" i="56"/>
  <c r="AA428" i="56"/>
  <c r="AA421" i="56"/>
  <c r="AA402" i="56"/>
  <c r="AA415" i="56"/>
  <c r="AA427" i="56"/>
  <c r="AA400" i="56"/>
  <c r="AA395" i="56"/>
  <c r="AA425" i="56"/>
  <c r="AA396" i="56"/>
  <c r="AA422" i="56"/>
  <c r="AA390" i="56"/>
  <c r="AA399" i="56"/>
  <c r="AA392" i="56"/>
  <c r="AA410" i="56"/>
  <c r="AA429" i="56"/>
  <c r="AA389" i="56"/>
  <c r="AA388" i="56"/>
  <c r="AA408" i="56"/>
  <c r="AA406" i="56"/>
  <c r="AA393" i="56"/>
  <c r="AA398" i="56"/>
  <c r="AA420" i="56"/>
  <c r="AA424" i="56"/>
  <c r="AA385" i="56"/>
  <c r="AA432" i="56"/>
  <c r="AA411" i="56"/>
  <c r="AA440" i="56"/>
  <c r="AA451" i="56"/>
  <c r="AA441" i="56"/>
  <c r="AA446" i="56"/>
  <c r="AA454" i="56"/>
  <c r="AA438" i="56"/>
  <c r="AA443" i="56"/>
  <c r="AA452" i="56"/>
  <c r="AA450" i="56"/>
  <c r="AA433" i="56"/>
  <c r="AA449" i="56"/>
  <c r="AA442" i="56"/>
  <c r="AA447" i="56"/>
  <c r="AA453" i="56"/>
  <c r="AA436" i="56"/>
  <c r="AA448" i="56"/>
  <c r="AA434" i="56"/>
  <c r="AA435" i="56"/>
  <c r="AA444" i="56"/>
  <c r="AA437" i="56"/>
  <c r="AA445" i="56"/>
  <c r="AA439" i="56"/>
  <c r="AA475" i="56"/>
  <c r="AA462" i="56"/>
  <c r="AA483" i="56"/>
  <c r="AA468" i="56"/>
  <c r="AA464" i="56"/>
  <c r="AA457" i="56"/>
  <c r="AA489" i="56"/>
  <c r="AA495" i="56"/>
  <c r="AA471" i="56"/>
  <c r="AA455" i="56"/>
  <c r="AA481" i="56"/>
  <c r="AA463" i="56"/>
  <c r="AA466" i="56"/>
  <c r="AA490" i="56"/>
  <c r="AA465" i="56"/>
  <c r="AA458" i="56"/>
  <c r="AA485" i="56"/>
  <c r="AA467" i="56"/>
  <c r="AA487" i="56"/>
  <c r="AA474" i="56"/>
  <c r="AA472" i="56"/>
  <c r="AA492" i="56"/>
  <c r="AA460" i="56"/>
  <c r="AA494" i="56"/>
  <c r="AA477" i="56"/>
  <c r="AA470" i="56"/>
  <c r="AA456" i="56"/>
  <c r="AA461" i="56"/>
  <c r="AA476" i="56"/>
  <c r="AA478" i="56"/>
  <c r="AA488" i="56"/>
  <c r="AA497" i="56"/>
  <c r="AA469" i="56"/>
  <c r="AA473" i="56"/>
  <c r="Y496" i="56"/>
  <c r="Z496" i="56"/>
  <c r="AA496" i="56"/>
  <c r="Y493" i="56"/>
  <c r="Z493" i="56"/>
  <c r="AA493" i="56"/>
  <c r="Y484" i="56"/>
  <c r="Z484" i="56"/>
  <c r="AA484" i="56"/>
  <c r="Y479" i="56"/>
  <c r="Z479" i="56"/>
  <c r="AA479" i="56"/>
  <c r="Y482" i="56"/>
  <c r="Z482" i="56"/>
  <c r="AA482" i="56"/>
  <c r="Y459" i="56"/>
  <c r="Z459" i="56"/>
  <c r="AA459" i="56"/>
  <c r="Y480" i="56"/>
  <c r="Z480" i="56"/>
  <c r="AA480" i="56"/>
  <c r="Y486" i="56"/>
  <c r="Z486" i="56"/>
  <c r="AA486" i="56"/>
  <c r="Y491" i="56"/>
  <c r="Z491" i="56"/>
  <c r="AA491" i="56"/>
  <c r="AA536" i="56"/>
  <c r="AA523" i="56"/>
  <c r="AA528" i="56"/>
  <c r="AA507" i="56"/>
  <c r="AA514" i="56"/>
  <c r="AA532" i="56"/>
  <c r="AA524" i="56"/>
  <c r="AA518" i="56"/>
  <c r="AA503" i="56"/>
  <c r="AA505" i="56"/>
  <c r="AA529" i="56"/>
  <c r="AA534" i="56"/>
  <c r="AA506" i="56"/>
  <c r="AA509" i="56"/>
  <c r="AA498" i="56"/>
  <c r="AA521" i="56"/>
  <c r="AA504" i="56"/>
  <c r="AA519" i="56"/>
  <c r="AA526" i="56"/>
  <c r="AA499" i="56"/>
  <c r="AA517" i="56"/>
  <c r="AA508" i="56"/>
  <c r="AA522" i="56"/>
  <c r="AA537" i="56"/>
  <c r="AA510" i="56"/>
  <c r="AA520" i="56"/>
  <c r="AA527" i="56"/>
  <c r="AA531" i="56"/>
  <c r="AA515" i="56"/>
  <c r="AA502" i="56"/>
  <c r="AA530" i="56"/>
  <c r="AA513" i="56"/>
  <c r="AA533" i="56"/>
  <c r="AA516" i="56"/>
  <c r="AA511" i="56"/>
  <c r="AA500" i="56"/>
  <c r="AA525" i="56"/>
  <c r="AA535" i="56"/>
  <c r="AA501" i="56"/>
  <c r="AA512" i="56"/>
  <c r="AA546" i="56"/>
  <c r="AA538" i="56"/>
  <c r="AA552" i="56"/>
  <c r="AA541" i="56"/>
  <c r="AA543" i="56"/>
  <c r="AA553" i="56"/>
  <c r="AA549" i="56"/>
  <c r="AA558" i="56"/>
  <c r="AA540" i="56"/>
  <c r="AA557" i="56"/>
  <c r="AA548" i="56"/>
  <c r="Y556" i="56"/>
  <c r="AA556" i="56"/>
  <c r="AA555" i="56"/>
  <c r="AA551" i="56"/>
  <c r="AA550" i="56"/>
  <c r="AA542" i="56"/>
  <c r="AA539" i="56"/>
  <c r="AA547" i="56"/>
  <c r="AA544" i="56"/>
  <c r="AA554" i="56"/>
  <c r="AA545" i="56"/>
  <c r="AA585" i="56"/>
  <c r="AA567" i="56"/>
  <c r="AA575" i="56"/>
  <c r="AA566" i="56"/>
  <c r="AA568" i="56"/>
  <c r="AA584" i="56"/>
  <c r="AA586" i="56"/>
  <c r="AA565" i="56"/>
  <c r="AA579" i="56"/>
  <c r="AA576" i="56"/>
  <c r="AA559" i="56"/>
  <c r="AA563" i="56"/>
  <c r="AA569" i="56"/>
  <c r="AA574" i="56"/>
  <c r="AA588" i="56"/>
  <c r="AA580" i="56"/>
  <c r="AA572" i="56"/>
  <c r="AA573" i="56"/>
  <c r="AA583" i="56"/>
  <c r="AA571" i="56"/>
  <c r="AA564" i="56"/>
  <c r="AA561" i="56"/>
  <c r="AA562" i="56"/>
  <c r="AA570" i="56"/>
  <c r="AA560" i="56"/>
  <c r="AA589" i="56"/>
  <c r="AA587" i="56"/>
  <c r="AA578" i="56"/>
  <c r="AA582" i="56"/>
  <c r="AA577" i="56"/>
  <c r="AA581" i="56"/>
  <c r="Y600" i="56"/>
  <c r="Z600" i="56"/>
  <c r="AA600" i="56"/>
  <c r="Y601" i="56"/>
  <c r="Z601" i="56"/>
  <c r="AA601" i="56"/>
  <c r="Y595" i="56"/>
  <c r="Z595" i="56"/>
  <c r="AA595" i="56"/>
  <c r="Y603" i="56"/>
  <c r="Z603" i="56"/>
  <c r="AA603" i="56"/>
  <c r="Y608" i="56"/>
  <c r="Z608" i="56"/>
  <c r="AA608" i="56"/>
  <c r="Y598" i="56"/>
  <c r="Z598" i="56"/>
  <c r="AA598" i="56"/>
  <c r="Y607" i="56"/>
  <c r="Z607" i="56"/>
  <c r="AA607" i="56"/>
  <c r="Y612" i="56"/>
  <c r="Z612" i="56"/>
  <c r="AA612" i="56"/>
  <c r="Y605" i="56"/>
  <c r="Z605" i="56"/>
  <c r="AA605" i="56"/>
  <c r="Y592" i="56"/>
  <c r="Z592" i="56"/>
  <c r="AA592" i="56"/>
  <c r="Y614" i="56"/>
  <c r="Z614" i="56"/>
  <c r="AA614" i="56"/>
  <c r="Y613" i="56"/>
  <c r="Z613" i="56"/>
  <c r="AA613" i="56"/>
  <c r="Y611" i="56"/>
  <c r="Z611" i="56"/>
  <c r="AA611" i="56"/>
  <c r="Y596" i="56"/>
  <c r="Z596" i="56"/>
  <c r="AA596" i="56"/>
  <c r="Y594" i="56"/>
  <c r="Z594" i="56"/>
  <c r="AA594" i="56"/>
  <c r="Y590" i="56"/>
  <c r="Z590" i="56"/>
  <c r="AA590" i="56"/>
  <c r="Y606" i="56"/>
  <c r="Z606" i="56"/>
  <c r="AA606" i="56"/>
  <c r="Y602" i="56"/>
  <c r="Z602" i="56"/>
  <c r="AA602" i="56"/>
  <c r="Y610" i="56"/>
  <c r="Z610" i="56"/>
  <c r="AA610" i="56"/>
  <c r="Y599" i="56"/>
  <c r="Z599" i="56"/>
  <c r="AA599" i="56"/>
  <c r="Y616" i="56"/>
  <c r="Z616" i="56"/>
  <c r="AA616" i="56"/>
  <c r="Y593" i="56"/>
  <c r="Z593" i="56"/>
  <c r="AA593" i="56"/>
  <c r="Y591" i="56"/>
  <c r="Z591" i="56"/>
  <c r="AA591" i="56"/>
  <c r="Y604" i="56"/>
  <c r="Z604" i="56"/>
  <c r="AA604" i="56"/>
  <c r="Y597" i="56"/>
  <c r="Z597" i="56"/>
  <c r="AA597" i="56"/>
  <c r="Y615" i="56"/>
  <c r="Z615" i="56"/>
  <c r="AA615" i="56"/>
  <c r="Y609" i="56"/>
  <c r="Z609" i="56"/>
  <c r="AA609" i="56"/>
  <c r="AA636" i="56"/>
  <c r="AA619" i="56"/>
  <c r="AA634" i="56"/>
  <c r="AA631" i="56"/>
  <c r="AA638" i="56"/>
  <c r="AA617" i="56"/>
  <c r="AA628" i="56"/>
  <c r="AA620" i="56"/>
  <c r="AA625" i="56"/>
  <c r="AA641" i="56"/>
  <c r="AA648" i="56"/>
  <c r="AA639" i="56"/>
  <c r="AA630" i="56"/>
  <c r="AA627" i="56"/>
  <c r="AA650" i="56"/>
  <c r="AA635" i="56"/>
  <c r="AA643" i="56"/>
  <c r="AA633" i="56"/>
  <c r="AA647" i="56"/>
  <c r="AA637" i="56"/>
  <c r="AA618" i="56"/>
  <c r="AA622" i="56"/>
  <c r="AA626" i="56"/>
  <c r="AA642" i="56"/>
  <c r="AA649" i="56"/>
  <c r="AA624" i="56"/>
  <c r="AA632" i="56"/>
  <c r="AA644" i="56"/>
  <c r="AA640" i="56"/>
  <c r="AA645" i="56"/>
  <c r="AA623" i="56"/>
  <c r="AA621" i="56"/>
  <c r="AA629" i="56"/>
  <c r="AA646" i="56"/>
  <c r="Y653" i="56"/>
  <c r="AA653" i="56"/>
  <c r="Y672" i="56"/>
  <c r="AA672" i="56"/>
  <c r="Y667" i="56"/>
  <c r="AA667" i="56"/>
  <c r="Y663" i="56"/>
  <c r="AA663" i="56"/>
  <c r="Y657" i="56"/>
  <c r="AA657" i="56"/>
  <c r="Y656" i="56"/>
  <c r="AA656" i="56"/>
  <c r="Y677" i="56"/>
  <c r="AA677" i="56"/>
  <c r="Y651" i="56"/>
  <c r="AA651" i="56"/>
  <c r="Y654" i="56"/>
  <c r="AA654" i="56"/>
  <c r="Y674" i="56"/>
  <c r="AA674" i="56"/>
  <c r="Y661" i="56"/>
  <c r="AA661" i="56"/>
  <c r="Y660" i="56"/>
  <c r="AA660" i="56"/>
  <c r="Y665" i="56"/>
  <c r="AA665" i="56"/>
  <c r="Y669" i="56"/>
  <c r="AA669" i="56"/>
  <c r="Y671" i="56"/>
  <c r="AA671" i="56"/>
  <c r="Y666" i="56"/>
  <c r="AA666" i="56"/>
  <c r="Y673" i="56"/>
  <c r="AA673" i="56"/>
  <c r="Y658" i="56"/>
  <c r="AA658" i="56"/>
  <c r="Y655" i="56"/>
  <c r="AA655" i="56"/>
  <c r="Y675" i="56"/>
  <c r="AA675" i="56"/>
  <c r="Y679" i="56"/>
  <c r="AA679" i="56"/>
  <c r="Y670" i="56"/>
  <c r="AA670" i="56"/>
  <c r="Y678" i="56"/>
  <c r="AA678" i="56"/>
  <c r="Y676" i="56"/>
  <c r="AA676" i="56"/>
  <c r="Y680" i="56"/>
  <c r="AA680" i="56"/>
  <c r="Y659" i="56"/>
  <c r="AA659" i="56"/>
  <c r="Y664" i="56"/>
  <c r="AA664" i="56"/>
  <c r="Y668" i="56"/>
  <c r="AA668" i="56"/>
  <c r="Y652" i="56"/>
  <c r="AA652" i="56"/>
  <c r="Y662" i="56"/>
  <c r="AA662" i="56"/>
  <c r="AA706" i="56"/>
  <c r="AA702" i="56"/>
  <c r="AA704" i="56"/>
  <c r="AA715" i="56"/>
  <c r="AA697" i="56"/>
  <c r="AA712" i="56"/>
  <c r="AA684" i="56"/>
  <c r="AA699" i="56"/>
  <c r="AA713" i="56"/>
  <c r="AA691" i="56"/>
  <c r="AA714" i="56"/>
  <c r="AA707" i="56"/>
  <c r="AA716" i="56"/>
  <c r="AA694" i="56"/>
  <c r="AA686" i="56"/>
  <c r="AA682" i="56"/>
  <c r="AA681" i="56"/>
  <c r="AA696" i="56"/>
  <c r="AA689" i="56"/>
  <c r="AA683" i="56"/>
  <c r="AA710" i="56"/>
  <c r="AA685" i="56"/>
  <c r="AA703" i="56"/>
  <c r="AA688" i="56"/>
  <c r="AA690" i="56"/>
  <c r="AA695" i="56"/>
  <c r="AA687" i="56"/>
  <c r="AA692" i="56"/>
  <c r="AA698" i="56"/>
  <c r="AA708" i="56"/>
  <c r="AA709" i="56"/>
  <c r="AA700" i="56"/>
  <c r="AA693" i="56"/>
  <c r="AA701" i="56"/>
  <c r="AA711" i="56"/>
  <c r="AA705" i="56"/>
  <c r="AA733" i="56"/>
  <c r="AA728" i="56"/>
  <c r="AA741" i="56"/>
  <c r="AA734" i="56"/>
  <c r="AA738" i="56"/>
  <c r="AA732" i="56"/>
  <c r="AA727" i="56"/>
  <c r="AA724" i="56"/>
  <c r="AA731" i="56"/>
  <c r="AA720" i="56"/>
  <c r="AA737" i="56"/>
  <c r="AA742" i="56"/>
  <c r="AA743" i="56"/>
  <c r="AA746" i="56"/>
  <c r="AA719" i="56"/>
  <c r="AA736" i="56"/>
  <c r="AA730" i="56"/>
  <c r="AA735" i="56"/>
  <c r="AA729" i="56"/>
  <c r="AA739" i="56"/>
  <c r="AA717" i="56"/>
  <c r="AA744" i="56"/>
  <c r="AA745" i="56"/>
  <c r="AA721" i="56"/>
  <c r="AA723" i="56"/>
  <c r="AA722" i="56"/>
  <c r="AA718" i="56"/>
  <c r="AA740" i="56"/>
  <c r="AA725" i="56"/>
  <c r="AA726" i="56"/>
  <c r="Y753" i="56"/>
  <c r="AA753" i="56"/>
  <c r="Y760" i="56"/>
  <c r="AA760" i="56"/>
  <c r="Y776" i="56"/>
  <c r="AA776" i="56"/>
  <c r="Y777" i="56"/>
  <c r="AA777" i="56"/>
  <c r="Y757" i="56"/>
  <c r="AA757" i="56"/>
  <c r="Y765" i="56"/>
  <c r="AA765" i="56"/>
  <c r="Y762" i="56"/>
  <c r="AA762" i="56"/>
  <c r="Y761" i="56"/>
  <c r="AA761" i="56"/>
  <c r="Y770" i="56"/>
  <c r="AA770" i="56"/>
  <c r="Y755" i="56"/>
  <c r="AA755" i="56"/>
  <c r="Y772" i="56"/>
  <c r="AA772" i="56"/>
  <c r="Y749" i="56"/>
  <c r="AA749" i="56"/>
  <c r="Y763" i="56"/>
  <c r="AA763" i="56"/>
  <c r="Y771" i="56"/>
  <c r="AA771" i="56"/>
  <c r="Y759" i="56"/>
  <c r="AA759" i="56"/>
  <c r="Y758" i="56"/>
  <c r="AA758" i="56"/>
  <c r="Y747" i="56"/>
  <c r="AA747" i="56"/>
  <c r="Y773" i="56"/>
  <c r="AA773" i="56"/>
  <c r="Y766" i="56"/>
  <c r="AA766" i="56"/>
  <c r="Y756" i="56"/>
  <c r="AA756" i="56"/>
  <c r="Y750" i="56"/>
  <c r="AA750" i="56"/>
  <c r="Y769" i="56"/>
  <c r="AA769" i="56"/>
  <c r="Y754" i="56"/>
  <c r="AA754" i="56"/>
  <c r="Y768" i="56"/>
  <c r="AA768" i="56"/>
  <c r="Y774" i="56"/>
  <c r="AA774" i="56"/>
  <c r="Y767" i="56"/>
  <c r="AA767" i="56"/>
  <c r="Y748" i="56"/>
  <c r="AA748" i="56"/>
  <c r="Y764" i="56"/>
  <c r="AA764" i="56"/>
  <c r="Y751" i="56"/>
  <c r="AA751" i="56"/>
  <c r="Y752" i="56"/>
  <c r="AA752" i="56"/>
  <c r="Y775" i="56"/>
  <c r="AA775" i="56"/>
  <c r="Y802" i="56"/>
  <c r="Z802" i="56"/>
  <c r="AA802" i="56"/>
  <c r="AA796" i="56"/>
  <c r="AA781" i="56"/>
  <c r="AA798" i="56"/>
  <c r="AA787" i="56"/>
  <c r="AA795" i="56"/>
  <c r="AA807" i="56"/>
  <c r="AA784" i="56"/>
  <c r="AA786" i="56"/>
  <c r="AA783" i="56"/>
  <c r="AA799" i="56"/>
  <c r="AA797" i="56"/>
  <c r="AA794" i="56"/>
  <c r="AA803" i="56"/>
  <c r="AA782" i="56"/>
  <c r="AA778" i="56"/>
  <c r="AA800" i="56"/>
  <c r="AA789" i="56"/>
  <c r="AA805" i="56"/>
  <c r="AA808" i="56"/>
  <c r="AA804" i="56"/>
  <c r="AA806" i="56"/>
  <c r="AA788" i="56"/>
  <c r="AA779" i="56"/>
  <c r="AA785" i="56"/>
  <c r="AA792" i="56"/>
  <c r="AA780" i="56"/>
  <c r="AA801" i="56"/>
  <c r="AA791" i="56"/>
  <c r="AA790" i="56"/>
  <c r="AA793" i="56"/>
  <c r="Y835" i="56"/>
  <c r="Z835" i="56"/>
  <c r="AA835" i="56"/>
  <c r="Y812" i="56"/>
  <c r="AA812" i="56"/>
  <c r="Y817" i="56"/>
  <c r="AA817" i="56"/>
  <c r="Y834" i="56"/>
  <c r="AA834" i="56"/>
  <c r="Y826" i="56"/>
  <c r="AA826" i="56"/>
  <c r="Y825" i="56"/>
  <c r="AA825" i="56"/>
  <c r="Y813" i="56"/>
  <c r="AA813" i="56"/>
  <c r="Y810" i="56"/>
  <c r="AA810" i="56"/>
  <c r="Y822" i="56"/>
  <c r="AA822" i="56"/>
  <c r="Y830" i="56"/>
  <c r="AA830" i="56"/>
  <c r="Y814" i="56"/>
  <c r="AA814" i="56"/>
  <c r="Y816" i="56"/>
  <c r="AA816" i="56"/>
  <c r="Y823" i="56"/>
  <c r="AA823" i="56"/>
  <c r="Y833" i="56"/>
  <c r="AA833" i="56"/>
  <c r="Y831" i="56"/>
  <c r="AA831" i="56"/>
  <c r="Y820" i="56"/>
  <c r="AA820" i="56"/>
  <c r="Y809" i="56"/>
  <c r="AA809" i="56"/>
  <c r="Y832" i="56"/>
  <c r="AA832" i="56"/>
  <c r="Y811" i="56"/>
  <c r="AA811" i="56"/>
  <c r="Y828" i="56"/>
  <c r="AA828" i="56"/>
  <c r="Y818" i="56"/>
  <c r="AA818" i="56"/>
  <c r="Y829" i="56"/>
  <c r="AA829" i="56"/>
  <c r="Y819" i="56"/>
  <c r="AA819" i="56"/>
  <c r="Y824" i="56"/>
  <c r="AA824" i="56"/>
  <c r="Y815" i="56"/>
  <c r="AA815" i="56"/>
  <c r="Y827" i="56"/>
  <c r="AA827" i="56"/>
  <c r="Y821" i="56"/>
  <c r="AA821" i="56"/>
  <c r="AA850" i="56"/>
  <c r="AA853" i="56"/>
  <c r="AA859" i="56"/>
  <c r="AA861" i="56"/>
  <c r="AA855" i="56"/>
  <c r="AA839" i="56"/>
  <c r="AA837" i="56"/>
  <c r="AA841" i="56"/>
  <c r="AA845" i="56"/>
  <c r="AA862" i="56"/>
  <c r="AA856" i="56"/>
  <c r="AA852" i="56"/>
  <c r="AA854" i="56"/>
  <c r="AA847" i="56"/>
  <c r="AA836" i="56"/>
  <c r="AA840" i="56"/>
  <c r="AA846" i="56"/>
  <c r="AA849" i="56"/>
  <c r="AA863" i="56"/>
  <c r="AA851" i="56"/>
  <c r="AA857" i="56"/>
  <c r="AA838" i="56"/>
  <c r="AA870" i="56"/>
  <c r="AA864" i="56"/>
  <c r="AA866" i="56"/>
  <c r="AA860" i="56"/>
  <c r="AA869" i="56"/>
  <c r="AA867" i="56"/>
  <c r="AA848" i="56"/>
  <c r="AA842" i="56"/>
  <c r="Y858" i="56"/>
  <c r="Z858" i="56"/>
  <c r="AA858" i="56"/>
  <c r="Y865" i="56"/>
  <c r="Z865" i="56"/>
  <c r="AA865" i="56"/>
  <c r="Y844" i="56"/>
  <c r="Z844" i="56"/>
  <c r="AA844" i="56"/>
  <c r="Y868" i="56"/>
  <c r="Z868" i="56"/>
  <c r="AA868" i="56"/>
  <c r="Y843" i="56"/>
  <c r="Z843" i="56"/>
  <c r="AA843" i="56"/>
  <c r="AA8" i="56"/>
  <c r="Z8" i="56"/>
  <c r="Y8" i="56"/>
  <c r="AJ2" i="75" l="1"/>
  <c r="N69" i="76" l="1" a="1"/>
  <c r="N69" i="76" s="1"/>
  <c r="N7" i="76" l="1" a="1"/>
  <c r="N7" i="76" s="1"/>
  <c r="N58" i="76" a="1"/>
  <c r="N58" i="76" s="1"/>
  <c r="N59" i="76" a="1"/>
  <c r="N59" i="76" s="1"/>
  <c r="N60" i="76" a="1"/>
  <c r="N60" i="76" s="1"/>
  <c r="N61" i="76" a="1"/>
  <c r="N61" i="76" s="1"/>
  <c r="N62" i="76" a="1"/>
  <c r="N62" i="76" s="1"/>
  <c r="N63" i="76" a="1"/>
  <c r="N63" i="76" s="1"/>
  <c r="N64" i="76" a="1"/>
  <c r="N64" i="76" s="1"/>
  <c r="N65" i="76" a="1"/>
  <c r="N65" i="76" s="1"/>
  <c r="N66" i="76" a="1"/>
  <c r="N66" i="76" s="1"/>
  <c r="N67" i="76" a="1"/>
  <c r="N67" i="76" s="1"/>
  <c r="N68" i="76" a="1"/>
  <c r="N68" i="76" s="1"/>
  <c r="N70" i="76" a="1"/>
  <c r="N70" i="76" s="1"/>
  <c r="N71" i="76" a="1"/>
  <c r="N71" i="76" s="1"/>
  <c r="N8" i="76" a="1"/>
  <c r="N8" i="76" s="1"/>
  <c r="N9" i="76" a="1"/>
  <c r="N9" i="76" s="1"/>
  <c r="N10" i="76" a="1"/>
  <c r="N10" i="76" s="1"/>
  <c r="N11" i="76" a="1"/>
  <c r="N11" i="76" s="1"/>
  <c r="N12" i="76" a="1"/>
  <c r="N12" i="76" s="1"/>
  <c r="N13" i="76" a="1"/>
  <c r="N13" i="76" s="1"/>
  <c r="N14" i="76" a="1"/>
  <c r="N14" i="76" s="1"/>
  <c r="N15" i="76" a="1"/>
  <c r="N15" i="76" s="1"/>
  <c r="N16" i="76" a="1"/>
  <c r="N16" i="76" s="1"/>
  <c r="N17" i="76" a="1"/>
  <c r="N17" i="76" s="1"/>
  <c r="N18" i="76" a="1"/>
  <c r="N18" i="76" s="1"/>
  <c r="N19" i="76" a="1"/>
  <c r="N19" i="76" s="1"/>
  <c r="N20" i="76" a="1"/>
  <c r="N20" i="76" s="1"/>
  <c r="N21" i="76" a="1"/>
  <c r="N21" i="76" s="1"/>
  <c r="N22" i="76" a="1"/>
  <c r="N22" i="76" s="1"/>
  <c r="N23" i="76" a="1"/>
  <c r="N23" i="76" s="1"/>
  <c r="N24" i="76" a="1"/>
  <c r="N24" i="76" s="1"/>
  <c r="N25" i="76" a="1"/>
  <c r="N25" i="76" s="1"/>
  <c r="N26" i="76" a="1"/>
  <c r="N26" i="76" s="1"/>
  <c r="N27" i="76" a="1"/>
  <c r="N27" i="76" s="1"/>
  <c r="N28" i="76" a="1"/>
  <c r="N28" i="76" s="1"/>
  <c r="N29" i="76" a="1"/>
  <c r="N29" i="76" s="1"/>
  <c r="N30" i="76" a="1"/>
  <c r="N30" i="76" s="1"/>
  <c r="N31" i="76" a="1"/>
  <c r="N31" i="76" s="1"/>
  <c r="N32" i="76" a="1"/>
  <c r="N32" i="76" s="1"/>
  <c r="N33" i="76" a="1"/>
  <c r="N33" i="76" s="1"/>
  <c r="N34" i="76" a="1"/>
  <c r="N34" i="76" s="1"/>
  <c r="N35" i="76" a="1"/>
  <c r="N35" i="76" s="1"/>
  <c r="N36" i="76" a="1"/>
  <c r="N36" i="76" s="1"/>
  <c r="N37" i="76" a="1"/>
  <c r="N37" i="76" s="1"/>
  <c r="N38" i="76" a="1"/>
  <c r="N38" i="76" s="1"/>
  <c r="N39" i="76" a="1"/>
  <c r="N39" i="76" s="1"/>
  <c r="N40" i="76" a="1"/>
  <c r="N40" i="76" s="1"/>
  <c r="N41" i="76" a="1"/>
  <c r="N41" i="76" s="1"/>
  <c r="N42" i="76" a="1"/>
  <c r="N42" i="76" s="1"/>
  <c r="N43" i="76" a="1"/>
  <c r="N43" i="76" s="1"/>
  <c r="N44" i="76" a="1"/>
  <c r="N44" i="76" s="1"/>
  <c r="N45" i="76" a="1"/>
  <c r="N45" i="76" s="1"/>
  <c r="N46" i="76" a="1"/>
  <c r="N46" i="76" s="1"/>
  <c r="N47" i="76" a="1"/>
  <c r="N47" i="76" s="1"/>
  <c r="N48" i="76" a="1"/>
  <c r="N48" i="76" s="1"/>
  <c r="N49" i="76" a="1"/>
  <c r="N49" i="76" s="1"/>
  <c r="N50" i="76" a="1"/>
  <c r="N50" i="76" s="1"/>
  <c r="N51" i="76" a="1"/>
  <c r="N51" i="76" s="1"/>
  <c r="N52" i="76" a="1"/>
  <c r="N52" i="76" s="1"/>
  <c r="N53" i="76" a="1"/>
  <c r="N53" i="76" s="1"/>
  <c r="N54" i="76" a="1"/>
  <c r="N54" i="76" s="1"/>
  <c r="N55" i="76" a="1"/>
  <c r="N55" i="76" s="1"/>
  <c r="N56" i="76" a="1"/>
  <c r="N56" i="76" s="1"/>
  <c r="N57" i="76" a="1"/>
  <c r="N57" i="76" s="1"/>
  <c r="AG71" i="76"/>
  <c r="AF71" i="76"/>
  <c r="AA71" i="76"/>
  <c r="Z71" i="76"/>
  <c r="AH71" i="76" s="1"/>
  <c r="P71" i="76"/>
  <c r="AG70" i="76"/>
  <c r="AF70" i="76"/>
  <c r="AA70" i="76"/>
  <c r="Z70" i="76"/>
  <c r="AH70" i="76" s="1"/>
  <c r="P70" i="76"/>
  <c r="AG69" i="76"/>
  <c r="AF69" i="76"/>
  <c r="AA69" i="76"/>
  <c r="Z69" i="76"/>
  <c r="AH69" i="76" s="1"/>
  <c r="P69" i="76"/>
  <c r="AG68" i="76"/>
  <c r="AF68" i="76"/>
  <c r="AA68" i="76"/>
  <c r="Z68" i="76"/>
  <c r="AH68" i="76" s="1"/>
  <c r="P68" i="76"/>
  <c r="AG67" i="76"/>
  <c r="AF67" i="76"/>
  <c r="AA67" i="76"/>
  <c r="Z67" i="76"/>
  <c r="AH67" i="76" s="1"/>
  <c r="P67" i="76"/>
  <c r="AG66" i="76"/>
  <c r="AF66" i="76"/>
  <c r="AA66" i="76"/>
  <c r="Z66" i="76"/>
  <c r="AH66" i="76" s="1"/>
  <c r="P66" i="76"/>
  <c r="AA65" i="76"/>
  <c r="AI65" i="76" s="1"/>
  <c r="Z65" i="76"/>
  <c r="AH65" i="76" s="1"/>
  <c r="P65" i="76"/>
  <c r="AG64" i="76"/>
  <c r="AF64" i="76"/>
  <c r="AA64" i="76"/>
  <c r="Z64" i="76"/>
  <c r="AH64" i="76" s="1"/>
  <c r="P64" i="76"/>
  <c r="AA63" i="76"/>
  <c r="AI63" i="76" s="1"/>
  <c r="Z63" i="76"/>
  <c r="AH63" i="76" s="1"/>
  <c r="P63" i="76"/>
  <c r="AA62" i="76"/>
  <c r="AI62" i="76" s="1"/>
  <c r="Z62" i="76"/>
  <c r="AH62" i="76" s="1"/>
  <c r="P62" i="76"/>
  <c r="AG61" i="76"/>
  <c r="AF61" i="76"/>
  <c r="AA61" i="76"/>
  <c r="Z61" i="76"/>
  <c r="AH61" i="76" s="1"/>
  <c r="P61" i="76"/>
  <c r="AG60" i="76"/>
  <c r="AF60" i="76"/>
  <c r="AA60" i="76"/>
  <c r="Z60" i="76"/>
  <c r="AH60" i="76" s="1"/>
  <c r="P60" i="76"/>
  <c r="AG59" i="76"/>
  <c r="AF59" i="76"/>
  <c r="AA59" i="76"/>
  <c r="Z59" i="76"/>
  <c r="AH59" i="76" s="1"/>
  <c r="P59" i="76"/>
  <c r="AG58" i="76"/>
  <c r="AF58" i="76"/>
  <c r="AA58" i="76"/>
  <c r="AI58" i="76" s="1"/>
  <c r="Z58" i="76"/>
  <c r="AH58" i="76" s="1"/>
  <c r="AG57" i="76"/>
  <c r="AF57" i="76"/>
  <c r="AA57" i="76"/>
  <c r="Z57" i="76"/>
  <c r="AH57" i="76" s="1"/>
  <c r="P57" i="76"/>
  <c r="AG56" i="76"/>
  <c r="AF56" i="76"/>
  <c r="AA56" i="76"/>
  <c r="Z56" i="76"/>
  <c r="AH56" i="76" s="1"/>
  <c r="P56" i="76"/>
  <c r="AG55" i="76"/>
  <c r="AF55" i="76"/>
  <c r="AA55" i="76"/>
  <c r="Z55" i="76"/>
  <c r="AH55" i="76" s="1"/>
  <c r="P55" i="76"/>
  <c r="AG54" i="76"/>
  <c r="AF54" i="76"/>
  <c r="AA54" i="76"/>
  <c r="Z54" i="76"/>
  <c r="AH54" i="76" s="1"/>
  <c r="P54" i="76"/>
  <c r="AG53" i="76"/>
  <c r="AF53" i="76"/>
  <c r="AA53" i="76"/>
  <c r="Z53" i="76"/>
  <c r="AH53" i="76" s="1"/>
  <c r="P53" i="76"/>
  <c r="AG52" i="76"/>
  <c r="AF52" i="76"/>
  <c r="AA52" i="76"/>
  <c r="Z52" i="76"/>
  <c r="AH52" i="76" s="1"/>
  <c r="P52" i="76"/>
  <c r="AG51" i="76"/>
  <c r="AF51" i="76"/>
  <c r="AA51" i="76"/>
  <c r="Z51" i="76"/>
  <c r="AH51" i="76" s="1"/>
  <c r="P51" i="76"/>
  <c r="AG50" i="76"/>
  <c r="AF50" i="76"/>
  <c r="AA50" i="76"/>
  <c r="Z50" i="76"/>
  <c r="AH50" i="76" s="1"/>
  <c r="P50" i="76"/>
  <c r="AG49" i="76"/>
  <c r="AF49" i="76"/>
  <c r="AA49" i="76"/>
  <c r="Z49" i="76"/>
  <c r="AH49" i="76" s="1"/>
  <c r="P49" i="76"/>
  <c r="AG48" i="76"/>
  <c r="AF48" i="76"/>
  <c r="AA48" i="76"/>
  <c r="Z48" i="76"/>
  <c r="AH48" i="76" s="1"/>
  <c r="P48" i="76"/>
  <c r="AG47" i="76"/>
  <c r="AF47" i="76"/>
  <c r="AA47" i="76"/>
  <c r="Z47" i="76"/>
  <c r="AH47" i="76" s="1"/>
  <c r="P47" i="76"/>
  <c r="AG46" i="76"/>
  <c r="AF46" i="76"/>
  <c r="AA46" i="76"/>
  <c r="AI46" i="76" s="1"/>
  <c r="Z46" i="76"/>
  <c r="AH46" i="76" s="1"/>
  <c r="P46" i="76"/>
  <c r="AG45" i="76"/>
  <c r="AF45" i="76"/>
  <c r="AA45" i="76"/>
  <c r="Z45" i="76"/>
  <c r="AH45" i="76" s="1"/>
  <c r="P45" i="76"/>
  <c r="AG44" i="76"/>
  <c r="AF44" i="76"/>
  <c r="AA44" i="76"/>
  <c r="Z44" i="76"/>
  <c r="AH44" i="76" s="1"/>
  <c r="P44" i="76"/>
  <c r="AG43" i="76"/>
  <c r="AF43" i="76"/>
  <c r="AA43" i="76"/>
  <c r="Z43" i="76"/>
  <c r="AH43" i="76" s="1"/>
  <c r="P43" i="76"/>
  <c r="AG42" i="76"/>
  <c r="AF42" i="76"/>
  <c r="AA42" i="76"/>
  <c r="Z42" i="76"/>
  <c r="AH42" i="76" s="1"/>
  <c r="P42" i="76"/>
  <c r="AG41" i="76"/>
  <c r="AF41" i="76"/>
  <c r="AA41" i="76"/>
  <c r="Z41" i="76"/>
  <c r="AH41" i="76" s="1"/>
  <c r="P41" i="76"/>
  <c r="AG40" i="76"/>
  <c r="AF40" i="76"/>
  <c r="AA40" i="76"/>
  <c r="Z40" i="76"/>
  <c r="AH40" i="76" s="1"/>
  <c r="P40" i="76"/>
  <c r="AG39" i="76"/>
  <c r="AF39" i="76"/>
  <c r="AA39" i="76"/>
  <c r="Z39" i="76"/>
  <c r="AH39" i="76" s="1"/>
  <c r="P39" i="76"/>
  <c r="AG38" i="76"/>
  <c r="AF38" i="76"/>
  <c r="AA38" i="76"/>
  <c r="Z38" i="76"/>
  <c r="AH38" i="76" s="1"/>
  <c r="P38" i="76"/>
  <c r="AG37" i="76"/>
  <c r="AF37" i="76"/>
  <c r="AA37" i="76"/>
  <c r="Z37" i="76"/>
  <c r="AH37" i="76" s="1"/>
  <c r="P37" i="76"/>
  <c r="AG36" i="76"/>
  <c r="AF36" i="76"/>
  <c r="AA36" i="76"/>
  <c r="Z36" i="76"/>
  <c r="AH36" i="76" s="1"/>
  <c r="P36" i="76"/>
  <c r="AG35" i="76"/>
  <c r="AF35" i="76"/>
  <c r="AA35" i="76"/>
  <c r="Z35" i="76"/>
  <c r="AH35" i="76" s="1"/>
  <c r="P35" i="76"/>
  <c r="AG34" i="76"/>
  <c r="AF34" i="76"/>
  <c r="AA34" i="76"/>
  <c r="AI34" i="76" s="1"/>
  <c r="Z34" i="76"/>
  <c r="AH34" i="76" s="1"/>
  <c r="P34" i="76"/>
  <c r="AG33" i="76"/>
  <c r="AF33" i="76"/>
  <c r="AA33" i="76"/>
  <c r="AI33" i="76" s="1"/>
  <c r="Z33" i="76"/>
  <c r="AH33" i="76" s="1"/>
  <c r="P33" i="76"/>
  <c r="AG32" i="76"/>
  <c r="AF32" i="76"/>
  <c r="AA32" i="76"/>
  <c r="Z32" i="76"/>
  <c r="AH32" i="76" s="1"/>
  <c r="P32" i="76"/>
  <c r="AG31" i="76"/>
  <c r="AF31" i="76"/>
  <c r="AA31" i="76"/>
  <c r="Z31" i="76"/>
  <c r="AH31" i="76" s="1"/>
  <c r="P31" i="76"/>
  <c r="AG30" i="76"/>
  <c r="AF30" i="76"/>
  <c r="AA30" i="76"/>
  <c r="AI30" i="76" s="1"/>
  <c r="Z30" i="76"/>
  <c r="AH30" i="76" s="1"/>
  <c r="P30" i="76"/>
  <c r="AG29" i="76"/>
  <c r="AF29" i="76"/>
  <c r="AA29" i="76"/>
  <c r="Z29" i="76"/>
  <c r="AH29" i="76" s="1"/>
  <c r="P29" i="76"/>
  <c r="AG28" i="76"/>
  <c r="AF28" i="76"/>
  <c r="AA28" i="76"/>
  <c r="Z28" i="76"/>
  <c r="AH28" i="76" s="1"/>
  <c r="P28" i="76"/>
  <c r="AG27" i="76"/>
  <c r="AF27" i="76"/>
  <c r="AA27" i="76"/>
  <c r="Z27" i="76"/>
  <c r="AH27" i="76" s="1"/>
  <c r="P27" i="76"/>
  <c r="AG26" i="76"/>
  <c r="AF26" i="76"/>
  <c r="AA26" i="76"/>
  <c r="Z26" i="76"/>
  <c r="AH26" i="76" s="1"/>
  <c r="P26" i="76"/>
  <c r="AG25" i="76"/>
  <c r="AF25" i="76"/>
  <c r="AA25" i="76"/>
  <c r="AI25" i="76" s="1"/>
  <c r="Z25" i="76"/>
  <c r="AH25" i="76" s="1"/>
  <c r="P25" i="76"/>
  <c r="AG24" i="76"/>
  <c r="AF24" i="76"/>
  <c r="AA24" i="76"/>
  <c r="Z24" i="76"/>
  <c r="AH24" i="76" s="1"/>
  <c r="P24" i="76"/>
  <c r="AG23" i="76"/>
  <c r="AF23" i="76"/>
  <c r="AA23" i="76"/>
  <c r="Z23" i="76"/>
  <c r="AH23" i="76" s="1"/>
  <c r="P23" i="76"/>
  <c r="AG22" i="76"/>
  <c r="AF22" i="76"/>
  <c r="AA22" i="76"/>
  <c r="Z22" i="76"/>
  <c r="AH22" i="76" s="1"/>
  <c r="P22" i="76"/>
  <c r="AG21" i="76"/>
  <c r="AF21" i="76"/>
  <c r="AA21" i="76"/>
  <c r="Z21" i="76"/>
  <c r="AH21" i="76" s="1"/>
  <c r="P21" i="76"/>
  <c r="AF20" i="76"/>
  <c r="AA20" i="76"/>
  <c r="Z20" i="76"/>
  <c r="AH20" i="76" s="1"/>
  <c r="P20" i="76"/>
  <c r="AG19" i="76"/>
  <c r="AF19" i="76"/>
  <c r="AA19" i="76"/>
  <c r="Z19" i="76"/>
  <c r="AH19" i="76" s="1"/>
  <c r="P19" i="76"/>
  <c r="AG18" i="76"/>
  <c r="AF18" i="76"/>
  <c r="AA18" i="76"/>
  <c r="Z18" i="76"/>
  <c r="AH18" i="76" s="1"/>
  <c r="P18" i="76"/>
  <c r="AG17" i="76"/>
  <c r="AF17" i="76"/>
  <c r="AA17" i="76"/>
  <c r="AI17" i="76" s="1"/>
  <c r="Z17" i="76"/>
  <c r="AH17" i="76" s="1"/>
  <c r="P17" i="76"/>
  <c r="AA16" i="76"/>
  <c r="AI16" i="76" s="1"/>
  <c r="Z16" i="76"/>
  <c r="AH16" i="76" s="1"/>
  <c r="P16" i="76"/>
  <c r="AA15" i="76"/>
  <c r="AI15" i="76" s="1"/>
  <c r="Z15" i="76"/>
  <c r="AH15" i="76" s="1"/>
  <c r="P15" i="76"/>
  <c r="AG14" i="76"/>
  <c r="AF14" i="76"/>
  <c r="AA14" i="76"/>
  <c r="Z14" i="76"/>
  <c r="AH14" i="76" s="1"/>
  <c r="P14" i="76"/>
  <c r="AG13" i="76"/>
  <c r="AF13" i="76"/>
  <c r="AA13" i="76"/>
  <c r="Z13" i="76"/>
  <c r="AH13" i="76" s="1"/>
  <c r="P13" i="76"/>
  <c r="AA12" i="76"/>
  <c r="AI12" i="76" s="1"/>
  <c r="Z12" i="76"/>
  <c r="AH12" i="76" s="1"/>
  <c r="P12" i="76"/>
  <c r="AA11" i="76"/>
  <c r="AI11" i="76" s="1"/>
  <c r="Z11" i="76"/>
  <c r="AH11" i="76" s="1"/>
  <c r="P11" i="76"/>
  <c r="AA10" i="76"/>
  <c r="AI10" i="76" s="1"/>
  <c r="Z10" i="76"/>
  <c r="AH10" i="76" s="1"/>
  <c r="P10" i="76"/>
  <c r="AA9" i="76"/>
  <c r="AI9" i="76" s="1"/>
  <c r="Z9" i="76"/>
  <c r="AH9" i="76" s="1"/>
  <c r="P9" i="76"/>
  <c r="AG8" i="76"/>
  <c r="AF8" i="76"/>
  <c r="AA8" i="76"/>
  <c r="Z8" i="76"/>
  <c r="AH8" i="76" s="1"/>
  <c r="P8" i="76"/>
  <c r="AG7" i="76"/>
  <c r="AF7" i="76"/>
  <c r="AA7" i="76"/>
  <c r="Z7" i="76"/>
  <c r="AH7" i="76" s="1"/>
  <c r="P7" i="76"/>
  <c r="AJ9" i="76" l="1"/>
  <c r="AI38" i="76"/>
  <c r="AI26" i="76"/>
  <c r="AJ26" i="76" s="1"/>
  <c r="AI22" i="76"/>
  <c r="AJ22" i="76" s="1"/>
  <c r="AI18" i="76"/>
  <c r="AI23" i="76"/>
  <c r="AJ23" i="76" s="1"/>
  <c r="AI27" i="76"/>
  <c r="AJ27" i="76" s="1"/>
  <c r="AI31" i="76"/>
  <c r="AJ31" i="76" s="1"/>
  <c r="AI70" i="76"/>
  <c r="AI20" i="76"/>
  <c r="AJ11" i="76"/>
  <c r="AI32" i="76"/>
  <c r="AJ32" i="76" s="1"/>
  <c r="AI36" i="76"/>
  <c r="AJ36" i="76" s="1"/>
  <c r="AI48" i="76"/>
  <c r="AI71" i="76"/>
  <c r="AJ71" i="76" s="1"/>
  <c r="AI67" i="76"/>
  <c r="AJ67" i="76" s="1"/>
  <c r="AJ34" i="76"/>
  <c r="AI35" i="76"/>
  <c r="AJ35" i="76" s="1"/>
  <c r="AI43" i="76"/>
  <c r="AJ43" i="76" s="1"/>
  <c r="AI50" i="76"/>
  <c r="AJ50" i="76" s="1"/>
  <c r="AI54" i="76"/>
  <c r="AJ54" i="76" s="1"/>
  <c r="AJ12" i="76"/>
  <c r="AI40" i="76"/>
  <c r="AJ40" i="76" s="1"/>
  <c r="AI44" i="76"/>
  <c r="AJ44" i="76" s="1"/>
  <c r="AI51" i="76"/>
  <c r="AJ51" i="76" s="1"/>
  <c r="AI55" i="76"/>
  <c r="AJ55" i="76" s="1"/>
  <c r="AJ65" i="76"/>
  <c r="AI69" i="76"/>
  <c r="AJ69" i="76" s="1"/>
  <c r="AI14" i="76"/>
  <c r="AJ14" i="76" s="1"/>
  <c r="AJ46" i="76"/>
  <c r="AI49" i="76"/>
  <c r="AJ49" i="76" s="1"/>
  <c r="AI53" i="76"/>
  <c r="AJ53" i="76" s="1"/>
  <c r="AJ15" i="76"/>
  <c r="AJ20" i="76"/>
  <c r="AJ10" i="76"/>
  <c r="AI24" i="76"/>
  <c r="AJ24" i="76" s="1"/>
  <c r="AI28" i="76"/>
  <c r="AJ28" i="76" s="1"/>
  <c r="AJ38" i="76"/>
  <c r="AI41" i="76"/>
  <c r="AJ41" i="76" s="1"/>
  <c r="AI64" i="76"/>
  <c r="AJ64" i="76" s="1"/>
  <c r="AJ70" i="76"/>
  <c r="AI13" i="76"/>
  <c r="AJ13" i="76" s="1"/>
  <c r="AI19" i="76"/>
  <c r="AJ19" i="76" s="1"/>
  <c r="AI21" i="76"/>
  <c r="AJ21" i="76" s="1"/>
  <c r="AI29" i="76"/>
  <c r="AJ29" i="76" s="1"/>
  <c r="AI42" i="76"/>
  <c r="AJ42" i="76" s="1"/>
  <c r="AJ48" i="76"/>
  <c r="AI52" i="76"/>
  <c r="AJ52" i="76" s="1"/>
  <c r="AI56" i="76"/>
  <c r="AJ56" i="76" s="1"/>
  <c r="AI60" i="76"/>
  <c r="AJ60" i="76" s="1"/>
  <c r="AI57" i="76"/>
  <c r="AJ57" i="76" s="1"/>
  <c r="AJ17" i="76"/>
  <c r="AI8" i="76"/>
  <c r="AJ8" i="76" s="1"/>
  <c r="AI7" i="76"/>
  <c r="AJ7" i="76" s="1"/>
  <c r="AJ25" i="76"/>
  <c r="AJ30" i="76"/>
  <c r="AJ33" i="76"/>
  <c r="AI59" i="76"/>
  <c r="AJ59" i="76" s="1"/>
  <c r="AI66" i="76"/>
  <c r="AJ66" i="76" s="1"/>
  <c r="AJ16" i="76"/>
  <c r="AI37" i="76"/>
  <c r="AJ37" i="76" s="1"/>
  <c r="AI45" i="76"/>
  <c r="AJ45" i="76" s="1"/>
  <c r="AI61" i="76"/>
  <c r="AJ61" i="76" s="1"/>
  <c r="AI68" i="76"/>
  <c r="AJ68" i="76" s="1"/>
  <c r="AJ18" i="76"/>
  <c r="AI39" i="76"/>
  <c r="AJ39" i="76" s="1"/>
  <c r="AI47" i="76"/>
  <c r="AJ47" i="76" s="1"/>
  <c r="AJ58" i="76"/>
  <c r="AJ62" i="76"/>
  <c r="AJ63" i="76"/>
  <c r="AJ3" i="76" l="1"/>
  <c r="AD70" i="73" l="1"/>
  <c r="AC70" i="73"/>
  <c r="Z70" i="73"/>
  <c r="V70" i="73"/>
  <c r="AF70" i="73" s="1"/>
  <c r="U70" i="73"/>
  <c r="N70" i="73" a="1"/>
  <c r="N70" i="73" s="1"/>
  <c r="AD69" i="73"/>
  <c r="AC69" i="73"/>
  <c r="Z69" i="73"/>
  <c r="AF69" i="73" s="1"/>
  <c r="V69" i="73"/>
  <c r="U69" i="73"/>
  <c r="AE69" i="73" s="1"/>
  <c r="N69" i="73" a="1"/>
  <c r="N69" i="73" s="1"/>
  <c r="AD68" i="73"/>
  <c r="AC68" i="73"/>
  <c r="Z68" i="73"/>
  <c r="V68" i="73"/>
  <c r="U68" i="73"/>
  <c r="N68" i="73" a="1"/>
  <c r="N68" i="73" s="1"/>
  <c r="AD67" i="73"/>
  <c r="AC67" i="73"/>
  <c r="Z67" i="73"/>
  <c r="V67" i="73"/>
  <c r="U67" i="73"/>
  <c r="AE67" i="73" s="1"/>
  <c r="N67" i="73" a="1"/>
  <c r="N67" i="73" s="1"/>
  <c r="AD66" i="73"/>
  <c r="AC66" i="73"/>
  <c r="Z66" i="73"/>
  <c r="V66" i="73"/>
  <c r="U66" i="73"/>
  <c r="N66" i="73" a="1"/>
  <c r="N66" i="73" s="1"/>
  <c r="AD65" i="73"/>
  <c r="AC65" i="73"/>
  <c r="Z65" i="73"/>
  <c r="AF65" i="73" s="1"/>
  <c r="V65" i="73"/>
  <c r="U65" i="73"/>
  <c r="N65" i="73" a="1"/>
  <c r="N65" i="73" s="1"/>
  <c r="AD64" i="73"/>
  <c r="AC64" i="73"/>
  <c r="Z64" i="73"/>
  <c r="V64" i="73"/>
  <c r="U64" i="73"/>
  <c r="N64" i="73" a="1"/>
  <c r="N64" i="73" s="1"/>
  <c r="AD63" i="73"/>
  <c r="AC63" i="73"/>
  <c r="Z63" i="73"/>
  <c r="V63" i="73"/>
  <c r="U63" i="73"/>
  <c r="N63" i="73" a="1"/>
  <c r="N63" i="73" s="1"/>
  <c r="AD62" i="73"/>
  <c r="AC62" i="73"/>
  <c r="Z62" i="73"/>
  <c r="V62" i="73"/>
  <c r="U62" i="73"/>
  <c r="N62" i="73" a="1"/>
  <c r="N62" i="73" s="1"/>
  <c r="AD61" i="73"/>
  <c r="AC61" i="73"/>
  <c r="Z61" i="73"/>
  <c r="V61" i="73"/>
  <c r="U61" i="73"/>
  <c r="N61" i="73" a="1"/>
  <c r="N61" i="73" s="1"/>
  <c r="AD60" i="73"/>
  <c r="AC60" i="73"/>
  <c r="Z60" i="73"/>
  <c r="AF60" i="73" s="1"/>
  <c r="V60" i="73"/>
  <c r="U60" i="73"/>
  <c r="N60" i="73" a="1"/>
  <c r="N60" i="73" s="1"/>
  <c r="AD59" i="73"/>
  <c r="AC59" i="73"/>
  <c r="Z59" i="73"/>
  <c r="V59" i="73"/>
  <c r="AF59" i="73" s="1"/>
  <c r="U59" i="73"/>
  <c r="N59" i="73" a="1"/>
  <c r="N59" i="73" s="1"/>
  <c r="AD58" i="73"/>
  <c r="AC58" i="73"/>
  <c r="Z58" i="73"/>
  <c r="V58" i="73"/>
  <c r="U58" i="73"/>
  <c r="N58" i="73" a="1"/>
  <c r="N58" i="73" s="1"/>
  <c r="AD57" i="73"/>
  <c r="AC57" i="73"/>
  <c r="Z57" i="73"/>
  <c r="V57" i="73"/>
  <c r="U57" i="73"/>
  <c r="N57" i="73" a="1"/>
  <c r="N57" i="73" s="1"/>
  <c r="AD56" i="73"/>
  <c r="AC56" i="73"/>
  <c r="Z56" i="73"/>
  <c r="V56" i="73"/>
  <c r="U56" i="73"/>
  <c r="N56" i="73" a="1"/>
  <c r="N56" i="73" s="1"/>
  <c r="AD55" i="73"/>
  <c r="AC55" i="73"/>
  <c r="Z55" i="73"/>
  <c r="V55" i="73"/>
  <c r="U55" i="73"/>
  <c r="N55" i="73" a="1"/>
  <c r="N55" i="73" s="1"/>
  <c r="AD54" i="73"/>
  <c r="AC54" i="73"/>
  <c r="Z54" i="73"/>
  <c r="AF54" i="73" s="1"/>
  <c r="V54" i="73"/>
  <c r="U54" i="73"/>
  <c r="N54" i="73" a="1"/>
  <c r="N54" i="73" s="1"/>
  <c r="AD53" i="73"/>
  <c r="AC53" i="73"/>
  <c r="Z53" i="73"/>
  <c r="V53" i="73"/>
  <c r="U53" i="73"/>
  <c r="N53" i="73" a="1"/>
  <c r="N53" i="73" s="1"/>
  <c r="AD52" i="73"/>
  <c r="AC52" i="73"/>
  <c r="Z52" i="73"/>
  <c r="V52" i="73"/>
  <c r="U52" i="73"/>
  <c r="N52" i="73" a="1"/>
  <c r="N52" i="73" s="1"/>
  <c r="AD51" i="73"/>
  <c r="AC51" i="73"/>
  <c r="Z51" i="73"/>
  <c r="V51" i="73"/>
  <c r="AF51" i="73" s="1"/>
  <c r="U51" i="73"/>
  <c r="N51" i="73" a="1"/>
  <c r="N51" i="73" s="1"/>
  <c r="AD50" i="73"/>
  <c r="AC50" i="73"/>
  <c r="Z50" i="73"/>
  <c r="AF50" i="73" s="1"/>
  <c r="V50" i="73"/>
  <c r="U50" i="73"/>
  <c r="N50" i="73" a="1"/>
  <c r="N50" i="73" s="1"/>
  <c r="AD49" i="73"/>
  <c r="AC49" i="73"/>
  <c r="Z49" i="73"/>
  <c r="AF49" i="73" s="1"/>
  <c r="V49" i="73"/>
  <c r="U49" i="73"/>
  <c r="N49" i="73" a="1"/>
  <c r="N49" i="73" s="1"/>
  <c r="AD48" i="73"/>
  <c r="AC48" i="73"/>
  <c r="Z48" i="73"/>
  <c r="V48" i="73"/>
  <c r="U48" i="73"/>
  <c r="N48" i="73" a="1"/>
  <c r="N48" i="73" s="1"/>
  <c r="AD47" i="73"/>
  <c r="AC47" i="73"/>
  <c r="Z47" i="73"/>
  <c r="V47" i="73"/>
  <c r="U47" i="73"/>
  <c r="N47" i="73" a="1"/>
  <c r="N47" i="73" s="1"/>
  <c r="AD46" i="73"/>
  <c r="AC46" i="73"/>
  <c r="Z46" i="73"/>
  <c r="V46" i="73"/>
  <c r="U46" i="73"/>
  <c r="N46" i="73" a="1"/>
  <c r="N46" i="73" s="1"/>
  <c r="AD45" i="73"/>
  <c r="AC45" i="73"/>
  <c r="Z45" i="73"/>
  <c r="AF45" i="73" s="1"/>
  <c r="V45" i="73"/>
  <c r="U45" i="73"/>
  <c r="N45" i="73" a="1"/>
  <c r="N45" i="73" s="1"/>
  <c r="AD44" i="73"/>
  <c r="AC44" i="73"/>
  <c r="Z44" i="73"/>
  <c r="AF44" i="73" s="1"/>
  <c r="V44" i="73"/>
  <c r="U44" i="73"/>
  <c r="N44" i="73" a="1"/>
  <c r="N44" i="73" s="1"/>
  <c r="AD43" i="73"/>
  <c r="AC43" i="73"/>
  <c r="Z43" i="73"/>
  <c r="V43" i="73"/>
  <c r="AF43" i="73" s="1"/>
  <c r="U43" i="73"/>
  <c r="N43" i="73" a="1"/>
  <c r="N43" i="73" s="1"/>
  <c r="AD42" i="73"/>
  <c r="AC42" i="73"/>
  <c r="Z42" i="73"/>
  <c r="V42" i="73"/>
  <c r="U42" i="73"/>
  <c r="N42" i="73" a="1"/>
  <c r="N42" i="73" s="1"/>
  <c r="AD41" i="73"/>
  <c r="AC41" i="73"/>
  <c r="Z41" i="73"/>
  <c r="V41" i="73"/>
  <c r="U41" i="73"/>
  <c r="N41" i="73" a="1"/>
  <c r="N41" i="73" s="1"/>
  <c r="AD40" i="73"/>
  <c r="AC40" i="73"/>
  <c r="Z40" i="73"/>
  <c r="V40" i="73"/>
  <c r="U40" i="73"/>
  <c r="N40" i="73" a="1"/>
  <c r="N40" i="73" s="1"/>
  <c r="AD38" i="73"/>
  <c r="AC38" i="73"/>
  <c r="Z38" i="73"/>
  <c r="AF38" i="73" s="1"/>
  <c r="V38" i="73"/>
  <c r="U38" i="73"/>
  <c r="N38" i="73" a="1"/>
  <c r="N38" i="73" s="1"/>
  <c r="AD37" i="73"/>
  <c r="AC37" i="73"/>
  <c r="Z37" i="73"/>
  <c r="V37" i="73"/>
  <c r="AF37" i="73" s="1"/>
  <c r="U37" i="73"/>
  <c r="N37" i="73" a="1"/>
  <c r="N37" i="73" s="1"/>
  <c r="AD36" i="73"/>
  <c r="AC36" i="73"/>
  <c r="Z36" i="73"/>
  <c r="V36" i="73"/>
  <c r="U36" i="73"/>
  <c r="N36" i="73" a="1"/>
  <c r="N36" i="73" s="1"/>
  <c r="AD35" i="73"/>
  <c r="AC35" i="73"/>
  <c r="Z35" i="73"/>
  <c r="V35" i="73"/>
  <c r="U35" i="73"/>
  <c r="N35" i="73" a="1"/>
  <c r="N35" i="73" s="1"/>
  <c r="AD34" i="73"/>
  <c r="AC34" i="73"/>
  <c r="Z34" i="73"/>
  <c r="V34" i="73"/>
  <c r="U34" i="73"/>
  <c r="N34" i="73"/>
  <c r="N34" i="73" a="1"/>
  <c r="AD33" i="73"/>
  <c r="AC33" i="73"/>
  <c r="Z33" i="73"/>
  <c r="V33" i="73"/>
  <c r="U33" i="73"/>
  <c r="N33" i="73" a="1"/>
  <c r="N33" i="73" s="1"/>
  <c r="AD32" i="73"/>
  <c r="AC32" i="73"/>
  <c r="Z32" i="73"/>
  <c r="AF32" i="73" s="1"/>
  <c r="V32" i="73"/>
  <c r="U32" i="73"/>
  <c r="N32" i="73" a="1"/>
  <c r="N32" i="73" s="1"/>
  <c r="AD31" i="73"/>
  <c r="AC31" i="73"/>
  <c r="Z31" i="73"/>
  <c r="AF31" i="73" s="1"/>
  <c r="V31" i="73"/>
  <c r="U31" i="73"/>
  <c r="N31" i="73" a="1"/>
  <c r="N31" i="73" s="1"/>
  <c r="AD30" i="73"/>
  <c r="AC30" i="73"/>
  <c r="Z30" i="73"/>
  <c r="V30" i="73"/>
  <c r="U30" i="73"/>
  <c r="N30" i="73" a="1"/>
  <c r="N30" i="73" s="1"/>
  <c r="AE29" i="73"/>
  <c r="AD29" i="73"/>
  <c r="AC29" i="73"/>
  <c r="Z29" i="73"/>
  <c r="V29" i="73"/>
  <c r="U29" i="73"/>
  <c r="N29" i="73" a="1"/>
  <c r="N29" i="73" s="1"/>
  <c r="AD28" i="73"/>
  <c r="AC28" i="73"/>
  <c r="Z28" i="73"/>
  <c r="V28" i="73"/>
  <c r="U28" i="73"/>
  <c r="N28" i="73" a="1"/>
  <c r="N28" i="73" s="1"/>
  <c r="AD27" i="73"/>
  <c r="AC27" i="73"/>
  <c r="Z27" i="73"/>
  <c r="V27" i="73"/>
  <c r="U27" i="73"/>
  <c r="N27" i="73" a="1"/>
  <c r="N27" i="73" s="1"/>
  <c r="AD26" i="73"/>
  <c r="AC26" i="73"/>
  <c r="Z26" i="73"/>
  <c r="V26" i="73"/>
  <c r="U26" i="73"/>
  <c r="N26" i="73"/>
  <c r="N26" i="73" a="1"/>
  <c r="AD25" i="73"/>
  <c r="AC25" i="73"/>
  <c r="Z25" i="73"/>
  <c r="V25" i="73"/>
  <c r="U25" i="73"/>
  <c r="N25" i="73" a="1"/>
  <c r="N25" i="73" s="1"/>
  <c r="AD24" i="73"/>
  <c r="AC24" i="73"/>
  <c r="Z24" i="73"/>
  <c r="AF24" i="73" s="1"/>
  <c r="V24" i="73"/>
  <c r="U24" i="73"/>
  <c r="N24" i="73" a="1"/>
  <c r="N24" i="73" s="1"/>
  <c r="AD23" i="73"/>
  <c r="AC23" i="73"/>
  <c r="Z23" i="73"/>
  <c r="AF23" i="73" s="1"/>
  <c r="V23" i="73"/>
  <c r="U23" i="73"/>
  <c r="N23" i="73" a="1"/>
  <c r="N23" i="73" s="1"/>
  <c r="AD22" i="73"/>
  <c r="AC22" i="73"/>
  <c r="Z22" i="73"/>
  <c r="V22" i="73"/>
  <c r="U22" i="73"/>
  <c r="N22" i="73" a="1"/>
  <c r="N22" i="73" s="1"/>
  <c r="AD21" i="73"/>
  <c r="AC21" i="73"/>
  <c r="Z21" i="73"/>
  <c r="V21" i="73"/>
  <c r="U21" i="73"/>
  <c r="AE21" i="73" s="1"/>
  <c r="N21" i="73" a="1"/>
  <c r="N21" i="73" s="1"/>
  <c r="AD20" i="73"/>
  <c r="AC20" i="73"/>
  <c r="Z20" i="73"/>
  <c r="V20" i="73"/>
  <c r="U20" i="73"/>
  <c r="N20" i="73" a="1"/>
  <c r="N20" i="73" s="1"/>
  <c r="AD19" i="73"/>
  <c r="AC19" i="73"/>
  <c r="Z19" i="73"/>
  <c r="V19" i="73"/>
  <c r="U19" i="73"/>
  <c r="AE19" i="73" s="1"/>
  <c r="N19" i="73" a="1"/>
  <c r="N19" i="73" s="1"/>
  <c r="AD18" i="73"/>
  <c r="AC18" i="73"/>
  <c r="Z18" i="73"/>
  <c r="AF18" i="73" s="1"/>
  <c r="V18" i="73"/>
  <c r="U18" i="73"/>
  <c r="N18" i="73" a="1"/>
  <c r="N18" i="73" s="1"/>
  <c r="AD17" i="73"/>
  <c r="AC17" i="73"/>
  <c r="Z17" i="73"/>
  <c r="V17" i="73"/>
  <c r="AF17" i="73" s="1"/>
  <c r="U17" i="73"/>
  <c r="AE17" i="73" s="1"/>
  <c r="N17" i="73" a="1"/>
  <c r="N17" i="73" s="1"/>
  <c r="AD16" i="73"/>
  <c r="AC16" i="73"/>
  <c r="Z16" i="73"/>
  <c r="V16" i="73"/>
  <c r="U16" i="73"/>
  <c r="N16" i="73" a="1"/>
  <c r="N16" i="73" s="1"/>
  <c r="AD15" i="73"/>
  <c r="AC15" i="73"/>
  <c r="Z15" i="73"/>
  <c r="V15" i="73"/>
  <c r="U15" i="73"/>
  <c r="AE15" i="73" s="1"/>
  <c r="N15" i="73" a="1"/>
  <c r="N15" i="73" s="1"/>
  <c r="AD14" i="73"/>
  <c r="AC14" i="73"/>
  <c r="Z14" i="73"/>
  <c r="V14" i="73"/>
  <c r="U14" i="73"/>
  <c r="N14" i="73" a="1"/>
  <c r="N14" i="73" s="1"/>
  <c r="AD13" i="73"/>
  <c r="AC13" i="73"/>
  <c r="Z13" i="73"/>
  <c r="V13" i="73"/>
  <c r="AF13" i="73" s="1"/>
  <c r="U13" i="73"/>
  <c r="AE13" i="73" s="1"/>
  <c r="N13" i="73" a="1"/>
  <c r="N13" i="73" s="1"/>
  <c r="AD12" i="73"/>
  <c r="AC12" i="73"/>
  <c r="Z12" i="73"/>
  <c r="V12" i="73"/>
  <c r="U12" i="73"/>
  <c r="N12" i="73" a="1"/>
  <c r="N12" i="73" s="1"/>
  <c r="AD11" i="73"/>
  <c r="AC11" i="73"/>
  <c r="Z11" i="73"/>
  <c r="V11" i="73"/>
  <c r="U11" i="73"/>
  <c r="AE11" i="73" s="1"/>
  <c r="N11" i="73" a="1"/>
  <c r="N11" i="73" s="1"/>
  <c r="AD10" i="73"/>
  <c r="AC10" i="73"/>
  <c r="Z10" i="73"/>
  <c r="AF10" i="73" s="1"/>
  <c r="V10" i="73"/>
  <c r="U10" i="73"/>
  <c r="N10" i="73" a="1"/>
  <c r="N10" i="73" s="1"/>
  <c r="AD9" i="73"/>
  <c r="AC9" i="73"/>
  <c r="Z9" i="73"/>
  <c r="V9" i="73"/>
  <c r="AF9" i="73" s="1"/>
  <c r="U9" i="73"/>
  <c r="AE9" i="73" s="1"/>
  <c r="N9" i="73" a="1"/>
  <c r="N9" i="73" s="1"/>
  <c r="AD8" i="73"/>
  <c r="AC8" i="73"/>
  <c r="Z8" i="73"/>
  <c r="V8" i="73"/>
  <c r="U8" i="73"/>
  <c r="N8" i="73" a="1"/>
  <c r="N8" i="73" s="1"/>
  <c r="AF47" i="73" l="1"/>
  <c r="AF8" i="73"/>
  <c r="AF29" i="73"/>
  <c r="AF42" i="73"/>
  <c r="AF58" i="73"/>
  <c r="AF11" i="73"/>
  <c r="AF14" i="73"/>
  <c r="AF19" i="73"/>
  <c r="AF20" i="73"/>
  <c r="AE25" i="73"/>
  <c r="AF27" i="73"/>
  <c r="AF28" i="73"/>
  <c r="AE33" i="73"/>
  <c r="AF35" i="73"/>
  <c r="AF36" i="73"/>
  <c r="AF41" i="73"/>
  <c r="AF46" i="73"/>
  <c r="AF52" i="73"/>
  <c r="AF55" i="73"/>
  <c r="AF57" i="73"/>
  <c r="AF62" i="73"/>
  <c r="AF67" i="73"/>
  <c r="AF15" i="73"/>
  <c r="AF21" i="73"/>
  <c r="AF63" i="73"/>
  <c r="AF16" i="73"/>
  <c r="AF22" i="73"/>
  <c r="AE27" i="73"/>
  <c r="AF30" i="73"/>
  <c r="AE35" i="73"/>
  <c r="AF48" i="73"/>
  <c r="AF53" i="73"/>
  <c r="AF64" i="73"/>
  <c r="AF68" i="73"/>
  <c r="AF12" i="73"/>
  <c r="AE23" i="73"/>
  <c r="AF25" i="73"/>
  <c r="AF26" i="73"/>
  <c r="AE31" i="73"/>
  <c r="AF33" i="73"/>
  <c r="AF34" i="73"/>
  <c r="AF40" i="73"/>
  <c r="AF56" i="73"/>
  <c r="AF61" i="73"/>
  <c r="AF66" i="73"/>
  <c r="AI9" i="73"/>
  <c r="AI11" i="73"/>
  <c r="AI13" i="73"/>
  <c r="AI15" i="73"/>
  <c r="AI17" i="73"/>
  <c r="AI19" i="73"/>
  <c r="AE22" i="73"/>
  <c r="AE30" i="73"/>
  <c r="AE8" i="73"/>
  <c r="AE10" i="73"/>
  <c r="AI10" i="73" s="1"/>
  <c r="AE12" i="73"/>
  <c r="AE14" i="73"/>
  <c r="AI14" i="73" s="1"/>
  <c r="AE16" i="73"/>
  <c r="AE18" i="73"/>
  <c r="AI18" i="73" s="1"/>
  <c r="AE24" i="73"/>
  <c r="AI25" i="73"/>
  <c r="AE32" i="73"/>
  <c r="AI32" i="73" s="1"/>
  <c r="AI33" i="73"/>
  <c r="AE40" i="73"/>
  <c r="AE48" i="73"/>
  <c r="AE56" i="73"/>
  <c r="AE64" i="73"/>
  <c r="AI69" i="73"/>
  <c r="AI12" i="73"/>
  <c r="AI16" i="73"/>
  <c r="AE20" i="73"/>
  <c r="AI23" i="73"/>
  <c r="AI31" i="73"/>
  <c r="AE26" i="73"/>
  <c r="AI26" i="73" s="1"/>
  <c r="AI27" i="73"/>
  <c r="AE34" i="73"/>
  <c r="AI34" i="73" s="1"/>
  <c r="AI35" i="73"/>
  <c r="AI67" i="73"/>
  <c r="AI8" i="73"/>
  <c r="AI24" i="73"/>
  <c r="AI20" i="73"/>
  <c r="AI21" i="73"/>
  <c r="AI22" i="73"/>
  <c r="AE28" i="73"/>
  <c r="AI28" i="73" s="1"/>
  <c r="AI29" i="73"/>
  <c r="AI30" i="73"/>
  <c r="AE36" i="73"/>
  <c r="AI36" i="73" s="1"/>
  <c r="AE44" i="73"/>
  <c r="AE52" i="73"/>
  <c r="AE60" i="73"/>
  <c r="AI60" i="73" s="1"/>
  <c r="AE37" i="73"/>
  <c r="AI37" i="73" s="1"/>
  <c r="AE41" i="73"/>
  <c r="AI41" i="73" s="1"/>
  <c r="AE45" i="73"/>
  <c r="AI45" i="73" s="1"/>
  <c r="AE49" i="73"/>
  <c r="AI49" i="73" s="1"/>
  <c r="AE53" i="73"/>
  <c r="AI53" i="73" s="1"/>
  <c r="AE57" i="73"/>
  <c r="AI57" i="73" s="1"/>
  <c r="AE61" i="73"/>
  <c r="AI61" i="73" s="1"/>
  <c r="AE65" i="73"/>
  <c r="AI65" i="73" s="1"/>
  <c r="AI70" i="73"/>
  <c r="AE38" i="73"/>
  <c r="AI38" i="73" s="1"/>
  <c r="AE42" i="73"/>
  <c r="AI42" i="73" s="1"/>
  <c r="AE46" i="73"/>
  <c r="AI46" i="73" s="1"/>
  <c r="AE50" i="73"/>
  <c r="AI50" i="73" s="1"/>
  <c r="AE54" i="73"/>
  <c r="AI54" i="73" s="1"/>
  <c r="AE58" i="73"/>
  <c r="AI58" i="73" s="1"/>
  <c r="AE62" i="73"/>
  <c r="AI62" i="73" s="1"/>
  <c r="AE66" i="73"/>
  <c r="AI66" i="73" s="1"/>
  <c r="AE68" i="73"/>
  <c r="AI68" i="73" s="1"/>
  <c r="AE70" i="73"/>
  <c r="AI40" i="73"/>
  <c r="AE43" i="73"/>
  <c r="AI43" i="73" s="1"/>
  <c r="AI44" i="73"/>
  <c r="AE47" i="73"/>
  <c r="AI47" i="73" s="1"/>
  <c r="AI48" i="73"/>
  <c r="AE51" i="73"/>
  <c r="AI51" i="73" s="1"/>
  <c r="AI52" i="73"/>
  <c r="AE55" i="73"/>
  <c r="AI55" i="73" s="1"/>
  <c r="AI56" i="73"/>
  <c r="AE59" i="73"/>
  <c r="AI59" i="73" s="1"/>
  <c r="AE63" i="73"/>
  <c r="AI63" i="73" s="1"/>
  <c r="AI64" i="73"/>
  <c r="AI4" i="73" l="1"/>
  <c r="R857" i="56" l="1"/>
  <c r="R52" i="56"/>
  <c r="R262" i="56"/>
  <c r="R458" i="56"/>
  <c r="R172" i="56"/>
  <c r="R626" i="56"/>
  <c r="R404" i="56"/>
  <c r="R548" i="56"/>
  <c r="R563" i="56"/>
  <c r="R87" i="56"/>
  <c r="R753" i="56"/>
  <c r="R256" i="56"/>
  <c r="R741" i="56"/>
  <c r="R323" i="56"/>
  <c r="R146" i="56"/>
  <c r="R356" i="56"/>
  <c r="R215" i="56"/>
  <c r="R672" i="56"/>
  <c r="R702" i="56"/>
  <c r="R798" i="56"/>
  <c r="R813" i="56"/>
  <c r="R452" i="56"/>
  <c r="R515" i="56"/>
  <c r="R373" i="56"/>
  <c r="R803" i="56"/>
  <c r="R864" i="56"/>
  <c r="R250" i="56"/>
  <c r="Y803" i="56" l="1"/>
  <c r="Z803" i="56"/>
  <c r="Z813" i="56"/>
  <c r="Y215" i="56"/>
  <c r="Z215" i="56"/>
  <c r="Z741" i="56"/>
  <c r="Y741" i="56"/>
  <c r="Z753" i="56"/>
  <c r="Y404" i="56"/>
  <c r="Z404" i="56"/>
  <c r="Y864" i="56"/>
  <c r="Z864" i="56"/>
  <c r="Y373" i="56"/>
  <c r="Z373" i="56"/>
  <c r="Z798" i="56"/>
  <c r="Y798" i="56"/>
  <c r="Y356" i="56"/>
  <c r="Z356" i="56"/>
  <c r="Z87" i="56"/>
  <c r="Z626" i="56"/>
  <c r="Y626" i="56"/>
  <c r="Z262" i="56"/>
  <c r="Y262" i="56"/>
  <c r="Y515" i="56"/>
  <c r="Z515" i="56"/>
  <c r="Y702" i="56"/>
  <c r="Z702" i="56"/>
  <c r="Z146" i="56"/>
  <c r="Y563" i="56"/>
  <c r="Z563" i="56"/>
  <c r="Y172" i="56"/>
  <c r="Z172" i="56"/>
  <c r="Y52" i="56"/>
  <c r="Z52" i="56"/>
  <c r="Y452" i="56"/>
  <c r="Z452" i="56"/>
  <c r="Z672" i="56"/>
  <c r="Y323" i="56"/>
  <c r="Z323" i="56"/>
  <c r="Y548" i="56"/>
  <c r="Z548" i="56"/>
  <c r="Y458" i="56"/>
  <c r="Z458" i="56"/>
  <c r="Y857" i="56"/>
  <c r="Z857" i="56"/>
  <c r="R72" i="56"/>
  <c r="R542" i="56"/>
  <c r="R495" i="56"/>
  <c r="R249" i="56"/>
  <c r="R675" i="56"/>
  <c r="R320" i="56"/>
  <c r="R240" i="56"/>
  <c r="R92" i="56"/>
  <c r="R555" i="56"/>
  <c r="R627" i="56"/>
  <c r="R446" i="56"/>
  <c r="R788" i="56"/>
  <c r="R673" i="56"/>
  <c r="R357" i="56"/>
  <c r="R334" i="56"/>
  <c r="R479" i="56"/>
  <c r="R770" i="56"/>
  <c r="R564" i="56"/>
  <c r="R302" i="56"/>
  <c r="R412" i="56"/>
  <c r="R581" i="56"/>
  <c r="R316" i="56"/>
  <c r="R385" i="56"/>
  <c r="R192" i="56"/>
  <c r="R718" i="56"/>
  <c r="R761" i="56"/>
  <c r="R571" i="56"/>
  <c r="R295" i="56"/>
  <c r="R405" i="56"/>
  <c r="R187" i="56"/>
  <c r="R46" i="56"/>
  <c r="R243" i="56"/>
  <c r="R237" i="56"/>
  <c r="R252" i="56"/>
  <c r="R629" i="56"/>
  <c r="R438" i="56"/>
  <c r="R797" i="56"/>
  <c r="R382" i="56"/>
  <c r="R336" i="56"/>
  <c r="R346" i="56"/>
  <c r="R748" i="56"/>
  <c r="R767" i="56"/>
  <c r="R577" i="56"/>
  <c r="R579" i="56"/>
  <c r="R575" i="56"/>
  <c r="R314" i="56"/>
  <c r="R315" i="56"/>
  <c r="R410" i="56"/>
  <c r="R428" i="56"/>
  <c r="R396" i="56"/>
  <c r="R186" i="56"/>
  <c r="R180" i="56"/>
  <c r="R55" i="56"/>
  <c r="R69" i="56"/>
  <c r="R440" i="56"/>
  <c r="R441" i="56"/>
  <c r="R442" i="56"/>
  <c r="R439" i="56"/>
  <c r="R450" i="56"/>
  <c r="R435" i="56"/>
  <c r="R448" i="56"/>
  <c r="R802" i="56"/>
  <c r="R784" i="56"/>
  <c r="R805" i="56"/>
  <c r="R801" i="56"/>
  <c r="R807" i="56"/>
  <c r="R789" i="56"/>
  <c r="R780" i="56"/>
  <c r="R793" i="56"/>
  <c r="R653" i="56"/>
  <c r="R663" i="56"/>
  <c r="R665" i="56"/>
  <c r="R678" i="56"/>
  <c r="R679" i="56"/>
  <c r="R651" i="56"/>
  <c r="R666" i="56"/>
  <c r="R659" i="56"/>
  <c r="R667" i="56"/>
  <c r="R384" i="56"/>
  <c r="R365" i="56"/>
  <c r="R374" i="56"/>
  <c r="R369" i="56"/>
  <c r="R376" i="56"/>
  <c r="R367" i="56"/>
  <c r="R361" i="56"/>
  <c r="R378" i="56"/>
  <c r="R331" i="56"/>
  <c r="R338" i="56"/>
  <c r="R324" i="56"/>
  <c r="R317" i="56"/>
  <c r="R329" i="56"/>
  <c r="R318" i="56"/>
  <c r="R335" i="56"/>
  <c r="R348" i="56"/>
  <c r="R326" i="56"/>
  <c r="R319" i="56"/>
  <c r="R353" i="56"/>
  <c r="R234" i="56"/>
  <c r="R257" i="56"/>
  <c r="R244" i="56"/>
  <c r="R241" i="56"/>
  <c r="R247" i="56"/>
  <c r="R254" i="56"/>
  <c r="R239" i="56"/>
  <c r="R246" i="56"/>
  <c r="R238" i="56"/>
  <c r="R98" i="56"/>
  <c r="R95" i="56"/>
  <c r="R83" i="56"/>
  <c r="R96" i="56"/>
  <c r="R71" i="56"/>
  <c r="R94" i="56"/>
  <c r="R81" i="56"/>
  <c r="R85" i="56"/>
  <c r="R79" i="56"/>
  <c r="R549" i="56"/>
  <c r="R557" i="56"/>
  <c r="R538" i="56"/>
  <c r="R552" i="56"/>
  <c r="R547" i="56"/>
  <c r="R553" i="56"/>
  <c r="R630" i="56"/>
  <c r="R621" i="56"/>
  <c r="R641" i="56"/>
  <c r="R637" i="56"/>
  <c r="R640" i="56"/>
  <c r="R624" i="56"/>
  <c r="R472" i="56"/>
  <c r="R491" i="56"/>
  <c r="R475" i="56"/>
  <c r="R477" i="56"/>
  <c r="R490" i="56"/>
  <c r="R263" i="56"/>
  <c r="R283" i="56"/>
  <c r="R269" i="56"/>
  <c r="R272" i="56"/>
  <c r="R840" i="56"/>
  <c r="R868" i="56"/>
  <c r="R852" i="56"/>
  <c r="R842" i="56"/>
  <c r="R235" i="56"/>
  <c r="R242" i="56"/>
  <c r="R251" i="56"/>
  <c r="R248" i="56"/>
  <c r="R236" i="56"/>
  <c r="R255" i="56"/>
  <c r="R245" i="56"/>
  <c r="R253" i="56"/>
  <c r="R91" i="56"/>
  <c r="R88" i="56"/>
  <c r="R73" i="56"/>
  <c r="R75" i="56"/>
  <c r="R558" i="56"/>
  <c r="R551" i="56"/>
  <c r="R546" i="56"/>
  <c r="R642" i="56"/>
  <c r="R634" i="56"/>
  <c r="R631" i="56"/>
  <c r="R836" i="56"/>
  <c r="R850" i="56"/>
  <c r="R855" i="56"/>
  <c r="R447" i="56"/>
  <c r="R434" i="56"/>
  <c r="R785" i="56"/>
  <c r="R806" i="56"/>
  <c r="R781" i="56"/>
  <c r="R794" i="56"/>
  <c r="R662" i="56"/>
  <c r="R660" i="56"/>
  <c r="R664" i="56"/>
  <c r="R654" i="56"/>
  <c r="R358" i="56"/>
  <c r="R370" i="56"/>
  <c r="R372" i="56"/>
  <c r="R380" i="56"/>
  <c r="R328" i="56"/>
  <c r="R352" i="56"/>
  <c r="R350" i="56"/>
  <c r="R332" i="56"/>
  <c r="R322" i="56"/>
  <c r="R456" i="56"/>
  <c r="R481" i="56"/>
  <c r="R473" i="56"/>
  <c r="R284" i="56"/>
  <c r="R275" i="56"/>
  <c r="R743" i="56"/>
  <c r="R747" i="56"/>
  <c r="R773" i="56"/>
  <c r="R758" i="56"/>
  <c r="R580" i="56"/>
  <c r="R570" i="56"/>
  <c r="R588" i="56"/>
  <c r="R587" i="56"/>
  <c r="R293" i="56"/>
  <c r="R294" i="56"/>
  <c r="R307" i="56"/>
  <c r="R700" i="56"/>
  <c r="R432" i="56"/>
  <c r="R420" i="56"/>
  <c r="R429" i="56"/>
  <c r="R430" i="56"/>
  <c r="R424" i="56"/>
  <c r="R197" i="56"/>
  <c r="R176" i="56"/>
  <c r="R181" i="56"/>
  <c r="R48" i="56"/>
  <c r="R67" i="56"/>
  <c r="R584" i="56"/>
  <c r="R576" i="56"/>
  <c r="R574" i="56"/>
  <c r="R583" i="56"/>
  <c r="R562" i="56"/>
  <c r="R582" i="56"/>
  <c r="R567" i="56"/>
  <c r="R586" i="56"/>
  <c r="R559" i="56"/>
  <c r="R426" i="56"/>
  <c r="R417" i="56"/>
  <c r="R391" i="56"/>
  <c r="R431" i="56"/>
  <c r="R395" i="56"/>
  <c r="R392" i="56"/>
  <c r="R393" i="56"/>
  <c r="R419" i="56"/>
  <c r="R406" i="56"/>
  <c r="R416" i="56"/>
  <c r="R409" i="56"/>
  <c r="R418" i="56"/>
  <c r="R387" i="56"/>
  <c r="R400" i="56"/>
  <c r="R399" i="56"/>
  <c r="R388" i="56"/>
  <c r="R411" i="56"/>
  <c r="R386" i="56"/>
  <c r="R422" i="56"/>
  <c r="R403" i="56"/>
  <c r="R408" i="56"/>
  <c r="R407" i="56"/>
  <c r="R390" i="56"/>
  <c r="R423" i="56"/>
  <c r="R174" i="56"/>
  <c r="R198" i="56"/>
  <c r="R182" i="56"/>
  <c r="R185" i="56"/>
  <c r="R193" i="56"/>
  <c r="R188" i="56"/>
  <c r="R173" i="56"/>
  <c r="R177" i="56"/>
  <c r="R183" i="56"/>
  <c r="R194" i="56"/>
  <c r="R171" i="56"/>
  <c r="R199" i="56"/>
  <c r="R178" i="56"/>
  <c r="R189" i="56"/>
  <c r="R190" i="56"/>
  <c r="R200" i="56"/>
  <c r="R287" i="56"/>
  <c r="R292" i="56"/>
  <c r="R289" i="56"/>
  <c r="R306" i="56"/>
  <c r="R303" i="56"/>
  <c r="R310" i="56"/>
  <c r="R308" i="56"/>
  <c r="R299" i="56"/>
  <c r="R300" i="56"/>
  <c r="R305" i="56"/>
  <c r="R291" i="56"/>
  <c r="R301" i="56"/>
  <c r="R290" i="56"/>
  <c r="R312" i="56"/>
  <c r="R58" i="56"/>
  <c r="R50" i="56"/>
  <c r="R60" i="56"/>
  <c r="R53" i="56"/>
  <c r="R68" i="56"/>
  <c r="R59" i="56"/>
  <c r="R64" i="56"/>
  <c r="R49" i="56"/>
  <c r="R62" i="56"/>
  <c r="R63" i="56"/>
  <c r="R66" i="56"/>
  <c r="R51" i="56"/>
  <c r="R54" i="56"/>
  <c r="R730" i="56"/>
  <c r="R746" i="56"/>
  <c r="R757" i="56"/>
  <c r="R769" i="56"/>
  <c r="R763" i="56"/>
  <c r="R777" i="56"/>
  <c r="R775" i="56"/>
  <c r="R750" i="56"/>
  <c r="R749" i="56"/>
  <c r="R776" i="56"/>
  <c r="R560" i="56"/>
  <c r="R585" i="56"/>
  <c r="R568" i="56"/>
  <c r="R578" i="56"/>
  <c r="R561" i="56"/>
  <c r="R573" i="56"/>
  <c r="R569" i="56"/>
  <c r="R566" i="56"/>
  <c r="R589" i="56"/>
  <c r="R572" i="56"/>
  <c r="R565" i="56"/>
  <c r="R297" i="56"/>
  <c r="R288" i="56"/>
  <c r="R296" i="56"/>
  <c r="R313" i="56"/>
  <c r="R298" i="56"/>
  <c r="R311" i="56"/>
  <c r="R304" i="56"/>
  <c r="R309" i="56"/>
  <c r="R415" i="56"/>
  <c r="R427" i="56"/>
  <c r="R397" i="56"/>
  <c r="R398" i="56"/>
  <c r="R425" i="56"/>
  <c r="R401" i="56"/>
  <c r="R413" i="56"/>
  <c r="R402" i="56"/>
  <c r="R389" i="56"/>
  <c r="R421" i="56"/>
  <c r="R394" i="56"/>
  <c r="R414" i="56"/>
  <c r="R175" i="56"/>
  <c r="R179" i="56"/>
  <c r="R196" i="56"/>
  <c r="R201" i="56"/>
  <c r="R195" i="56"/>
  <c r="R184" i="56"/>
  <c r="R170" i="56"/>
  <c r="R191" i="56"/>
  <c r="R47" i="56"/>
  <c r="R61" i="56"/>
  <c r="R65" i="56"/>
  <c r="R57" i="56"/>
  <c r="R70" i="56"/>
  <c r="R56" i="56"/>
  <c r="R498" i="56"/>
  <c r="R533" i="56"/>
  <c r="R524" i="56"/>
  <c r="R832" i="56"/>
  <c r="R822" i="56"/>
  <c r="R716" i="56"/>
  <c r="R703" i="56"/>
  <c r="R685" i="56"/>
  <c r="R207" i="56"/>
  <c r="R213" i="56"/>
  <c r="R209" i="56"/>
  <c r="R151" i="56"/>
  <c r="R145" i="56"/>
  <c r="R143" i="56"/>
  <c r="R619" i="56"/>
  <c r="R617" i="56"/>
  <c r="R648" i="56"/>
  <c r="R650" i="56"/>
  <c r="R618" i="56"/>
  <c r="R649" i="56"/>
  <c r="R645" i="56"/>
  <c r="R646" i="56"/>
  <c r="R643" i="56"/>
  <c r="R638" i="56"/>
  <c r="R457" i="56"/>
  <c r="R455" i="56"/>
  <c r="R467" i="56"/>
  <c r="R494" i="56"/>
  <c r="R497" i="56"/>
  <c r="R484" i="56"/>
  <c r="R480" i="56"/>
  <c r="R476" i="56"/>
  <c r="R463" i="56"/>
  <c r="R460" i="56"/>
  <c r="R478" i="56"/>
  <c r="R464" i="56"/>
  <c r="R471" i="56"/>
  <c r="R485" i="56"/>
  <c r="R492" i="56"/>
  <c r="R461" i="56"/>
  <c r="R496" i="56"/>
  <c r="R459" i="56"/>
  <c r="R468" i="56"/>
  <c r="R487" i="56"/>
  <c r="R466" i="56"/>
  <c r="R271" i="56"/>
  <c r="R273" i="56"/>
  <c r="R268" i="56"/>
  <c r="R260" i="56"/>
  <c r="R281" i="56"/>
  <c r="R279" i="56"/>
  <c r="R267" i="56"/>
  <c r="R282" i="56"/>
  <c r="R265" i="56"/>
  <c r="R286" i="56"/>
  <c r="R285" i="56"/>
  <c r="R270" i="56"/>
  <c r="R266" i="56"/>
  <c r="R276" i="56"/>
  <c r="R259" i="56"/>
  <c r="R859" i="56"/>
  <c r="R841" i="56"/>
  <c r="R854" i="56"/>
  <c r="R849" i="56"/>
  <c r="R838" i="56"/>
  <c r="R860" i="56"/>
  <c r="R858" i="56"/>
  <c r="R853" i="56"/>
  <c r="R865" i="56"/>
  <c r="R861" i="56"/>
  <c r="R845" i="56"/>
  <c r="R847" i="56"/>
  <c r="R863" i="56"/>
  <c r="R870" i="56"/>
  <c r="R867" i="56"/>
  <c r="R844" i="56"/>
  <c r="R839" i="56"/>
  <c r="R869" i="56"/>
  <c r="R740" i="56"/>
  <c r="R727" i="56"/>
  <c r="R744" i="56"/>
  <c r="R733" i="56"/>
  <c r="R774" i="56"/>
  <c r="R752" i="56"/>
  <c r="R768" i="56"/>
  <c r="R756" i="56"/>
  <c r="R759" i="56"/>
  <c r="R772" i="56"/>
  <c r="R762" i="56"/>
  <c r="R760" i="56"/>
  <c r="R751" i="56"/>
  <c r="R764" i="56"/>
  <c r="R754" i="56"/>
  <c r="R766" i="56"/>
  <c r="R771" i="56"/>
  <c r="R755" i="56"/>
  <c r="R765" i="56"/>
  <c r="R89" i="56"/>
  <c r="R78" i="56"/>
  <c r="R90" i="56"/>
  <c r="R76" i="56"/>
  <c r="R74" i="56"/>
  <c r="R80" i="56"/>
  <c r="R84" i="56"/>
  <c r="R97" i="56"/>
  <c r="R99" i="56"/>
  <c r="R77" i="56"/>
  <c r="R86" i="56"/>
  <c r="R93" i="56"/>
  <c r="R82" i="56"/>
  <c r="R539" i="56"/>
  <c r="R541" i="56"/>
  <c r="R545" i="56"/>
  <c r="R550" i="56"/>
  <c r="R540" i="56"/>
  <c r="R544" i="56"/>
  <c r="R543" i="56"/>
  <c r="R554" i="56"/>
  <c r="R556" i="56"/>
  <c r="R636" i="56"/>
  <c r="R628" i="56"/>
  <c r="R623" i="56"/>
  <c r="R632" i="56"/>
  <c r="R622" i="56"/>
  <c r="R635" i="56"/>
  <c r="R639" i="56"/>
  <c r="R620" i="56"/>
  <c r="R633" i="56"/>
  <c r="R644" i="56"/>
  <c r="R647" i="56"/>
  <c r="R625" i="56"/>
  <c r="R843" i="56"/>
  <c r="R866" i="56"/>
  <c r="R846" i="56"/>
  <c r="R837" i="56"/>
  <c r="R856" i="56"/>
  <c r="R848" i="56"/>
  <c r="R851" i="56"/>
  <c r="R862" i="56"/>
  <c r="R525" i="56"/>
  <c r="R502" i="56"/>
  <c r="R831" i="56"/>
  <c r="R706" i="56"/>
  <c r="R216" i="56"/>
  <c r="R163" i="56"/>
  <c r="R488" i="56"/>
  <c r="R486" i="56"/>
  <c r="R469" i="56"/>
  <c r="R474" i="56"/>
  <c r="R489" i="56"/>
  <c r="R493" i="56"/>
  <c r="R483" i="56"/>
  <c r="R482" i="56"/>
  <c r="R470" i="56"/>
  <c r="R465" i="56"/>
  <c r="R462" i="56"/>
  <c r="R274" i="56"/>
  <c r="R264" i="56"/>
  <c r="R280" i="56"/>
  <c r="R277" i="56"/>
  <c r="R261" i="56"/>
  <c r="R258" i="56"/>
  <c r="R278" i="56"/>
  <c r="R745" i="56"/>
  <c r="R717" i="56"/>
  <c r="R737" i="56"/>
  <c r="R728" i="56"/>
  <c r="R725" i="56"/>
  <c r="R735" i="56"/>
  <c r="R724" i="56"/>
  <c r="R537" i="56"/>
  <c r="R520" i="56"/>
  <c r="R509" i="56"/>
  <c r="R531" i="56"/>
  <c r="R815" i="56"/>
  <c r="R834" i="56"/>
  <c r="R701" i="56"/>
  <c r="R707" i="56"/>
  <c r="R711" i="56"/>
  <c r="R202" i="56"/>
  <c r="R224" i="56"/>
  <c r="R206" i="56"/>
  <c r="R161" i="56"/>
  <c r="R157" i="56"/>
  <c r="R147" i="56"/>
  <c r="R528" i="56"/>
  <c r="R534" i="56"/>
  <c r="R519" i="56"/>
  <c r="R527" i="56"/>
  <c r="R536" i="56"/>
  <c r="R522" i="56"/>
  <c r="R511" i="56"/>
  <c r="R518" i="56"/>
  <c r="R523" i="56"/>
  <c r="R505" i="56"/>
  <c r="R521" i="56"/>
  <c r="R510" i="56"/>
  <c r="R530" i="56"/>
  <c r="R508" i="56"/>
  <c r="R516" i="56"/>
  <c r="R512" i="56"/>
  <c r="R514" i="56"/>
  <c r="R504" i="56"/>
  <c r="R513" i="56"/>
  <c r="R517" i="56"/>
  <c r="R835" i="56"/>
  <c r="R826" i="56"/>
  <c r="R830" i="56"/>
  <c r="R820" i="56"/>
  <c r="R828" i="56"/>
  <c r="R821" i="56"/>
  <c r="R819" i="56"/>
  <c r="R812" i="56"/>
  <c r="R825" i="56"/>
  <c r="R814" i="56"/>
  <c r="R809" i="56"/>
  <c r="R818" i="56"/>
  <c r="R823" i="56"/>
  <c r="R833" i="56"/>
  <c r="R697" i="56"/>
  <c r="R714" i="56"/>
  <c r="R682" i="56"/>
  <c r="R710" i="56"/>
  <c r="R690" i="56"/>
  <c r="R693" i="56"/>
  <c r="R684" i="56"/>
  <c r="R694" i="56"/>
  <c r="R715" i="56"/>
  <c r="R691" i="56"/>
  <c r="R686" i="56"/>
  <c r="R683" i="56"/>
  <c r="R688" i="56"/>
  <c r="R708" i="56"/>
  <c r="R705" i="56"/>
  <c r="R699" i="56"/>
  <c r="R695" i="56"/>
  <c r="R692" i="56"/>
  <c r="R214" i="56"/>
  <c r="R231" i="56"/>
  <c r="R223" i="56"/>
  <c r="R211" i="56"/>
  <c r="R208" i="56"/>
  <c r="R212" i="56"/>
  <c r="R227" i="56"/>
  <c r="R222" i="56"/>
  <c r="R226" i="56"/>
  <c r="R210" i="56"/>
  <c r="R220" i="56"/>
  <c r="R221" i="56"/>
  <c r="R228" i="56"/>
  <c r="R232" i="56"/>
  <c r="R217" i="56"/>
  <c r="R229" i="56"/>
  <c r="R168" i="56"/>
  <c r="R152" i="56"/>
  <c r="R160" i="56"/>
  <c r="R154" i="56"/>
  <c r="R166" i="56"/>
  <c r="R149" i="56"/>
  <c r="R162" i="56"/>
  <c r="R155" i="56"/>
  <c r="R156" i="56"/>
  <c r="R144" i="56"/>
  <c r="R140" i="56"/>
  <c r="R158" i="56"/>
  <c r="R169" i="56"/>
  <c r="R153" i="56"/>
  <c r="R165" i="56"/>
  <c r="R732" i="56"/>
  <c r="R726" i="56"/>
  <c r="R723" i="56"/>
  <c r="R729" i="56"/>
  <c r="R719" i="56"/>
  <c r="R731" i="56"/>
  <c r="R734" i="56"/>
  <c r="R721" i="56"/>
  <c r="R742" i="56"/>
  <c r="R722" i="56"/>
  <c r="R739" i="56"/>
  <c r="R736" i="56"/>
  <c r="R720" i="56"/>
  <c r="R738" i="56"/>
  <c r="R506" i="56"/>
  <c r="R501" i="56"/>
  <c r="R500" i="56"/>
  <c r="R503" i="56"/>
  <c r="R526" i="56"/>
  <c r="R507" i="56"/>
  <c r="R535" i="56"/>
  <c r="R529" i="56"/>
  <c r="R499" i="56"/>
  <c r="R532" i="56"/>
  <c r="R824" i="56"/>
  <c r="R811" i="56"/>
  <c r="R810" i="56"/>
  <c r="R827" i="56"/>
  <c r="R829" i="56"/>
  <c r="R816" i="56"/>
  <c r="R817" i="56"/>
  <c r="R709" i="56"/>
  <c r="R704" i="56"/>
  <c r="R687" i="56"/>
  <c r="R681" i="56"/>
  <c r="R712" i="56"/>
  <c r="R696" i="56"/>
  <c r="R698" i="56"/>
  <c r="R689" i="56"/>
  <c r="R713" i="56"/>
  <c r="R225" i="56"/>
  <c r="R233" i="56"/>
  <c r="R219" i="56"/>
  <c r="R203" i="56"/>
  <c r="R204" i="56"/>
  <c r="R205" i="56"/>
  <c r="R218" i="56"/>
  <c r="R230" i="56"/>
  <c r="R141" i="56"/>
  <c r="R150" i="56"/>
  <c r="R139" i="56"/>
  <c r="R159" i="56"/>
  <c r="R167" i="56"/>
  <c r="R142" i="56"/>
  <c r="R164" i="56"/>
  <c r="R148" i="56"/>
  <c r="R445" i="56"/>
  <c r="R437" i="56"/>
  <c r="R436" i="56"/>
  <c r="R449" i="56"/>
  <c r="R443" i="56"/>
  <c r="R451" i="56"/>
  <c r="R444" i="56"/>
  <c r="R453" i="56"/>
  <c r="R433" i="56"/>
  <c r="R454" i="56"/>
  <c r="R799" i="56"/>
  <c r="R796" i="56"/>
  <c r="R782" i="56"/>
  <c r="R791" i="56"/>
  <c r="R779" i="56"/>
  <c r="R808" i="56"/>
  <c r="R778" i="56"/>
  <c r="R786" i="56"/>
  <c r="R787" i="56"/>
  <c r="R790" i="56"/>
  <c r="R792" i="56"/>
  <c r="R804" i="56"/>
  <c r="R800" i="56"/>
  <c r="R783" i="56"/>
  <c r="R795" i="56"/>
  <c r="R657" i="56"/>
  <c r="R668" i="56"/>
  <c r="R676" i="56"/>
  <c r="R658" i="56"/>
  <c r="R669" i="56"/>
  <c r="R674" i="56"/>
  <c r="R656" i="56"/>
  <c r="R670" i="56"/>
  <c r="R652" i="56"/>
  <c r="R680" i="56"/>
  <c r="R655" i="56"/>
  <c r="R671" i="56"/>
  <c r="R661" i="56"/>
  <c r="R677" i="56"/>
  <c r="R360" i="56"/>
  <c r="R359" i="56"/>
  <c r="R366" i="56"/>
  <c r="R363" i="56"/>
  <c r="R383" i="56"/>
  <c r="R377" i="56"/>
  <c r="R364" i="56"/>
  <c r="R355" i="56"/>
  <c r="R379" i="56"/>
  <c r="R371" i="56"/>
  <c r="R362" i="56"/>
  <c r="R381" i="56"/>
  <c r="R375" i="56"/>
  <c r="R368" i="56"/>
  <c r="R333" i="56"/>
  <c r="R354" i="56"/>
  <c r="R325" i="56"/>
  <c r="R330" i="56"/>
  <c r="R321" i="56"/>
  <c r="R339" i="56"/>
  <c r="R327" i="56"/>
  <c r="R349" i="56"/>
  <c r="R342" i="56"/>
  <c r="R341" i="56"/>
  <c r="R345" i="56"/>
  <c r="R337" i="56"/>
  <c r="R344" i="56"/>
  <c r="R343" i="56"/>
  <c r="R347" i="56"/>
  <c r="R340" i="56"/>
  <c r="R351" i="56"/>
  <c r="R600" i="56"/>
  <c r="R595" i="56"/>
  <c r="R608" i="56"/>
  <c r="R607" i="56"/>
  <c r="R605" i="56"/>
  <c r="R614" i="56"/>
  <c r="R611" i="56"/>
  <c r="R596" i="56"/>
  <c r="R590" i="56"/>
  <c r="R602" i="56"/>
  <c r="R599" i="56"/>
  <c r="R593" i="56"/>
  <c r="R604" i="56"/>
  <c r="R615" i="56"/>
  <c r="R601" i="56"/>
  <c r="R603" i="56"/>
  <c r="R598" i="56"/>
  <c r="R612" i="56"/>
  <c r="R592" i="56"/>
  <c r="R613" i="56"/>
  <c r="R594" i="56"/>
  <c r="R606" i="56"/>
  <c r="R610" i="56"/>
  <c r="R616" i="56"/>
  <c r="R591" i="56"/>
  <c r="R597" i="56"/>
  <c r="R609" i="56"/>
  <c r="R11" i="56"/>
  <c r="R25" i="56"/>
  <c r="R7" i="56"/>
  <c r="R28" i="56"/>
  <c r="R37" i="56"/>
  <c r="R19" i="56"/>
  <c r="R23" i="56"/>
  <c r="R16" i="56"/>
  <c r="R14" i="56"/>
  <c r="R27" i="56"/>
  <c r="R29" i="56"/>
  <c r="R24" i="56"/>
  <c r="R40" i="56"/>
  <c r="R33" i="56"/>
  <c r="R41" i="56"/>
  <c r="R34" i="56"/>
  <c r="R39" i="56"/>
  <c r="R8" i="56"/>
  <c r="R6" i="56"/>
  <c r="R35" i="56"/>
  <c r="R30" i="56"/>
  <c r="R20" i="56"/>
  <c r="R42" i="56"/>
  <c r="R31" i="56"/>
  <c r="R17" i="56"/>
  <c r="R38" i="56"/>
  <c r="R32" i="56"/>
  <c r="R22" i="56"/>
  <c r="R43" i="56"/>
  <c r="R21" i="56"/>
  <c r="R15" i="56"/>
  <c r="R18" i="56"/>
  <c r="R13" i="56"/>
  <c r="R26" i="56"/>
  <c r="R10" i="56"/>
  <c r="R9" i="56"/>
  <c r="R45" i="56"/>
  <c r="R12" i="56"/>
  <c r="R36" i="56"/>
  <c r="R44" i="56"/>
  <c r="R131" i="56"/>
  <c r="R126" i="56"/>
  <c r="R129" i="56"/>
  <c r="R100" i="56"/>
  <c r="R120" i="56"/>
  <c r="R114" i="56"/>
  <c r="R110" i="56"/>
  <c r="R137" i="56"/>
  <c r="R123" i="56"/>
  <c r="R127" i="56"/>
  <c r="R104" i="56"/>
  <c r="R133" i="56"/>
  <c r="R116" i="56"/>
  <c r="R102" i="56"/>
  <c r="R106" i="56"/>
  <c r="R122" i="56"/>
  <c r="R111" i="56"/>
  <c r="R134" i="56"/>
  <c r="R128" i="56"/>
  <c r="R118" i="56"/>
  <c r="R119" i="56"/>
  <c r="R112" i="56"/>
  <c r="R117" i="56"/>
  <c r="R108" i="56"/>
  <c r="R121" i="56"/>
  <c r="R130" i="56"/>
  <c r="R136" i="56"/>
  <c r="R132" i="56"/>
  <c r="R101" i="56"/>
  <c r="R135" i="56"/>
  <c r="R124" i="56"/>
  <c r="R103" i="56"/>
  <c r="R105" i="56"/>
  <c r="R125" i="56"/>
  <c r="R138" i="56"/>
  <c r="R107" i="56"/>
  <c r="R109" i="56"/>
  <c r="R113" i="56"/>
  <c r="R115" i="56"/>
  <c r="Z26" i="56" l="1"/>
  <c r="Y26" i="56"/>
  <c r="Y12" i="56"/>
  <c r="Z12" i="56"/>
  <c r="Z21" i="56"/>
  <c r="Y21" i="56"/>
  <c r="Y27" i="56"/>
  <c r="Z27" i="56"/>
  <c r="Z327" i="56"/>
  <c r="Y327" i="56"/>
  <c r="Y383" i="56"/>
  <c r="Z383" i="56"/>
  <c r="Z676" i="56"/>
  <c r="Z453" i="56"/>
  <c r="Y453" i="56"/>
  <c r="Z150" i="56"/>
  <c r="Y687" i="56"/>
  <c r="Z687" i="56"/>
  <c r="Z503" i="56"/>
  <c r="Y503" i="56"/>
  <c r="Y726" i="56"/>
  <c r="Z726" i="56"/>
  <c r="Z162" i="56"/>
  <c r="Z223" i="56"/>
  <c r="Y223" i="56"/>
  <c r="Z688" i="56"/>
  <c r="Y688" i="56"/>
  <c r="Z697" i="56"/>
  <c r="Y697" i="56"/>
  <c r="Y513" i="56"/>
  <c r="Z513" i="56"/>
  <c r="Y511" i="56"/>
  <c r="Z511" i="56"/>
  <c r="Z157" i="56"/>
  <c r="Y520" i="56"/>
  <c r="Z520" i="56"/>
  <c r="Z258" i="56"/>
  <c r="Y258" i="56"/>
  <c r="Z489" i="56"/>
  <c r="Y489" i="56"/>
  <c r="Y851" i="56"/>
  <c r="Z851" i="56"/>
  <c r="Y639" i="56"/>
  <c r="Z639" i="56"/>
  <c r="Z82" i="56"/>
  <c r="Z89" i="56"/>
  <c r="Z759" i="56"/>
  <c r="Y867" i="56"/>
  <c r="Z867" i="56"/>
  <c r="Y854" i="56"/>
  <c r="Z854" i="56"/>
  <c r="Z279" i="56"/>
  <c r="Y279" i="56"/>
  <c r="Z492" i="56"/>
  <c r="Y492" i="56"/>
  <c r="Y643" i="56"/>
  <c r="Z643" i="56"/>
  <c r="Y209" i="56"/>
  <c r="Z209" i="56"/>
  <c r="Z70" i="56"/>
  <c r="Y70" i="56"/>
  <c r="Y175" i="56"/>
  <c r="Z175" i="56"/>
  <c r="Y415" i="56"/>
  <c r="Z415" i="56"/>
  <c r="Y578" i="56"/>
  <c r="Z578" i="56"/>
  <c r="Y746" i="56"/>
  <c r="Z746" i="56"/>
  <c r="Z290" i="56"/>
  <c r="Z287" i="56"/>
  <c r="Y193" i="56"/>
  <c r="Z193" i="56"/>
  <c r="Z408" i="56"/>
  <c r="Y408" i="56"/>
  <c r="Y387" i="56"/>
  <c r="Z387" i="56"/>
  <c r="Y395" i="56"/>
  <c r="Z395" i="56"/>
  <c r="Y582" i="56"/>
  <c r="Z582" i="56"/>
  <c r="Z700" i="56"/>
  <c r="Y700" i="56"/>
  <c r="Z44" i="56"/>
  <c r="Z9" i="56"/>
  <c r="Y9" i="56"/>
  <c r="Y18" i="56"/>
  <c r="Z18" i="56"/>
  <c r="Y22" i="56"/>
  <c r="Z22" i="56"/>
  <c r="Y31" i="56"/>
  <c r="Z31" i="56"/>
  <c r="Z35" i="56"/>
  <c r="Y35" i="56"/>
  <c r="Z34" i="56"/>
  <c r="Y24" i="56"/>
  <c r="Z24" i="56"/>
  <c r="Y16" i="56"/>
  <c r="Z16" i="56"/>
  <c r="Z28" i="56"/>
  <c r="Y28" i="56"/>
  <c r="Y351" i="56"/>
  <c r="Z351" i="56"/>
  <c r="Z344" i="56"/>
  <c r="Y344" i="56"/>
  <c r="Z342" i="56"/>
  <c r="Y342" i="56"/>
  <c r="Z321" i="56"/>
  <c r="Y321" i="56"/>
  <c r="Z333" i="56"/>
  <c r="Y333" i="56"/>
  <c r="Y362" i="56"/>
  <c r="Z362" i="56"/>
  <c r="Y364" i="56"/>
  <c r="Z364" i="56"/>
  <c r="Y366" i="56"/>
  <c r="Z366" i="56"/>
  <c r="Z661" i="56"/>
  <c r="Z652" i="56"/>
  <c r="Z669" i="56"/>
  <c r="Z657" i="56"/>
  <c r="Z804" i="56"/>
  <c r="Y804" i="56"/>
  <c r="Y786" i="56"/>
  <c r="Z786" i="56"/>
  <c r="Z791" i="56"/>
  <c r="Y791" i="56"/>
  <c r="Z454" i="56"/>
  <c r="Y454" i="56"/>
  <c r="Y451" i="56"/>
  <c r="Z451" i="56"/>
  <c r="Y437" i="56"/>
  <c r="Z437" i="56"/>
  <c r="Z148" i="56"/>
  <c r="Z159" i="56"/>
  <c r="Z230" i="56"/>
  <c r="Y230" i="56"/>
  <c r="Y203" i="56"/>
  <c r="Z203" i="56"/>
  <c r="Y713" i="56"/>
  <c r="Z713" i="56"/>
  <c r="Z712" i="56"/>
  <c r="Y712" i="56"/>
  <c r="Z709" i="56"/>
  <c r="Y709" i="56"/>
  <c r="Z827" i="56"/>
  <c r="Z532" i="56"/>
  <c r="Y532" i="56"/>
  <c r="Y507" i="56"/>
  <c r="Z507" i="56"/>
  <c r="Y501" i="56"/>
  <c r="Z501" i="56"/>
  <c r="Y736" i="56"/>
  <c r="Z736" i="56"/>
  <c r="Y721" i="56"/>
  <c r="Z721" i="56"/>
  <c r="Z729" i="56"/>
  <c r="Y729" i="56"/>
  <c r="Z169" i="56"/>
  <c r="Z156" i="56"/>
  <c r="Z166" i="56"/>
  <c r="Z168" i="56"/>
  <c r="Z228" i="56"/>
  <c r="Y228" i="56"/>
  <c r="Z226" i="56"/>
  <c r="Y226" i="56"/>
  <c r="Y208" i="56"/>
  <c r="Z208" i="56"/>
  <c r="Z214" i="56"/>
  <c r="Y214" i="56"/>
  <c r="Y705" i="56"/>
  <c r="Z705" i="56"/>
  <c r="Z686" i="56"/>
  <c r="Y686" i="56"/>
  <c r="Z684" i="56"/>
  <c r="Y684" i="56"/>
  <c r="Z682" i="56"/>
  <c r="Y682" i="56"/>
  <c r="Z823" i="56"/>
  <c r="Z825" i="56"/>
  <c r="Z828" i="56"/>
  <c r="Y514" i="56"/>
  <c r="Z514" i="56"/>
  <c r="Y530" i="56"/>
  <c r="Z530" i="56"/>
  <c r="Z523" i="56"/>
  <c r="Y523" i="56"/>
  <c r="Y536" i="56"/>
  <c r="Z536" i="56"/>
  <c r="Y528" i="56"/>
  <c r="Z528" i="56"/>
  <c r="Y206" i="56"/>
  <c r="Z206" i="56"/>
  <c r="Y707" i="56"/>
  <c r="Z707" i="56"/>
  <c r="Z531" i="56"/>
  <c r="Y531" i="56"/>
  <c r="Y724" i="56"/>
  <c r="Z724" i="56"/>
  <c r="Z737" i="56"/>
  <c r="Y737" i="56"/>
  <c r="Y277" i="56"/>
  <c r="Z277" i="56"/>
  <c r="Y462" i="56"/>
  <c r="Z462" i="56"/>
  <c r="Z483" i="56"/>
  <c r="Y483" i="56"/>
  <c r="Y469" i="56"/>
  <c r="Z469" i="56"/>
  <c r="Y216" i="56"/>
  <c r="Z216" i="56"/>
  <c r="Y525" i="56"/>
  <c r="Z525" i="56"/>
  <c r="Z856" i="56"/>
  <c r="Y856" i="56"/>
  <c r="Y633" i="56"/>
  <c r="Z633" i="56"/>
  <c r="Z622" i="56"/>
  <c r="Y622" i="56"/>
  <c r="Y636" i="56"/>
  <c r="Z636" i="56"/>
  <c r="Z544" i="56"/>
  <c r="Y544" i="56"/>
  <c r="Y541" i="56"/>
  <c r="Z541" i="56"/>
  <c r="Z86" i="56"/>
  <c r="Z84" i="56"/>
  <c r="Z90" i="56"/>
  <c r="Z765" i="56"/>
  <c r="Z754" i="56"/>
  <c r="Z762" i="56"/>
  <c r="Z768" i="56"/>
  <c r="Y744" i="56"/>
  <c r="Z744" i="56"/>
  <c r="Z839" i="56"/>
  <c r="Y839" i="56"/>
  <c r="Z863" i="56"/>
  <c r="Y863" i="56"/>
  <c r="Y838" i="56"/>
  <c r="Z838" i="56"/>
  <c r="Z859" i="56"/>
  <c r="Y859" i="56"/>
  <c r="Z270" i="56"/>
  <c r="Y270" i="56"/>
  <c r="Y282" i="56"/>
  <c r="Z282" i="56"/>
  <c r="Y260" i="56"/>
  <c r="Z260" i="56"/>
  <c r="Z466" i="56"/>
  <c r="Y466" i="56"/>
  <c r="Y471" i="56"/>
  <c r="Z471" i="56"/>
  <c r="Y463" i="56"/>
  <c r="Z463" i="56"/>
  <c r="Y497" i="56"/>
  <c r="Z497" i="56"/>
  <c r="Y457" i="56"/>
  <c r="Z457" i="56"/>
  <c r="Z645" i="56"/>
  <c r="Y645" i="56"/>
  <c r="Y648" i="56"/>
  <c r="Z648" i="56"/>
  <c r="Z145" i="56"/>
  <c r="Y207" i="56"/>
  <c r="Z207" i="56"/>
  <c r="Z822" i="56"/>
  <c r="Z498" i="56"/>
  <c r="Y498" i="56"/>
  <c r="Z65" i="56"/>
  <c r="Y65" i="56"/>
  <c r="Z170" i="56"/>
  <c r="Y170" i="56"/>
  <c r="Z196" i="56"/>
  <c r="Y196" i="56"/>
  <c r="Z397" i="56"/>
  <c r="Y397" i="56"/>
  <c r="Z304" i="56"/>
  <c r="Z296" i="56"/>
  <c r="Y572" i="56"/>
  <c r="Z572" i="56"/>
  <c r="Y573" i="56"/>
  <c r="Z573" i="56"/>
  <c r="Y585" i="56"/>
  <c r="Z585" i="56"/>
  <c r="Z750" i="56"/>
  <c r="Z769" i="56"/>
  <c r="Y54" i="56"/>
  <c r="Z54" i="56"/>
  <c r="Z62" i="56"/>
  <c r="Y62" i="56"/>
  <c r="Z68" i="56"/>
  <c r="Y68" i="56"/>
  <c r="Y58" i="56"/>
  <c r="Z58" i="56"/>
  <c r="Z291" i="56"/>
  <c r="Z308" i="56"/>
  <c r="Z289" i="56"/>
  <c r="Y190" i="56"/>
  <c r="Z190" i="56"/>
  <c r="Z171" i="56"/>
  <c r="Y171" i="56"/>
  <c r="Y173" i="56"/>
  <c r="Z173" i="56"/>
  <c r="Z182" i="56"/>
  <c r="Y182" i="56"/>
  <c r="Y390" i="56"/>
  <c r="Z390" i="56"/>
  <c r="Y422" i="56"/>
  <c r="Z422" i="56"/>
  <c r="Y399" i="56"/>
  <c r="Z399" i="56"/>
  <c r="Y393" i="56"/>
  <c r="Z393" i="56"/>
  <c r="Y586" i="56"/>
  <c r="Z586" i="56"/>
  <c r="Y583" i="56"/>
  <c r="Z583" i="56"/>
  <c r="Z67" i="56"/>
  <c r="Y67" i="56"/>
  <c r="Y197" i="56"/>
  <c r="Z197" i="56"/>
  <c r="Z420" i="56"/>
  <c r="Y420" i="56"/>
  <c r="Z294" i="56"/>
  <c r="Y570" i="56"/>
  <c r="Z570" i="56"/>
  <c r="Z747" i="56"/>
  <c r="Y473" i="56"/>
  <c r="Z473" i="56"/>
  <c r="Y380" i="56"/>
  <c r="Z380" i="56"/>
  <c r="Z654" i="56"/>
  <c r="Z794" i="56"/>
  <c r="Y794" i="56"/>
  <c r="Z434" i="56"/>
  <c r="Y434" i="56"/>
  <c r="Y836" i="56"/>
  <c r="Z836" i="56"/>
  <c r="Y546" i="56"/>
  <c r="Z546" i="56"/>
  <c r="Z73" i="56"/>
  <c r="Z283" i="56"/>
  <c r="Y283" i="56"/>
  <c r="Y475" i="56"/>
  <c r="Z475" i="56"/>
  <c r="Z640" i="56"/>
  <c r="Y640" i="56"/>
  <c r="Z630" i="56"/>
  <c r="Y630" i="56"/>
  <c r="Z538" i="56"/>
  <c r="Y538" i="56"/>
  <c r="Z85" i="56"/>
  <c r="Z96" i="56"/>
  <c r="Y348" i="56"/>
  <c r="Z348" i="56"/>
  <c r="Y317" i="56"/>
  <c r="Z317" i="56"/>
  <c r="Y378" i="56"/>
  <c r="Z378" i="56"/>
  <c r="Z369" i="56"/>
  <c r="Y369" i="56"/>
  <c r="Z667" i="56"/>
  <c r="Z679" i="56"/>
  <c r="Z653" i="56"/>
  <c r="Y807" i="56"/>
  <c r="Z807" i="56"/>
  <c r="Z439" i="56"/>
  <c r="Y439" i="56"/>
  <c r="Y69" i="56"/>
  <c r="Z69" i="56"/>
  <c r="Y396" i="56"/>
  <c r="Z396" i="56"/>
  <c r="Z314" i="56"/>
  <c r="Z767" i="56"/>
  <c r="Y382" i="56"/>
  <c r="Z382" i="56"/>
  <c r="Y187" i="56"/>
  <c r="Z187" i="56"/>
  <c r="Z761" i="56"/>
  <c r="Z316" i="56"/>
  <c r="Y564" i="56"/>
  <c r="Z564" i="56"/>
  <c r="Y357" i="56"/>
  <c r="Z357" i="56"/>
  <c r="Z627" i="56"/>
  <c r="Y627" i="56"/>
  <c r="Z320" i="56"/>
  <c r="Y320" i="56"/>
  <c r="Z542" i="56"/>
  <c r="Y542" i="56"/>
  <c r="Z38" i="56"/>
  <c r="Y38" i="56"/>
  <c r="Y19" i="56"/>
  <c r="Z19" i="56"/>
  <c r="Y325" i="56"/>
  <c r="Z325" i="56"/>
  <c r="Y360" i="56"/>
  <c r="Z360" i="56"/>
  <c r="Z783" i="56"/>
  <c r="Y783" i="56"/>
  <c r="Z796" i="56"/>
  <c r="Y796" i="56"/>
  <c r="Y205" i="56"/>
  <c r="Z205" i="56"/>
  <c r="Z816" i="56"/>
  <c r="Y738" i="56"/>
  <c r="Z738" i="56"/>
  <c r="Z165" i="56"/>
  <c r="Z160" i="56"/>
  <c r="Y227" i="56"/>
  <c r="Z227" i="56"/>
  <c r="Y715" i="56"/>
  <c r="Z715" i="56"/>
  <c r="Y690" i="56"/>
  <c r="Z690" i="56"/>
  <c r="Z516" i="56"/>
  <c r="Y516" i="56"/>
  <c r="Z519" i="56"/>
  <c r="Y519" i="56"/>
  <c r="Z834" i="56"/>
  <c r="Y745" i="56"/>
  <c r="Z745" i="56"/>
  <c r="Z470" i="56"/>
  <c r="Y470" i="56"/>
  <c r="Z831" i="56"/>
  <c r="Y846" i="56"/>
  <c r="Z846" i="56"/>
  <c r="Z623" i="56"/>
  <c r="Y623" i="56"/>
  <c r="Z550" i="56"/>
  <c r="Y550" i="56"/>
  <c r="Z74" i="56"/>
  <c r="Z751" i="56"/>
  <c r="Z740" i="56"/>
  <c r="Y740" i="56"/>
  <c r="Z845" i="56"/>
  <c r="Y845" i="56"/>
  <c r="Y276" i="56"/>
  <c r="Z276" i="56"/>
  <c r="Y273" i="56"/>
  <c r="Z273" i="56"/>
  <c r="Y478" i="56"/>
  <c r="Z478" i="56"/>
  <c r="Y467" i="56"/>
  <c r="Z467" i="56"/>
  <c r="Y619" i="56"/>
  <c r="Z619" i="56"/>
  <c r="Z703" i="56"/>
  <c r="Y703" i="56"/>
  <c r="Z47" i="56"/>
  <c r="Y47" i="56"/>
  <c r="Y389" i="56"/>
  <c r="Z389" i="56"/>
  <c r="Z298" i="56"/>
  <c r="Z566" i="56"/>
  <c r="Y566" i="56"/>
  <c r="Z777" i="56"/>
  <c r="Y64" i="56"/>
  <c r="Z64" i="56"/>
  <c r="Z60" i="56"/>
  <c r="Y60" i="56"/>
  <c r="Z303" i="56"/>
  <c r="Y183" i="56"/>
  <c r="Z183" i="56"/>
  <c r="Z181" i="56"/>
  <c r="Y181" i="56"/>
  <c r="Z36" i="56"/>
  <c r="Y36" i="56"/>
  <c r="Y10" i="56"/>
  <c r="Z10" i="56"/>
  <c r="Y15" i="56"/>
  <c r="Z15" i="56"/>
  <c r="Y32" i="56"/>
  <c r="Z32" i="56"/>
  <c r="Z42" i="56"/>
  <c r="Y42" i="56"/>
  <c r="Z6" i="56"/>
  <c r="Y6" i="56"/>
  <c r="Z41" i="56"/>
  <c r="Z29" i="56"/>
  <c r="Y29" i="56"/>
  <c r="Y23" i="56"/>
  <c r="Z23" i="56"/>
  <c r="Y7" i="56"/>
  <c r="Z7" i="56"/>
  <c r="Y340" i="56"/>
  <c r="Z340" i="56"/>
  <c r="Z349" i="56"/>
  <c r="Y349" i="56"/>
  <c r="Y330" i="56"/>
  <c r="Z330" i="56"/>
  <c r="Z368" i="56"/>
  <c r="Y368" i="56"/>
  <c r="Z371" i="56"/>
  <c r="Y371" i="56"/>
  <c r="Z377" i="56"/>
  <c r="Y377" i="56"/>
  <c r="Y359" i="56"/>
  <c r="Z359" i="56"/>
  <c r="Z671" i="56"/>
  <c r="Z670" i="56"/>
  <c r="Z658" i="56"/>
  <c r="Y795" i="56"/>
  <c r="Z795" i="56"/>
  <c r="Z792" i="56"/>
  <c r="Y792" i="56"/>
  <c r="Y778" i="56"/>
  <c r="Z778" i="56"/>
  <c r="Y782" i="56"/>
  <c r="Z782" i="56"/>
  <c r="Y433" i="56"/>
  <c r="Z433" i="56"/>
  <c r="Y443" i="56"/>
  <c r="Z443" i="56"/>
  <c r="Y445" i="56"/>
  <c r="Z445" i="56"/>
  <c r="Z164" i="56"/>
  <c r="Z139" i="56"/>
  <c r="Y218" i="56"/>
  <c r="Z218" i="56"/>
  <c r="Y219" i="56"/>
  <c r="Z219" i="56"/>
  <c r="Y689" i="56"/>
  <c r="Z689" i="56"/>
  <c r="Y681" i="56"/>
  <c r="Z681" i="56"/>
  <c r="Z817" i="56"/>
  <c r="Z810" i="56"/>
  <c r="Y499" i="56"/>
  <c r="Z499" i="56"/>
  <c r="Y526" i="56"/>
  <c r="Z526" i="56"/>
  <c r="Y506" i="56"/>
  <c r="Z506" i="56"/>
  <c r="Z739" i="56"/>
  <c r="Y739" i="56"/>
  <c r="Z734" i="56"/>
  <c r="Y734" i="56"/>
  <c r="Z723" i="56"/>
  <c r="Y723" i="56"/>
  <c r="Z158" i="56"/>
  <c r="Z155" i="56"/>
  <c r="Z154" i="56"/>
  <c r="Z229" i="56"/>
  <c r="Y229" i="56"/>
  <c r="Y221" i="56"/>
  <c r="Z221" i="56"/>
  <c r="Y222" i="56"/>
  <c r="Z222" i="56"/>
  <c r="Y211" i="56"/>
  <c r="Z211" i="56"/>
  <c r="Y692" i="56"/>
  <c r="Z692" i="56"/>
  <c r="Z708" i="56"/>
  <c r="Y708" i="56"/>
  <c r="Y691" i="56"/>
  <c r="Z691" i="56"/>
  <c r="Y693" i="56"/>
  <c r="Z693" i="56"/>
  <c r="Y714" i="56"/>
  <c r="Z714" i="56"/>
  <c r="Z818" i="56"/>
  <c r="Z812" i="56"/>
  <c r="Z820" i="56"/>
  <c r="Y517" i="56"/>
  <c r="Z517" i="56"/>
  <c r="Y512" i="56"/>
  <c r="Z512" i="56"/>
  <c r="Z510" i="56"/>
  <c r="Y510" i="56"/>
  <c r="Z518" i="56"/>
  <c r="Y518" i="56"/>
  <c r="Y527" i="56"/>
  <c r="Z527" i="56"/>
  <c r="Z147" i="56"/>
  <c r="Z224" i="56"/>
  <c r="Y224" i="56"/>
  <c r="Y701" i="56"/>
  <c r="Z701" i="56"/>
  <c r="Y509" i="56"/>
  <c r="Z509" i="56"/>
  <c r="Z735" i="56"/>
  <c r="Y735" i="56"/>
  <c r="Y717" i="56"/>
  <c r="Z717" i="56"/>
  <c r="Y278" i="56"/>
  <c r="Z278" i="56"/>
  <c r="Z280" i="56"/>
  <c r="Y280" i="56"/>
  <c r="Y465" i="56"/>
  <c r="Z465" i="56"/>
  <c r="Y706" i="56"/>
  <c r="Z706" i="56"/>
  <c r="Z862" i="56"/>
  <c r="Y862" i="56"/>
  <c r="Y837" i="56"/>
  <c r="Z837" i="56"/>
  <c r="Y625" i="56"/>
  <c r="Z625" i="56"/>
  <c r="Y620" i="56"/>
  <c r="Z620" i="56"/>
  <c r="Y632" i="56"/>
  <c r="Z632" i="56"/>
  <c r="Z556" i="56"/>
  <c r="Y540" i="56"/>
  <c r="Z540" i="56"/>
  <c r="Z539" i="56"/>
  <c r="Y539" i="56"/>
  <c r="Z77" i="56"/>
  <c r="Z80" i="56"/>
  <c r="Z78" i="56"/>
  <c r="Z755" i="56"/>
  <c r="Z764" i="56"/>
  <c r="Z772" i="56"/>
  <c r="Z752" i="56"/>
  <c r="Y727" i="56"/>
  <c r="Z727" i="56"/>
  <c r="Y847" i="56"/>
  <c r="Z847" i="56"/>
  <c r="Z853" i="56"/>
  <c r="Y853" i="56"/>
  <c r="Z849" i="56"/>
  <c r="Y849" i="56"/>
  <c r="Y259" i="56"/>
  <c r="Z259" i="56"/>
  <c r="Y285" i="56"/>
  <c r="Z285" i="56"/>
  <c r="Z267" i="56"/>
  <c r="Y267" i="56"/>
  <c r="Y268" i="56"/>
  <c r="Z268" i="56"/>
  <c r="Z487" i="56"/>
  <c r="Y487" i="56"/>
  <c r="Z461" i="56"/>
  <c r="Y461" i="56"/>
  <c r="Y464" i="56"/>
  <c r="Z464" i="56"/>
  <c r="Z476" i="56"/>
  <c r="Y476" i="56"/>
  <c r="Y494" i="56"/>
  <c r="Z494" i="56"/>
  <c r="Y638" i="56"/>
  <c r="Z638" i="56"/>
  <c r="Y649" i="56"/>
  <c r="Z649" i="56"/>
  <c r="Y617" i="56"/>
  <c r="Z617" i="56"/>
  <c r="Z151" i="56"/>
  <c r="Z685" i="56"/>
  <c r="Y685" i="56"/>
  <c r="Z832" i="56"/>
  <c r="Y56" i="56"/>
  <c r="Z56" i="56"/>
  <c r="Y61" i="56"/>
  <c r="Z61" i="56"/>
  <c r="Z184" i="56"/>
  <c r="Y184" i="56"/>
  <c r="Y179" i="56"/>
  <c r="Z179" i="56"/>
  <c r="Y421" i="56"/>
  <c r="Z421" i="56"/>
  <c r="Y427" i="56"/>
  <c r="Z427" i="56"/>
  <c r="Z311" i="56"/>
  <c r="Z288" i="56"/>
  <c r="Y589" i="56"/>
  <c r="Z589" i="56"/>
  <c r="Y561" i="56"/>
  <c r="Z561" i="56"/>
  <c r="Y560" i="56"/>
  <c r="Z560" i="56"/>
  <c r="Z775" i="56"/>
  <c r="Z757" i="56"/>
  <c r="Y51" i="56"/>
  <c r="Z51" i="56"/>
  <c r="Y49" i="56"/>
  <c r="Z49" i="56"/>
  <c r="Y53" i="56"/>
  <c r="Z53" i="56"/>
  <c r="Z312" i="56"/>
  <c r="Z305" i="56"/>
  <c r="Z310" i="56"/>
  <c r="Z292" i="56"/>
  <c r="Z189" i="56"/>
  <c r="Y189" i="56"/>
  <c r="Z194" i="56"/>
  <c r="Y194" i="56"/>
  <c r="Y188" i="56"/>
  <c r="Z188" i="56"/>
  <c r="Y198" i="56"/>
  <c r="Z198" i="56"/>
  <c r="Y400" i="56"/>
  <c r="Z400" i="56"/>
  <c r="Y392" i="56"/>
  <c r="Z392" i="56"/>
  <c r="Y567" i="56"/>
  <c r="Z567" i="56"/>
  <c r="Y574" i="56"/>
  <c r="Z574" i="56"/>
  <c r="Z48" i="56"/>
  <c r="Y48" i="56"/>
  <c r="Z424" i="56"/>
  <c r="Y424" i="56"/>
  <c r="Y432" i="56"/>
  <c r="Z432" i="56"/>
  <c r="Z293" i="56"/>
  <c r="Y580" i="56"/>
  <c r="Z580" i="56"/>
  <c r="Y743" i="56"/>
  <c r="Z743" i="56"/>
  <c r="Y481" i="56"/>
  <c r="Z481" i="56"/>
  <c r="Z350" i="56"/>
  <c r="Y350" i="56"/>
  <c r="Z372" i="56"/>
  <c r="Y372" i="56"/>
  <c r="Z664" i="56"/>
  <c r="Z781" i="56"/>
  <c r="Y781" i="56"/>
  <c r="Y447" i="56"/>
  <c r="Z447" i="56"/>
  <c r="Y631" i="56"/>
  <c r="Z631" i="56"/>
  <c r="Z551" i="56"/>
  <c r="Y551" i="56"/>
  <c r="Z88" i="56"/>
  <c r="Y840" i="56"/>
  <c r="Z840" i="56"/>
  <c r="Z263" i="56"/>
  <c r="Y263" i="56"/>
  <c r="Z637" i="56"/>
  <c r="Y637" i="56"/>
  <c r="Z553" i="56"/>
  <c r="Y553" i="56"/>
  <c r="Y557" i="56"/>
  <c r="Z557" i="56"/>
  <c r="Z81" i="56"/>
  <c r="Z83" i="56"/>
  <c r="Y353" i="56"/>
  <c r="Z353" i="56"/>
  <c r="Y335" i="56"/>
  <c r="Z335" i="56"/>
  <c r="Y324" i="56"/>
  <c r="Z324" i="56"/>
  <c r="Y361" i="56"/>
  <c r="Z361" i="56"/>
  <c r="Y374" i="56"/>
  <c r="Z374" i="56"/>
  <c r="Z659" i="56"/>
  <c r="Z678" i="56"/>
  <c r="Y793" i="56"/>
  <c r="Z793" i="56"/>
  <c r="Z801" i="56"/>
  <c r="Y801" i="56"/>
  <c r="Z448" i="56"/>
  <c r="Y448" i="56"/>
  <c r="Y442" i="56"/>
  <c r="Z442" i="56"/>
  <c r="Z55" i="56"/>
  <c r="Y55" i="56"/>
  <c r="Y428" i="56"/>
  <c r="Z428" i="56"/>
  <c r="Z575" i="56"/>
  <c r="Y575" i="56"/>
  <c r="Z748" i="56"/>
  <c r="Z797" i="56"/>
  <c r="Y797" i="56"/>
  <c r="Z718" i="56"/>
  <c r="Y718" i="56"/>
  <c r="Y581" i="56"/>
  <c r="Z581" i="56"/>
  <c r="Z770" i="56"/>
  <c r="Z673" i="56"/>
  <c r="Y555" i="56"/>
  <c r="Z555" i="56"/>
  <c r="Z675" i="56"/>
  <c r="Z379" i="56"/>
  <c r="Y379" i="56"/>
  <c r="Z656" i="56"/>
  <c r="Z808" i="56"/>
  <c r="Y808" i="56"/>
  <c r="Z142" i="56"/>
  <c r="Z698" i="56"/>
  <c r="Y698" i="56"/>
  <c r="Z811" i="56"/>
  <c r="Z722" i="56"/>
  <c r="Y722" i="56"/>
  <c r="Z217" i="56"/>
  <c r="Y217" i="56"/>
  <c r="Z819" i="56"/>
  <c r="Y587" i="56"/>
  <c r="Z587" i="56"/>
  <c r="Z758" i="56"/>
  <c r="Z275" i="56"/>
  <c r="Y275" i="56"/>
  <c r="Y456" i="56"/>
  <c r="Z456" i="56"/>
  <c r="Y352" i="56"/>
  <c r="Z352" i="56"/>
  <c r="Y370" i="56"/>
  <c r="Z370" i="56"/>
  <c r="Z660" i="56"/>
  <c r="Y806" i="56"/>
  <c r="Z806" i="56"/>
  <c r="Y855" i="56"/>
  <c r="Z855" i="56"/>
  <c r="Y634" i="56"/>
  <c r="Z634" i="56"/>
  <c r="Y558" i="56"/>
  <c r="Z558" i="56"/>
  <c r="Z91" i="56"/>
  <c r="Y842" i="56"/>
  <c r="Z842" i="56"/>
  <c r="Z272" i="56"/>
  <c r="Y272" i="56"/>
  <c r="Y490" i="56"/>
  <c r="Z490" i="56"/>
  <c r="Y472" i="56"/>
  <c r="Z472" i="56"/>
  <c r="Z641" i="56"/>
  <c r="Y641" i="56"/>
  <c r="Z547" i="56"/>
  <c r="Y547" i="56"/>
  <c r="Y549" i="56"/>
  <c r="Z549" i="56"/>
  <c r="Z94" i="56"/>
  <c r="Z95" i="56"/>
  <c r="Z319" i="56"/>
  <c r="Y319" i="56"/>
  <c r="Y318" i="56"/>
  <c r="Z318" i="56"/>
  <c r="Y338" i="56"/>
  <c r="Z338" i="56"/>
  <c r="Z367" i="56"/>
  <c r="Y367" i="56"/>
  <c r="Y365" i="56"/>
  <c r="Z365" i="56"/>
  <c r="Z666" i="56"/>
  <c r="Z665" i="56"/>
  <c r="Z780" i="56"/>
  <c r="Y780" i="56"/>
  <c r="Z805" i="56"/>
  <c r="Y805" i="56"/>
  <c r="Y435" i="56"/>
  <c r="Z435" i="56"/>
  <c r="Z441" i="56"/>
  <c r="Y441" i="56"/>
  <c r="Z180" i="56"/>
  <c r="Y180" i="56"/>
  <c r="Z410" i="56"/>
  <c r="Y410" i="56"/>
  <c r="Y579" i="56"/>
  <c r="Z579" i="56"/>
  <c r="Y346" i="56"/>
  <c r="Z346" i="56"/>
  <c r="Y438" i="56"/>
  <c r="Z438" i="56"/>
  <c r="Z243" i="56"/>
  <c r="Z295" i="56"/>
  <c r="Y192" i="56"/>
  <c r="Z192" i="56"/>
  <c r="Y788" i="56"/>
  <c r="Z788" i="56"/>
  <c r="Z92" i="56"/>
  <c r="Z72" i="56"/>
  <c r="Y20" i="56"/>
  <c r="Z20" i="56"/>
  <c r="Y33" i="56"/>
  <c r="Z33" i="56"/>
  <c r="Z25" i="56"/>
  <c r="Y25" i="56"/>
  <c r="Y347" i="56"/>
  <c r="Z347" i="56"/>
  <c r="Y375" i="56"/>
  <c r="Z375" i="56"/>
  <c r="Z655" i="56"/>
  <c r="Y790" i="56"/>
  <c r="Z790" i="56"/>
  <c r="Z449" i="56"/>
  <c r="Y449" i="56"/>
  <c r="Y233" i="56"/>
  <c r="Z233" i="56"/>
  <c r="Z529" i="56"/>
  <c r="Y529" i="56"/>
  <c r="Z731" i="56"/>
  <c r="Y731" i="56"/>
  <c r="Z140" i="56"/>
  <c r="Y220" i="56"/>
  <c r="Z220" i="56"/>
  <c r="Y695" i="56"/>
  <c r="Z695" i="56"/>
  <c r="Z809" i="56"/>
  <c r="Z830" i="56"/>
  <c r="Y521" i="56"/>
  <c r="Z521" i="56"/>
  <c r="Y202" i="56"/>
  <c r="Z202" i="56"/>
  <c r="Y725" i="56"/>
  <c r="Z725" i="56"/>
  <c r="Z264" i="56"/>
  <c r="Y264" i="56"/>
  <c r="Y488" i="56"/>
  <c r="Z488" i="56"/>
  <c r="Y647" i="56"/>
  <c r="Z647" i="56"/>
  <c r="Z554" i="56"/>
  <c r="Y554" i="56"/>
  <c r="Z99" i="56"/>
  <c r="Z771" i="56"/>
  <c r="Z774" i="56"/>
  <c r="Z286" i="56"/>
  <c r="Y286" i="56"/>
  <c r="Y468" i="56"/>
  <c r="Z468" i="56"/>
  <c r="Z618" i="56"/>
  <c r="Y618" i="56"/>
  <c r="Y524" i="56"/>
  <c r="Z524" i="56"/>
  <c r="Y195" i="56"/>
  <c r="Z195" i="56"/>
  <c r="Z425" i="56"/>
  <c r="Y425" i="56"/>
  <c r="Z297" i="56"/>
  <c r="Z776" i="56"/>
  <c r="Y66" i="56"/>
  <c r="Z66" i="56"/>
  <c r="Z300" i="56"/>
  <c r="Y178" i="56"/>
  <c r="Z178" i="56"/>
  <c r="Y174" i="56"/>
  <c r="Z174" i="56"/>
  <c r="Z411" i="56"/>
  <c r="Y411" i="56"/>
  <c r="Z406" i="56"/>
  <c r="Y406" i="56"/>
  <c r="Y576" i="56"/>
  <c r="Z576" i="56"/>
  <c r="Y45" i="56"/>
  <c r="Z45" i="56"/>
  <c r="Z13" i="56"/>
  <c r="Y43" i="56"/>
  <c r="Z43" i="56"/>
  <c r="Y17" i="56"/>
  <c r="Z17" i="56"/>
  <c r="Y30" i="56"/>
  <c r="Z30" i="56"/>
  <c r="Z39" i="56"/>
  <c r="Z40" i="56"/>
  <c r="Y40" i="56"/>
  <c r="Z14" i="56"/>
  <c r="Y14" i="56"/>
  <c r="Z37" i="56"/>
  <c r="Y37" i="56"/>
  <c r="Y11" i="56"/>
  <c r="Z11" i="56"/>
  <c r="Z343" i="56"/>
  <c r="Y343" i="56"/>
  <c r="Y341" i="56"/>
  <c r="Z341" i="56"/>
  <c r="Z339" i="56"/>
  <c r="Y339" i="56"/>
  <c r="Y354" i="56"/>
  <c r="Z354" i="56"/>
  <c r="Z381" i="56"/>
  <c r="Y381" i="56"/>
  <c r="Y355" i="56"/>
  <c r="Z355" i="56"/>
  <c r="Z363" i="56"/>
  <c r="Y363" i="56"/>
  <c r="Z677" i="56"/>
  <c r="Z680" i="56"/>
  <c r="Z674" i="56"/>
  <c r="Z668" i="56"/>
  <c r="Y800" i="56"/>
  <c r="Z800" i="56"/>
  <c r="Z787" i="56"/>
  <c r="Y787" i="56"/>
  <c r="Y779" i="56"/>
  <c r="Z779" i="56"/>
  <c r="Z799" i="56"/>
  <c r="Y799" i="56"/>
  <c r="Y444" i="56"/>
  <c r="Z444" i="56"/>
  <c r="Y436" i="56"/>
  <c r="Z436" i="56"/>
  <c r="Z167" i="56"/>
  <c r="Z141" i="56"/>
  <c r="Z204" i="56"/>
  <c r="Y204" i="56"/>
  <c r="Z225" i="56"/>
  <c r="Y225" i="56"/>
  <c r="Y696" i="56"/>
  <c r="Z696" i="56"/>
  <c r="Y704" i="56"/>
  <c r="Z704" i="56"/>
  <c r="Z829" i="56"/>
  <c r="Z824" i="56"/>
  <c r="Z535" i="56"/>
  <c r="Y535" i="56"/>
  <c r="Y500" i="56"/>
  <c r="Z500" i="56"/>
  <c r="Z720" i="56"/>
  <c r="Y720" i="56"/>
  <c r="Z742" i="56"/>
  <c r="Y742" i="56"/>
  <c r="Y719" i="56"/>
  <c r="Z719" i="56"/>
  <c r="Y732" i="56"/>
  <c r="Z732" i="56"/>
  <c r="Z153" i="56"/>
  <c r="Z144" i="56"/>
  <c r="Z149" i="56"/>
  <c r="Z152" i="56"/>
  <c r="Z232" i="56"/>
  <c r="Y232" i="56"/>
  <c r="Y210" i="56"/>
  <c r="Z210" i="56"/>
  <c r="Y212" i="56"/>
  <c r="Z212" i="56"/>
  <c r="Y231" i="56"/>
  <c r="Z231" i="56"/>
  <c r="Z699" i="56"/>
  <c r="Y699" i="56"/>
  <c r="Y683" i="56"/>
  <c r="Z683" i="56"/>
  <c r="Z694" i="56"/>
  <c r="Y694" i="56"/>
  <c r="Z710" i="56"/>
  <c r="Y710" i="56"/>
  <c r="Z833" i="56"/>
  <c r="Z814" i="56"/>
  <c r="Z821" i="56"/>
  <c r="Z826" i="56"/>
  <c r="Y504" i="56"/>
  <c r="Z504" i="56"/>
  <c r="Z508" i="56"/>
  <c r="Y508" i="56"/>
  <c r="Y505" i="56"/>
  <c r="Z505" i="56"/>
  <c r="Y522" i="56"/>
  <c r="Z522" i="56"/>
  <c r="Z534" i="56"/>
  <c r="Y534" i="56"/>
  <c r="Z161" i="56"/>
  <c r="Y711" i="56"/>
  <c r="Z711" i="56"/>
  <c r="Z815" i="56"/>
  <c r="Z537" i="56"/>
  <c r="Y537" i="56"/>
  <c r="Z728" i="56"/>
  <c r="Y728" i="56"/>
  <c r="Y261" i="56"/>
  <c r="Z261" i="56"/>
  <c r="Y274" i="56"/>
  <c r="Z274" i="56"/>
  <c r="Y474" i="56"/>
  <c r="Z474" i="56"/>
  <c r="Z163" i="56"/>
  <c r="Y502" i="56"/>
  <c r="Z502" i="56"/>
  <c r="Y848" i="56"/>
  <c r="Z848" i="56"/>
  <c r="Y866" i="56"/>
  <c r="Z866" i="56"/>
  <c r="Z644" i="56"/>
  <c r="Y644" i="56"/>
  <c r="Y635" i="56"/>
  <c r="Z635" i="56"/>
  <c r="Y628" i="56"/>
  <c r="Z628" i="56"/>
  <c r="Y543" i="56"/>
  <c r="Z543" i="56"/>
  <c r="Z545" i="56"/>
  <c r="Y545" i="56"/>
  <c r="Z93" i="56"/>
  <c r="Z97" i="56"/>
  <c r="Z76" i="56"/>
  <c r="Z766" i="56"/>
  <c r="Z760" i="56"/>
  <c r="Z756" i="56"/>
  <c r="Z733" i="56"/>
  <c r="Y733" i="56"/>
  <c r="Z869" i="56"/>
  <c r="Y869" i="56"/>
  <c r="Y870" i="56"/>
  <c r="Z870" i="56"/>
  <c r="Y861" i="56"/>
  <c r="Z861" i="56"/>
  <c r="Z860" i="56"/>
  <c r="Y860" i="56"/>
  <c r="Y841" i="56"/>
  <c r="Z841" i="56"/>
  <c r="Z266" i="56"/>
  <c r="Y266" i="56"/>
  <c r="Y265" i="56"/>
  <c r="Z265" i="56"/>
  <c r="Y281" i="56"/>
  <c r="Z281" i="56"/>
  <c r="Z271" i="56"/>
  <c r="Y271" i="56"/>
  <c r="Y485" i="56"/>
  <c r="Z485" i="56"/>
  <c r="Z460" i="56"/>
  <c r="Y460" i="56"/>
  <c r="Z455" i="56"/>
  <c r="Y455" i="56"/>
  <c r="Y646" i="56"/>
  <c r="Z646" i="56"/>
  <c r="Z650" i="56"/>
  <c r="Y650" i="56"/>
  <c r="Z143" i="56"/>
  <c r="Y213" i="56"/>
  <c r="Z213" i="56"/>
  <c r="Z716" i="56"/>
  <c r="Y716" i="56"/>
  <c r="Y533" i="56"/>
  <c r="Z533" i="56"/>
  <c r="Z57" i="56"/>
  <c r="Y191" i="56"/>
  <c r="Z191" i="56"/>
  <c r="Z201" i="56"/>
  <c r="Y201" i="56"/>
  <c r="Z402" i="56"/>
  <c r="Y402" i="56"/>
  <c r="Y398" i="56"/>
  <c r="Z398" i="56"/>
  <c r="Z309" i="56"/>
  <c r="Z313" i="56"/>
  <c r="Y565" i="56"/>
  <c r="Z565" i="56"/>
  <c r="Y569" i="56"/>
  <c r="Z569" i="56"/>
  <c r="Z568" i="56"/>
  <c r="Y568" i="56"/>
  <c r="Z749" i="56"/>
  <c r="Z763" i="56"/>
  <c r="Z730" i="56"/>
  <c r="Y730" i="56"/>
  <c r="Y63" i="56"/>
  <c r="Z63" i="56"/>
  <c r="Y59" i="56"/>
  <c r="Z59" i="56"/>
  <c r="Z50" i="56"/>
  <c r="Y50" i="56"/>
  <c r="Z301" i="56"/>
  <c r="Z299" i="56"/>
  <c r="Z306" i="56"/>
  <c r="Z200" i="56"/>
  <c r="Y200" i="56"/>
  <c r="Y199" i="56"/>
  <c r="Z199" i="56"/>
  <c r="Y177" i="56"/>
  <c r="Z177" i="56"/>
  <c r="Y185" i="56"/>
  <c r="Z185" i="56"/>
  <c r="Y388" i="56"/>
  <c r="Z388" i="56"/>
  <c r="Y419" i="56"/>
  <c r="Z419" i="56"/>
  <c r="Y431" i="56"/>
  <c r="Z431" i="56"/>
  <c r="Z559" i="56"/>
  <c r="Y559" i="56"/>
  <c r="Y562" i="56"/>
  <c r="Z562" i="56"/>
  <c r="Z584" i="56"/>
  <c r="Y584" i="56"/>
  <c r="Y176" i="56"/>
  <c r="Z176" i="56"/>
  <c r="Z429" i="56"/>
  <c r="Y429" i="56"/>
  <c r="Z307" i="56"/>
  <c r="Y588" i="56"/>
  <c r="Z588" i="56"/>
  <c r="Z773" i="56"/>
  <c r="Z284" i="56"/>
  <c r="Y284" i="56"/>
  <c r="Y322" i="56"/>
  <c r="Z322" i="56"/>
  <c r="Z328" i="56"/>
  <c r="Y328" i="56"/>
  <c r="Y358" i="56"/>
  <c r="Z358" i="56"/>
  <c r="Z662" i="56"/>
  <c r="Y785" i="56"/>
  <c r="Z785" i="56"/>
  <c r="Z850" i="56"/>
  <c r="Y850" i="56"/>
  <c r="Y642" i="56"/>
  <c r="Z642" i="56"/>
  <c r="Z75" i="56"/>
  <c r="Y852" i="56"/>
  <c r="Z852" i="56"/>
  <c r="Y269" i="56"/>
  <c r="Z269" i="56"/>
  <c r="Y477" i="56"/>
  <c r="Z477" i="56"/>
  <c r="Y624" i="56"/>
  <c r="Z624" i="56"/>
  <c r="Y621" i="56"/>
  <c r="Z621" i="56"/>
  <c r="Z552" i="56"/>
  <c r="Y552" i="56"/>
  <c r="Z79" i="56"/>
  <c r="Z71" i="56"/>
  <c r="Z98" i="56"/>
  <c r="Y331" i="56"/>
  <c r="Z331" i="56"/>
  <c r="Y376" i="56"/>
  <c r="Z376" i="56"/>
  <c r="Z384" i="56"/>
  <c r="Y384" i="56"/>
  <c r="Z651" i="56"/>
  <c r="Z663" i="56"/>
  <c r="Z789" i="56"/>
  <c r="Y789" i="56"/>
  <c r="Y784" i="56"/>
  <c r="Z784" i="56"/>
  <c r="Z450" i="56"/>
  <c r="Y450" i="56"/>
  <c r="Y440" i="56"/>
  <c r="Z440" i="56"/>
  <c r="Z186" i="56"/>
  <c r="Y186" i="56"/>
  <c r="Z315" i="56"/>
  <c r="Y577" i="56"/>
  <c r="Z577" i="56"/>
  <c r="Z336" i="56"/>
  <c r="Y336" i="56"/>
  <c r="Y629" i="56"/>
  <c r="Z629" i="56"/>
  <c r="Z46" i="56"/>
  <c r="Y46" i="56"/>
  <c r="Y571" i="56"/>
  <c r="Z571" i="56"/>
  <c r="Y385" i="56"/>
  <c r="Z385" i="56"/>
  <c r="Z302" i="56"/>
  <c r="Y334" i="56"/>
  <c r="Z334" i="56"/>
  <c r="Y446" i="56"/>
  <c r="Z446" i="56"/>
  <c r="Y495" i="56"/>
  <c r="Z495" i="56"/>
  <c r="P448" i="56" l="1"/>
  <c r="P443" i="56"/>
  <c r="P453" i="56"/>
  <c r="P438" i="56"/>
  <c r="P446" i="56"/>
  <c r="P442" i="56"/>
  <c r="P818" i="56"/>
  <c r="P828" i="56"/>
  <c r="P835" i="56"/>
  <c r="P812" i="56"/>
  <c r="P827" i="56"/>
  <c r="P816" i="56"/>
  <c r="P831" i="56"/>
  <c r="P748" i="56"/>
  <c r="P770" i="56"/>
  <c r="P775" i="56"/>
  <c r="P749" i="56"/>
  <c r="P768" i="56"/>
  <c r="P762" i="56"/>
  <c r="P764" i="56"/>
  <c r="P755" i="56"/>
  <c r="P667" i="56"/>
  <c r="P673" i="56"/>
  <c r="P662" i="56"/>
  <c r="P660" i="56"/>
  <c r="P670" i="56"/>
  <c r="P671" i="56"/>
  <c r="P668" i="56"/>
  <c r="P674" i="56"/>
  <c r="P602" i="56"/>
  <c r="P595" i="56"/>
  <c r="P594" i="56"/>
  <c r="P611" i="56"/>
  <c r="P597" i="56"/>
  <c r="P598" i="56"/>
  <c r="P270" i="56"/>
  <c r="P282" i="56"/>
  <c r="P281" i="56"/>
  <c r="P271" i="56"/>
  <c r="P264" i="56"/>
  <c r="P277" i="56"/>
  <c r="P275" i="56"/>
  <c r="P89" i="56"/>
  <c r="P77" i="56"/>
  <c r="P98" i="56"/>
  <c r="P80" i="56"/>
  <c r="P91" i="56"/>
  <c r="P96" i="56"/>
  <c r="P95" i="56"/>
  <c r="P94" i="56"/>
  <c r="P547" i="56"/>
  <c r="P551" i="56"/>
  <c r="P546" i="56"/>
  <c r="P550" i="56"/>
  <c r="P543" i="56"/>
  <c r="P382" i="56"/>
  <c r="P371" i="56"/>
  <c r="P368" i="56"/>
  <c r="P373" i="56"/>
  <c r="P360" i="56"/>
  <c r="P372" i="56"/>
  <c r="P380" i="56"/>
  <c r="P383" i="56"/>
  <c r="P488" i="56"/>
  <c r="P469" i="56"/>
  <c r="P489" i="56"/>
  <c r="P463" i="56"/>
  <c r="P497" i="56"/>
  <c r="P457" i="56"/>
  <c r="P459" i="56"/>
  <c r="P485" i="56"/>
  <c r="P493" i="56"/>
  <c r="P482" i="56"/>
  <c r="P465" i="56"/>
  <c r="P169" i="56"/>
  <c r="P149" i="56"/>
  <c r="P155" i="56"/>
  <c r="P143" i="56"/>
  <c r="P163" i="56"/>
  <c r="P142" i="56"/>
  <c r="P148" i="56"/>
  <c r="P160" i="56"/>
  <c r="P353" i="56"/>
  <c r="P341" i="56"/>
  <c r="P343" i="56"/>
  <c r="P331" i="56"/>
  <c r="P327" i="56"/>
  <c r="P325" i="56"/>
  <c r="P332" i="56"/>
  <c r="P322" i="56"/>
  <c r="P326" i="56"/>
  <c r="P335" i="56"/>
  <c r="P525" i="56"/>
  <c r="P500" i="56"/>
  <c r="P526" i="56"/>
  <c r="P533" i="56"/>
  <c r="P502" i="56"/>
  <c r="P512" i="56"/>
  <c r="P510" i="56"/>
  <c r="P504" i="56"/>
  <c r="P536" i="56"/>
  <c r="P528" i="56"/>
  <c r="P731" i="56"/>
  <c r="P718" i="56"/>
  <c r="P746" i="56"/>
  <c r="P722" i="56"/>
  <c r="P738" i="56"/>
  <c r="P730" i="56"/>
  <c r="P799" i="56"/>
  <c r="P792" i="56"/>
  <c r="P795" i="56"/>
  <c r="P789" i="56"/>
  <c r="P801" i="56"/>
  <c r="P784" i="56"/>
  <c r="P808" i="56"/>
  <c r="P704" i="56"/>
  <c r="P708" i="56"/>
  <c r="P691" i="56"/>
  <c r="P684" i="56"/>
  <c r="P682" i="56"/>
  <c r="P681" i="56"/>
  <c r="P695" i="56"/>
  <c r="P703" i="56"/>
  <c r="P702" i="56"/>
  <c r="P233" i="56"/>
  <c r="P203" i="56"/>
  <c r="P205" i="56"/>
  <c r="P230" i="56"/>
  <c r="P232" i="56"/>
  <c r="P210" i="56"/>
  <c r="P212" i="56"/>
  <c r="P231" i="56"/>
  <c r="P314" i="56"/>
  <c r="P295" i="56"/>
  <c r="P311" i="56"/>
  <c r="P309" i="56"/>
  <c r="P291" i="56"/>
  <c r="P308" i="56"/>
  <c r="P303" i="56"/>
  <c r="P287" i="56"/>
  <c r="P868" i="56"/>
  <c r="P840" i="56"/>
  <c r="P842" i="56"/>
  <c r="P852" i="56"/>
  <c r="P836" i="56"/>
  <c r="P860" i="56"/>
  <c r="P841" i="56"/>
  <c r="P870" i="56"/>
  <c r="P861" i="56"/>
  <c r="P582" i="56"/>
  <c r="P576" i="56"/>
  <c r="P571" i="56"/>
  <c r="P567" i="56"/>
  <c r="P587" i="56"/>
  <c r="P563" i="56"/>
  <c r="P561" i="56"/>
  <c r="P566" i="56"/>
  <c r="P420" i="56"/>
  <c r="P399" i="56"/>
  <c r="P432" i="56"/>
  <c r="P386" i="56"/>
  <c r="P418" i="56"/>
  <c r="P401" i="56"/>
  <c r="P427" i="56"/>
  <c r="P392" i="56"/>
  <c r="P417" i="56"/>
  <c r="P403" i="56"/>
  <c r="P396" i="56"/>
  <c r="P412" i="56"/>
  <c r="P629" i="56"/>
  <c r="P627" i="56"/>
  <c r="P633" i="56"/>
  <c r="P647" i="56"/>
  <c r="P622" i="56"/>
  <c r="P634" i="56"/>
  <c r="P649" i="56"/>
  <c r="P617" i="56"/>
  <c r="P46" i="56"/>
  <c r="P69" i="56"/>
  <c r="P61" i="56"/>
  <c r="P54" i="56"/>
  <c r="P60" i="56"/>
  <c r="P63" i="56"/>
  <c r="P115" i="56"/>
  <c r="P135" i="56"/>
  <c r="P112" i="56"/>
  <c r="P122" i="56"/>
  <c r="P137" i="56"/>
  <c r="P109" i="56"/>
  <c r="P101" i="56"/>
  <c r="P119" i="56"/>
  <c r="P106" i="56"/>
  <c r="P110" i="56"/>
  <c r="P437" i="56"/>
  <c r="P451" i="56"/>
  <c r="P433" i="56"/>
  <c r="P435" i="56"/>
  <c r="P452" i="56"/>
  <c r="P833" i="56"/>
  <c r="P820" i="56"/>
  <c r="P809" i="56"/>
  <c r="P824" i="56"/>
  <c r="P822" i="56"/>
  <c r="P813" i="56"/>
  <c r="P810" i="56"/>
  <c r="P769" i="56"/>
  <c r="P777" i="56"/>
  <c r="P767" i="56"/>
  <c r="P761" i="56"/>
  <c r="P756" i="56"/>
  <c r="P760" i="56"/>
  <c r="P754" i="56"/>
  <c r="P765" i="56"/>
  <c r="P679" i="56"/>
  <c r="P665" i="56"/>
  <c r="P659" i="56"/>
  <c r="P651" i="56"/>
  <c r="P652" i="56"/>
  <c r="P661" i="56"/>
  <c r="P676" i="56"/>
  <c r="P656" i="56"/>
  <c r="P596" i="56"/>
  <c r="P609" i="56"/>
  <c r="P613" i="56"/>
  <c r="P604" i="56"/>
  <c r="P605" i="56"/>
  <c r="P616" i="56"/>
  <c r="P601" i="56"/>
  <c r="P285" i="56"/>
  <c r="P276" i="56"/>
  <c r="P260" i="56"/>
  <c r="P269" i="56"/>
  <c r="P274" i="56"/>
  <c r="P258" i="56"/>
  <c r="P85" i="56"/>
  <c r="P86" i="56"/>
  <c r="P90" i="56"/>
  <c r="P84" i="56"/>
  <c r="P72" i="56"/>
  <c r="P92" i="56"/>
  <c r="P87" i="56"/>
  <c r="P548" i="56"/>
  <c r="P538" i="56"/>
  <c r="P539" i="56"/>
  <c r="P540" i="56"/>
  <c r="P554" i="56"/>
  <c r="P378" i="56"/>
  <c r="P362" i="56"/>
  <c r="P384" i="56"/>
  <c r="P367" i="56"/>
  <c r="P374" i="56"/>
  <c r="P359" i="56"/>
  <c r="P377" i="56"/>
  <c r="P490" i="56"/>
  <c r="P477" i="56"/>
  <c r="P475" i="56"/>
  <c r="P476" i="56"/>
  <c r="P494" i="56"/>
  <c r="P456" i="56"/>
  <c r="P496" i="56"/>
  <c r="P471" i="56"/>
  <c r="P458" i="56"/>
  <c r="P473" i="56"/>
  <c r="P495" i="56"/>
  <c r="P140" i="56"/>
  <c r="P165" i="56"/>
  <c r="P162" i="56"/>
  <c r="P139" i="56"/>
  <c r="P167" i="56"/>
  <c r="P145" i="56"/>
  <c r="P146" i="56"/>
  <c r="P152" i="56"/>
  <c r="P319" i="56"/>
  <c r="P345" i="56"/>
  <c r="P347" i="56"/>
  <c r="P330" i="56"/>
  <c r="P349" i="56"/>
  <c r="P329" i="56"/>
  <c r="P324" i="56"/>
  <c r="P352" i="56"/>
  <c r="P350" i="56"/>
  <c r="P506" i="56"/>
  <c r="P520" i="56"/>
  <c r="P509" i="56"/>
  <c r="P535" i="56"/>
  <c r="P499" i="56"/>
  <c r="P517" i="56"/>
  <c r="P516" i="56"/>
  <c r="P521" i="56"/>
  <c r="P518" i="56"/>
  <c r="P527" i="56"/>
  <c r="P723" i="56"/>
  <c r="P734" i="56"/>
  <c r="P725" i="56"/>
  <c r="P724" i="56"/>
  <c r="P745" i="56"/>
  <c r="P739" i="56"/>
  <c r="P733" i="56"/>
  <c r="P737" i="56"/>
  <c r="P782" i="56"/>
  <c r="P804" i="56"/>
  <c r="P802" i="56"/>
  <c r="P797" i="56"/>
  <c r="P793" i="56"/>
  <c r="P788" i="56"/>
  <c r="P798" i="56"/>
  <c r="P778" i="56"/>
  <c r="P700" i="56"/>
  <c r="P687" i="56"/>
  <c r="P688" i="56"/>
  <c r="P715" i="56"/>
  <c r="P693" i="56"/>
  <c r="P714" i="56"/>
  <c r="P707" i="56"/>
  <c r="P696" i="56"/>
  <c r="P689" i="56"/>
  <c r="P215" i="56"/>
  <c r="P209" i="56"/>
  <c r="P216" i="56"/>
  <c r="P213" i="56"/>
  <c r="P228" i="56"/>
  <c r="P226" i="56"/>
  <c r="P208" i="56"/>
  <c r="P214" i="56"/>
  <c r="P296" i="56"/>
  <c r="P298" i="56"/>
  <c r="P315" i="56"/>
  <c r="P316" i="56"/>
  <c r="P305" i="56"/>
  <c r="P310" i="56"/>
  <c r="P306" i="56"/>
  <c r="P869" i="56"/>
  <c r="P848" i="56"/>
  <c r="P862" i="56"/>
  <c r="P866" i="56"/>
  <c r="P837" i="56"/>
  <c r="P865" i="56"/>
  <c r="P838" i="56"/>
  <c r="P859" i="56"/>
  <c r="P863" i="56"/>
  <c r="P560" i="56"/>
  <c r="P562" i="56"/>
  <c r="P584" i="56"/>
  <c r="P588" i="56"/>
  <c r="P589" i="56"/>
  <c r="P565" i="56"/>
  <c r="P573" i="56"/>
  <c r="P423" i="56"/>
  <c r="P397" i="56"/>
  <c r="P387" i="56"/>
  <c r="P415" i="56"/>
  <c r="P411" i="56"/>
  <c r="P429" i="56"/>
  <c r="P430" i="56"/>
  <c r="P406" i="56"/>
  <c r="P395" i="56"/>
  <c r="P426" i="56"/>
  <c r="P402" i="56"/>
  <c r="P421" i="56"/>
  <c r="P414" i="56"/>
  <c r="P640" i="56"/>
  <c r="P641" i="56"/>
  <c r="P621" i="56"/>
  <c r="P630" i="56"/>
  <c r="P628" i="56"/>
  <c r="P635" i="56"/>
  <c r="P643" i="56"/>
  <c r="P618" i="56"/>
  <c r="P619" i="56"/>
  <c r="P57" i="56"/>
  <c r="P56" i="56"/>
  <c r="P67" i="56"/>
  <c r="P59" i="56"/>
  <c r="P50" i="56"/>
  <c r="P62" i="56"/>
  <c r="P107" i="56"/>
  <c r="P132" i="56"/>
  <c r="P118" i="56"/>
  <c r="P102" i="56"/>
  <c r="P114" i="56"/>
  <c r="P138" i="56"/>
  <c r="P136" i="56"/>
  <c r="P116" i="56"/>
  <c r="P120" i="56"/>
  <c r="P436" i="56"/>
  <c r="P445" i="56"/>
  <c r="P454" i="56"/>
  <c r="P447" i="56"/>
  <c r="P439" i="56"/>
  <c r="P441" i="56"/>
  <c r="P819" i="56"/>
  <c r="P830" i="56"/>
  <c r="P814" i="56"/>
  <c r="P815" i="56"/>
  <c r="P829" i="56"/>
  <c r="P817" i="56"/>
  <c r="P834" i="56"/>
  <c r="P747" i="56"/>
  <c r="P750" i="56"/>
  <c r="P776" i="56"/>
  <c r="P759" i="56"/>
  <c r="P757" i="56"/>
  <c r="P766" i="56"/>
  <c r="P753" i="56"/>
  <c r="P664" i="56"/>
  <c r="P654" i="56"/>
  <c r="P675" i="56"/>
  <c r="P672" i="56"/>
  <c r="P680" i="56"/>
  <c r="P677" i="56"/>
  <c r="P658" i="56"/>
  <c r="P615" i="56"/>
  <c r="P614" i="56"/>
  <c r="P591" i="56"/>
  <c r="P612" i="56"/>
  <c r="P599" i="56"/>
  <c r="P608" i="56"/>
  <c r="P606" i="56"/>
  <c r="P259" i="56"/>
  <c r="P286" i="56"/>
  <c r="P267" i="56"/>
  <c r="P268" i="56"/>
  <c r="P272" i="56"/>
  <c r="P280" i="56"/>
  <c r="P283" i="56"/>
  <c r="P263" i="56"/>
  <c r="P78" i="56"/>
  <c r="P93" i="56"/>
  <c r="P76" i="56"/>
  <c r="P97" i="56"/>
  <c r="P71" i="56"/>
  <c r="P83" i="56"/>
  <c r="P81" i="56"/>
  <c r="P553" i="56"/>
  <c r="P552" i="56"/>
  <c r="P542" i="56"/>
  <c r="P541" i="56"/>
  <c r="P556" i="56"/>
  <c r="P355" i="56"/>
  <c r="P381" i="56"/>
  <c r="P358" i="56"/>
  <c r="P370" i="56"/>
  <c r="P356" i="56"/>
  <c r="P357" i="56"/>
  <c r="P366" i="56"/>
  <c r="P364" i="56"/>
  <c r="P486" i="56"/>
  <c r="P474" i="56"/>
  <c r="P478" i="56"/>
  <c r="P480" i="56"/>
  <c r="P467" i="56"/>
  <c r="P487" i="56"/>
  <c r="P461" i="56"/>
  <c r="P464" i="56"/>
  <c r="P483" i="56"/>
  <c r="P470" i="56"/>
  <c r="P462" i="56"/>
  <c r="P156" i="56"/>
  <c r="P158" i="56"/>
  <c r="P141" i="56"/>
  <c r="P157" i="56"/>
  <c r="P153" i="56"/>
  <c r="P164" i="56"/>
  <c r="P166" i="56"/>
  <c r="P168" i="56"/>
  <c r="P328" i="56"/>
  <c r="P337" i="56"/>
  <c r="P340" i="56"/>
  <c r="P321" i="56"/>
  <c r="P342" i="56"/>
  <c r="P354" i="56"/>
  <c r="P323" i="56"/>
  <c r="P320" i="56"/>
  <c r="P348" i="56"/>
  <c r="P318" i="56"/>
  <c r="P513" i="56"/>
  <c r="P503" i="56"/>
  <c r="P507" i="56"/>
  <c r="P531" i="56"/>
  <c r="P498" i="56"/>
  <c r="P501" i="56"/>
  <c r="P508" i="56"/>
  <c r="P505" i="56"/>
  <c r="P511" i="56"/>
  <c r="P519" i="56"/>
  <c r="P729" i="56"/>
  <c r="P743" i="56"/>
  <c r="P744" i="56"/>
  <c r="P741" i="56"/>
  <c r="P721" i="56"/>
  <c r="P736" i="56"/>
  <c r="P740" i="56"/>
  <c r="P727" i="56"/>
  <c r="P785" i="56"/>
  <c r="P800" i="56"/>
  <c r="P780" i="56"/>
  <c r="P807" i="56"/>
  <c r="P803" i="56"/>
  <c r="P805" i="56"/>
  <c r="P791" i="56"/>
  <c r="P786" i="56"/>
  <c r="P701" i="56"/>
  <c r="P699" i="56"/>
  <c r="P683" i="56"/>
  <c r="P709" i="56"/>
  <c r="P690" i="56"/>
  <c r="P697" i="56"/>
  <c r="P712" i="56"/>
  <c r="P711" i="56"/>
  <c r="P716" i="56"/>
  <c r="P217" i="56"/>
  <c r="P219" i="56"/>
  <c r="P204" i="56"/>
  <c r="P218" i="56"/>
  <c r="P229" i="56"/>
  <c r="P221" i="56"/>
  <c r="P222" i="56"/>
  <c r="P211" i="56"/>
  <c r="P293" i="56"/>
  <c r="P294" i="56"/>
  <c r="P304" i="56"/>
  <c r="P302" i="56"/>
  <c r="P300" i="56"/>
  <c r="P312" i="56"/>
  <c r="P289" i="56"/>
  <c r="P839" i="56"/>
  <c r="P864" i="56"/>
  <c r="P855" i="56"/>
  <c r="P857" i="56"/>
  <c r="P850" i="56"/>
  <c r="P853" i="56"/>
  <c r="P849" i="56"/>
  <c r="P844" i="56"/>
  <c r="P847" i="56"/>
  <c r="P568" i="56"/>
  <c r="P583" i="56"/>
  <c r="P577" i="56"/>
  <c r="P559" i="56"/>
  <c r="P581" i="56"/>
  <c r="P564" i="56"/>
  <c r="P575" i="56"/>
  <c r="P569" i="56"/>
  <c r="P390" i="56"/>
  <c r="P385" i="56"/>
  <c r="P409" i="56"/>
  <c r="P410" i="56"/>
  <c r="P388" i="56"/>
  <c r="P425" i="56"/>
  <c r="P413" i="56"/>
  <c r="P419" i="56"/>
  <c r="P431" i="56"/>
  <c r="P416" i="56"/>
  <c r="P424" i="56"/>
  <c r="P404" i="56"/>
  <c r="P642" i="56"/>
  <c r="P638" i="56"/>
  <c r="P644" i="56"/>
  <c r="P625" i="56"/>
  <c r="P623" i="56"/>
  <c r="P639" i="56"/>
  <c r="P646" i="56"/>
  <c r="P650" i="56"/>
  <c r="P48" i="56"/>
  <c r="P52" i="56"/>
  <c r="P47" i="56"/>
  <c r="P65" i="56"/>
  <c r="P68" i="56"/>
  <c r="P58" i="56"/>
  <c r="P49" i="56"/>
  <c r="P125" i="56"/>
  <c r="P130" i="56"/>
  <c r="P113" i="56"/>
  <c r="P133" i="56"/>
  <c r="P100" i="56"/>
  <c r="P105" i="56"/>
  <c r="P121" i="56"/>
  <c r="P128" i="56"/>
  <c r="P104" i="56"/>
  <c r="P129" i="56"/>
  <c r="P191" i="56"/>
  <c r="P449" i="56"/>
  <c r="P444" i="56"/>
  <c r="P440" i="56"/>
  <c r="P450" i="56"/>
  <c r="P434" i="56"/>
  <c r="P823" i="56"/>
  <c r="P821" i="56"/>
  <c r="P826" i="56"/>
  <c r="P825" i="56"/>
  <c r="P832" i="56"/>
  <c r="P811" i="56"/>
  <c r="P774" i="56"/>
  <c r="P763" i="56"/>
  <c r="P773" i="56"/>
  <c r="P758" i="56"/>
  <c r="P752" i="56"/>
  <c r="P772" i="56"/>
  <c r="P751" i="56"/>
  <c r="P771" i="56"/>
  <c r="P657" i="56"/>
  <c r="P678" i="56"/>
  <c r="P663" i="56"/>
  <c r="P666" i="56"/>
  <c r="P655" i="56"/>
  <c r="P653" i="56"/>
  <c r="P669" i="56"/>
  <c r="P593" i="56"/>
  <c r="P607" i="56"/>
  <c r="P610" i="56"/>
  <c r="P603" i="56"/>
  <c r="P590" i="56"/>
  <c r="P600" i="56"/>
  <c r="P592" i="56"/>
  <c r="P266" i="56"/>
  <c r="P265" i="56"/>
  <c r="P279" i="56"/>
  <c r="P273" i="56"/>
  <c r="P284" i="56"/>
  <c r="P262" i="56"/>
  <c r="P261" i="56"/>
  <c r="P278" i="56"/>
  <c r="P99" i="56"/>
  <c r="P82" i="56"/>
  <c r="P74" i="56"/>
  <c r="P79" i="56"/>
  <c r="P73" i="56"/>
  <c r="P75" i="56"/>
  <c r="P88" i="56"/>
  <c r="P558" i="56"/>
  <c r="P555" i="56"/>
  <c r="P557" i="56"/>
  <c r="P545" i="56"/>
  <c r="P544" i="56"/>
  <c r="P549" i="56"/>
  <c r="P379" i="56"/>
  <c r="P375" i="56"/>
  <c r="P361" i="56"/>
  <c r="P376" i="56"/>
  <c r="P369" i="56"/>
  <c r="P365" i="56"/>
  <c r="P363" i="56"/>
  <c r="P479" i="56"/>
  <c r="P481" i="56"/>
  <c r="P460" i="56"/>
  <c r="P484" i="56"/>
  <c r="P455" i="56"/>
  <c r="P468" i="56"/>
  <c r="P492" i="56"/>
  <c r="P466" i="56"/>
  <c r="P491" i="56"/>
  <c r="P472" i="56"/>
  <c r="P161" i="56"/>
  <c r="P144" i="56"/>
  <c r="P150" i="56"/>
  <c r="P159" i="56"/>
  <c r="P147" i="56"/>
  <c r="P151" i="56"/>
  <c r="P154" i="56"/>
  <c r="P336" i="56"/>
  <c r="P344" i="56"/>
  <c r="P351" i="56"/>
  <c r="P339" i="56"/>
  <c r="P333" i="56"/>
  <c r="P334" i="56"/>
  <c r="P317" i="56"/>
  <c r="P338" i="56"/>
  <c r="P346" i="56"/>
  <c r="P524" i="56"/>
  <c r="P515" i="56"/>
  <c r="P537" i="56"/>
  <c r="P529" i="56"/>
  <c r="P532" i="56"/>
  <c r="P514" i="56"/>
  <c r="P530" i="56"/>
  <c r="P523" i="56"/>
  <c r="P522" i="56"/>
  <c r="P534" i="56"/>
  <c r="P719" i="56"/>
  <c r="P732" i="56"/>
  <c r="P735" i="56"/>
  <c r="P726" i="56"/>
  <c r="P742" i="56"/>
  <c r="P720" i="56"/>
  <c r="P717" i="56"/>
  <c r="P728" i="56"/>
  <c r="P790" i="56"/>
  <c r="P783" i="56"/>
  <c r="P806" i="56"/>
  <c r="P781" i="56"/>
  <c r="P796" i="56"/>
  <c r="P794" i="56"/>
  <c r="P779" i="56"/>
  <c r="P787" i="56"/>
  <c r="P692" i="56"/>
  <c r="P705" i="56"/>
  <c r="P686" i="56"/>
  <c r="P694" i="56"/>
  <c r="P710" i="56"/>
  <c r="P685" i="56"/>
  <c r="P706" i="56"/>
  <c r="P698" i="56"/>
  <c r="P713" i="56"/>
  <c r="P202" i="56"/>
  <c r="P224" i="56"/>
  <c r="P206" i="56"/>
  <c r="P207" i="56"/>
  <c r="P225" i="56"/>
  <c r="P220" i="56"/>
  <c r="P227" i="56"/>
  <c r="P223" i="56"/>
  <c r="P288" i="56"/>
  <c r="P313" i="56"/>
  <c r="P297" i="56"/>
  <c r="P307" i="56"/>
  <c r="P301" i="56"/>
  <c r="P299" i="56"/>
  <c r="P290" i="56"/>
  <c r="P292" i="56"/>
  <c r="P856" i="56"/>
  <c r="P851" i="56"/>
  <c r="P843" i="56"/>
  <c r="P846" i="56"/>
  <c r="P858" i="56"/>
  <c r="P854" i="56"/>
  <c r="P867" i="56"/>
  <c r="P845" i="56"/>
  <c r="P580" i="56"/>
  <c r="P574" i="56"/>
  <c r="P570" i="56"/>
  <c r="P586" i="56"/>
  <c r="P585" i="56"/>
  <c r="P572" i="56"/>
  <c r="P578" i="56"/>
  <c r="P579" i="56"/>
  <c r="P407" i="56"/>
  <c r="P398" i="56"/>
  <c r="P422" i="56"/>
  <c r="P400" i="56"/>
  <c r="P428" i="56"/>
  <c r="P405" i="56"/>
  <c r="P393" i="56"/>
  <c r="P391" i="56"/>
  <c r="P408" i="56"/>
  <c r="P389" i="56"/>
  <c r="P394" i="56"/>
  <c r="P636" i="56"/>
  <c r="P637" i="56"/>
  <c r="P624" i="56"/>
  <c r="P626" i="56"/>
  <c r="P631" i="56"/>
  <c r="P632" i="56"/>
  <c r="P620" i="56"/>
  <c r="P645" i="56"/>
  <c r="P648" i="56"/>
  <c r="P70" i="56"/>
  <c r="P55" i="56"/>
  <c r="P51" i="56"/>
  <c r="P53" i="56"/>
  <c r="P66" i="56"/>
  <c r="P64" i="56"/>
  <c r="P103" i="56"/>
  <c r="P108" i="56"/>
  <c r="P134" i="56"/>
  <c r="P127" i="56"/>
  <c r="P126" i="56"/>
  <c r="P124" i="56"/>
  <c r="P117" i="56"/>
  <c r="P111" i="56"/>
  <c r="P123" i="56"/>
  <c r="P131" i="56"/>
  <c r="P36" i="56" l="1"/>
  <c r="P18" i="56"/>
  <c r="P44" i="56"/>
  <c r="P13" i="56"/>
  <c r="P239" i="56"/>
  <c r="P236" i="56"/>
  <c r="P184" i="56"/>
  <c r="P173" i="56"/>
  <c r="P189" i="56"/>
  <c r="P40" i="56"/>
  <c r="P20" i="56"/>
  <c r="P29" i="56"/>
  <c r="P22" i="56"/>
  <c r="P35" i="56"/>
  <c r="P24" i="56"/>
  <c r="P28" i="56"/>
  <c r="P30" i="56"/>
  <c r="P255" i="56"/>
  <c r="P39" i="56"/>
  <c r="P14" i="56"/>
  <c r="P11" i="56"/>
  <c r="P38" i="56"/>
  <c r="P8" i="56"/>
  <c r="P26" i="56"/>
  <c r="P27" i="56"/>
  <c r="P25" i="56"/>
  <c r="P32" i="56"/>
  <c r="P6" i="56"/>
  <c r="P246" i="56"/>
  <c r="P252" i="56"/>
  <c r="P256" i="56"/>
  <c r="P237" i="56"/>
  <c r="P254" i="56"/>
  <c r="P257" i="56"/>
  <c r="P172" i="56"/>
  <c r="P186" i="56"/>
  <c r="P194" i="56"/>
  <c r="P190" i="56"/>
  <c r="P193" i="56"/>
  <c r="P176" i="56"/>
  <c r="P188" i="56"/>
  <c r="P196" i="56"/>
  <c r="P23" i="56"/>
  <c r="P34" i="56"/>
  <c r="P17" i="56"/>
  <c r="P245" i="56"/>
  <c r="P234" i="56"/>
  <c r="P200" i="56"/>
  <c r="P201" i="56"/>
  <c r="P45" i="56"/>
  <c r="P21" i="56"/>
  <c r="P12" i="56"/>
  <c r="P33" i="56"/>
  <c r="P19" i="56"/>
  <c r="P15" i="56"/>
  <c r="P42" i="56"/>
  <c r="P240" i="56"/>
  <c r="P250" i="56"/>
  <c r="P251" i="56"/>
  <c r="P249" i="56"/>
  <c r="P241" i="56"/>
  <c r="P192" i="56"/>
  <c r="P180" i="56"/>
  <c r="P177" i="56"/>
  <c r="P199" i="56"/>
  <c r="P174" i="56"/>
  <c r="P181" i="56"/>
  <c r="P179" i="56"/>
  <c r="P197" i="56"/>
  <c r="P41" i="56"/>
  <c r="P31" i="56"/>
  <c r="P16" i="56"/>
  <c r="P243" i="56"/>
  <c r="P242" i="56"/>
  <c r="P247" i="56"/>
  <c r="P171" i="56"/>
  <c r="P175" i="56"/>
  <c r="P37" i="56"/>
  <c r="P10" i="56"/>
  <c r="P7" i="56"/>
  <c r="P9" i="56"/>
  <c r="P43" i="56"/>
  <c r="P238" i="56"/>
  <c r="P253" i="56"/>
  <c r="P248" i="56"/>
  <c r="P235" i="56"/>
  <c r="P244" i="56"/>
  <c r="P170" i="56"/>
  <c r="P195" i="56"/>
  <c r="P183" i="56"/>
  <c r="P178" i="56"/>
  <c r="P182" i="56"/>
  <c r="P187" i="56"/>
  <c r="P198" i="56"/>
  <c r="P185" i="56"/>
  <c r="Q528" i="56" l="1"/>
  <c r="Q546" i="56"/>
  <c r="Q677" i="56"/>
  <c r="Q83" i="56"/>
  <c r="Q450" i="56"/>
  <c r="Q231" i="56"/>
  <c r="Q795" i="56"/>
  <c r="Q800" i="56"/>
  <c r="Q792" i="56"/>
  <c r="Q790" i="56"/>
  <c r="Q786" i="56"/>
  <c r="Q778" i="56"/>
  <c r="Q808" i="56"/>
  <c r="Q782" i="56"/>
  <c r="Q799" i="56"/>
  <c r="Q532" i="56"/>
  <c r="Q534" i="56"/>
  <c r="Q498" i="56"/>
  <c r="Q499" i="56"/>
  <c r="Q527" i="56"/>
  <c r="Q502" i="56"/>
  <c r="Q529" i="56"/>
  <c r="Q522" i="56"/>
  <c r="Q531" i="56"/>
  <c r="Q535" i="56"/>
  <c r="Q518" i="56"/>
  <c r="Q533" i="56"/>
  <c r="Q537" i="56"/>
  <c r="Q523" i="56"/>
  <c r="Q507" i="56"/>
  <c r="Q509" i="56"/>
  <c r="Q521" i="56"/>
  <c r="Q526" i="56"/>
  <c r="Q515" i="56"/>
  <c r="Q530" i="56"/>
  <c r="Q503" i="56"/>
  <c r="Q520" i="56"/>
  <c r="Q516" i="56"/>
  <c r="Q500" i="56"/>
  <c r="Q524" i="56"/>
  <c r="Q514" i="56"/>
  <c r="Q513" i="56"/>
  <c r="Q506" i="56"/>
  <c r="Q517" i="56"/>
  <c r="Q525" i="56"/>
  <c r="Q435" i="56"/>
  <c r="Q95" i="56"/>
  <c r="Q75" i="56"/>
  <c r="Q72" i="56"/>
  <c r="Q96" i="56"/>
  <c r="Q73" i="56"/>
  <c r="Q97" i="56"/>
  <c r="Q84" i="56"/>
  <c r="Q80" i="56"/>
  <c r="Q76" i="56"/>
  <c r="Q90" i="56"/>
  <c r="Q91" i="56"/>
  <c r="Q653" i="56"/>
  <c r="Q663" i="56"/>
  <c r="Q654" i="56"/>
  <c r="Q661" i="56"/>
  <c r="Q665" i="56"/>
  <c r="Q673" i="56"/>
  <c r="Q655" i="56"/>
  <c r="Q678" i="56"/>
  <c r="Q664" i="56"/>
  <c r="Q652" i="56"/>
  <c r="Q679" i="56"/>
  <c r="Q667" i="56"/>
  <c r="Q672" i="56"/>
  <c r="Q656" i="56"/>
  <c r="Q674" i="56"/>
  <c r="Q660" i="56"/>
  <c r="Q669" i="56"/>
  <c r="Q658" i="56"/>
  <c r="Q675" i="56"/>
  <c r="Q676" i="56"/>
  <c r="Q668" i="56"/>
  <c r="Q662" i="56"/>
  <c r="Q657" i="56"/>
  <c r="Q835" i="56"/>
  <c r="Q817" i="56"/>
  <c r="Q826" i="56"/>
  <c r="Q830" i="56"/>
  <c r="Q816" i="56"/>
  <c r="Q820" i="56"/>
  <c r="Q828" i="56"/>
  <c r="Q829" i="56"/>
  <c r="Q821" i="56"/>
  <c r="Q819" i="56"/>
  <c r="Q827" i="56"/>
  <c r="Q833" i="56"/>
  <c r="Q834" i="56"/>
  <c r="Q825" i="56"/>
  <c r="Q810" i="56"/>
  <c r="Q831" i="56"/>
  <c r="Q809" i="56"/>
  <c r="Q811" i="56"/>
  <c r="Q815" i="56"/>
  <c r="Q823" i="56"/>
  <c r="Q824" i="56"/>
  <c r="Q447" i="56" l="1"/>
  <c r="Q818" i="56"/>
  <c r="Q814" i="56"/>
  <c r="Q812" i="56"/>
  <c r="Q822" i="56"/>
  <c r="Q832" i="56"/>
  <c r="Q813" i="56"/>
  <c r="Q659" i="56"/>
  <c r="Q666" i="56"/>
  <c r="Q651" i="56"/>
  <c r="Q670" i="56"/>
  <c r="Q680" i="56"/>
  <c r="Q671" i="56"/>
  <c r="Q79" i="56"/>
  <c r="Q74" i="56"/>
  <c r="Q71" i="56"/>
  <c r="Q501" i="56"/>
  <c r="Q512" i="56"/>
  <c r="Q508" i="56"/>
  <c r="Q510" i="56"/>
  <c r="Q505" i="56"/>
  <c r="Q504" i="56"/>
  <c r="Q511" i="56"/>
  <c r="Q536" i="56"/>
  <c r="Q519" i="56"/>
  <c r="Q791" i="56"/>
  <c r="Q785" i="56"/>
  <c r="Q783" i="56"/>
  <c r="Q233" i="56"/>
  <c r="Q553" i="56"/>
  <c r="Q205" i="56"/>
  <c r="Q438" i="56"/>
  <c r="Q556" i="56"/>
  <c r="Q547" i="56"/>
  <c r="Q219" i="56"/>
  <c r="Q218" i="56"/>
  <c r="Q552" i="56"/>
  <c r="Q203" i="56"/>
  <c r="Q230" i="56"/>
  <c r="Q543" i="56"/>
  <c r="Q217" i="56"/>
  <c r="Q204" i="56"/>
  <c r="Q550" i="56"/>
  <c r="Q538" i="56"/>
  <c r="Q225" i="56"/>
  <c r="Q228" i="56"/>
  <c r="Q220" i="56"/>
  <c r="Q226" i="56"/>
  <c r="Q227" i="56"/>
  <c r="Q208" i="56"/>
  <c r="Q223" i="56"/>
  <c r="Q214" i="56"/>
  <c r="Q541" i="56"/>
  <c r="Q555" i="56"/>
  <c r="Q557" i="56"/>
  <c r="Q558" i="56"/>
  <c r="Q548" i="56"/>
  <c r="Q544" i="56"/>
  <c r="Q554" i="56"/>
  <c r="Q549" i="56"/>
  <c r="Q215" i="56"/>
  <c r="Q202" i="56"/>
  <c r="Q209" i="56"/>
  <c r="Q224" i="56"/>
  <c r="Q216" i="56"/>
  <c r="Q206" i="56"/>
  <c r="Q213" i="56"/>
  <c r="Q207" i="56"/>
  <c r="Q779" i="56"/>
  <c r="Q787" i="56"/>
  <c r="Q804" i="56"/>
  <c r="Q802" i="56"/>
  <c r="Q539" i="56"/>
  <c r="Q545" i="56"/>
  <c r="Q540" i="56"/>
  <c r="Q551" i="56"/>
  <c r="Q542" i="56"/>
  <c r="Q229" i="56"/>
  <c r="Q232" i="56"/>
  <c r="Q221" i="56"/>
  <c r="Q210" i="56"/>
  <c r="Q222" i="56"/>
  <c r="Q212" i="56"/>
  <c r="Q211" i="56"/>
  <c r="Q753" i="56"/>
  <c r="Q755" i="56"/>
  <c r="Q766" i="56"/>
  <c r="Q764" i="56"/>
  <c r="Q757" i="56"/>
  <c r="Q770" i="56"/>
  <c r="Q747" i="56"/>
  <c r="Q748" i="56"/>
  <c r="Q765" i="56"/>
  <c r="Q771" i="56"/>
  <c r="Q754" i="56"/>
  <c r="Q751" i="56"/>
  <c r="Q777" i="56"/>
  <c r="Q763" i="56"/>
  <c r="Q769" i="56"/>
  <c r="Q774" i="56"/>
  <c r="Q384" i="56"/>
  <c r="Q380" i="56"/>
  <c r="Q357" i="56"/>
  <c r="Q372" i="56"/>
  <c r="Q356" i="56"/>
  <c r="Q370" i="56"/>
  <c r="Q373" i="56"/>
  <c r="Q358" i="56"/>
  <c r="Q382" i="56"/>
  <c r="Q365" i="56"/>
  <c r="Q369" i="56"/>
  <c r="Q376" i="56"/>
  <c r="Q361" i="56"/>
  <c r="Q378" i="56"/>
  <c r="Q374" i="56"/>
  <c r="Q367" i="56"/>
  <c r="Q331" i="56"/>
  <c r="Q351" i="56"/>
  <c r="Q340" i="56"/>
  <c r="Q347" i="56"/>
  <c r="Q343" i="56"/>
  <c r="Q344" i="56"/>
  <c r="Q337" i="56"/>
  <c r="Q345" i="56"/>
  <c r="Q341" i="56"/>
  <c r="Q336" i="56"/>
  <c r="Q342" i="56"/>
  <c r="Q349" i="56"/>
  <c r="Q327" i="56"/>
  <c r="Q339" i="56"/>
  <c r="Q321" i="56"/>
  <c r="Q330" i="56"/>
  <c r="Q328" i="56"/>
  <c r="Q319" i="56"/>
  <c r="Q353" i="56"/>
  <c r="Q335" i="56"/>
  <c r="Q348" i="56"/>
  <c r="Q326" i="56"/>
  <c r="Q325" i="56"/>
  <c r="Q338" i="56"/>
  <c r="Q320" i="56"/>
  <c r="Q324" i="56"/>
  <c r="Q322" i="56"/>
  <c r="Q317" i="56"/>
  <c r="Q323" i="56"/>
  <c r="Q329" i="56"/>
  <c r="Q332" i="56"/>
  <c r="Q334" i="56"/>
  <c r="Q354" i="56"/>
  <c r="Q318" i="56"/>
  <c r="Q350" i="56"/>
  <c r="Q346" i="56"/>
  <c r="Q352" i="56"/>
  <c r="Q333" i="56"/>
  <c r="Q441" i="56"/>
  <c r="Q452" i="56"/>
  <c r="Q442" i="56"/>
  <c r="Q434" i="56"/>
  <c r="Q439" i="56"/>
  <c r="Q451" i="56"/>
  <c r="Q443" i="56"/>
  <c r="Q449" i="56"/>
  <c r="Q436" i="56"/>
  <c r="Q437" i="56"/>
  <c r="Q448" i="56"/>
  <c r="Q440" i="56"/>
  <c r="Q454" i="56"/>
  <c r="Q433" i="56"/>
  <c r="Q453" i="56"/>
  <c r="Q444" i="56"/>
  <c r="Q445" i="56"/>
  <c r="Q446" i="56"/>
  <c r="Q98" i="56"/>
  <c r="Q82" i="56"/>
  <c r="Q93" i="56"/>
  <c r="Q86" i="56"/>
  <c r="Q77" i="56"/>
  <c r="Q99" i="56"/>
  <c r="Q78" i="56"/>
  <c r="Q87" i="56"/>
  <c r="Q94" i="56"/>
  <c r="Q88" i="56"/>
  <c r="Q81" i="56"/>
  <c r="Q92" i="56"/>
  <c r="Q85" i="56"/>
  <c r="Q89" i="56"/>
  <c r="Q360" i="56"/>
  <c r="Q359" i="56"/>
  <c r="Q366" i="56"/>
  <c r="Q363" i="56"/>
  <c r="Q383" i="56"/>
  <c r="Q377" i="56"/>
  <c r="Q364" i="56"/>
  <c r="Q355" i="56"/>
  <c r="Q379" i="56"/>
  <c r="Q371" i="56"/>
  <c r="Q362" i="56"/>
  <c r="Q381" i="56"/>
  <c r="Q375" i="56"/>
  <c r="Q368" i="56"/>
  <c r="Q752" i="56"/>
  <c r="Q768" i="56"/>
  <c r="Q756" i="56"/>
  <c r="Q759" i="56"/>
  <c r="Q772" i="56"/>
  <c r="Q762" i="56"/>
  <c r="Q760" i="56"/>
  <c r="Q773" i="56"/>
  <c r="Q775" i="56"/>
  <c r="Q767" i="56"/>
  <c r="Q750" i="56"/>
  <c r="Q758" i="56"/>
  <c r="Q749" i="56"/>
  <c r="Q761" i="56"/>
  <c r="Q776" i="56"/>
  <c r="Q793" i="56"/>
  <c r="Q803" i="56"/>
  <c r="Q780" i="56"/>
  <c r="Q806" i="56"/>
  <c r="Q789" i="56"/>
  <c r="Q797" i="56"/>
  <c r="Q807" i="56"/>
  <c r="Q781" i="56"/>
  <c r="Q796" i="56"/>
  <c r="Q801" i="56"/>
  <c r="Q788" i="56"/>
  <c r="Q805" i="56"/>
  <c r="Q794" i="56"/>
  <c r="Q784" i="56"/>
  <c r="Q798" i="56"/>
  <c r="Q702" i="56"/>
  <c r="Q697" i="56"/>
  <c r="Q713" i="56"/>
  <c r="Q714" i="56"/>
  <c r="Q716" i="56"/>
  <c r="Q682" i="56"/>
  <c r="Q689" i="56"/>
  <c r="Q710" i="56"/>
  <c r="Q703" i="56"/>
  <c r="Q690" i="56"/>
  <c r="Q698" i="56"/>
  <c r="Q693" i="56"/>
  <c r="Q711" i="56"/>
  <c r="Q684" i="56"/>
  <c r="Q696" i="56"/>
  <c r="Q694" i="56"/>
  <c r="Q695" i="56"/>
  <c r="Q709" i="56"/>
  <c r="Q706" i="56"/>
  <c r="Q715" i="56"/>
  <c r="Q712" i="56"/>
  <c r="Q691" i="56"/>
  <c r="Q707" i="56"/>
  <c r="Q686" i="56"/>
  <c r="Q681" i="56"/>
  <c r="Q683" i="56"/>
  <c r="Q685" i="56"/>
  <c r="Q688" i="56"/>
  <c r="Q687" i="56"/>
  <c r="Q708" i="56"/>
  <c r="Q701" i="56"/>
  <c r="Q705" i="56"/>
  <c r="Q704" i="56"/>
  <c r="Q699" i="56"/>
  <c r="Q700" i="56"/>
  <c r="Q692" i="56"/>
  <c r="Q575" i="56"/>
  <c r="Q584" i="56"/>
  <c r="Q565" i="56"/>
  <c r="Q576" i="56"/>
  <c r="Q563" i="56"/>
  <c r="Q574" i="56"/>
  <c r="Q572" i="56"/>
  <c r="Q583" i="56"/>
  <c r="Q564" i="56"/>
  <c r="Q562" i="56"/>
  <c r="Q589" i="56"/>
  <c r="Q582" i="56"/>
  <c r="Q587" i="56"/>
  <c r="Q580" i="56"/>
  <c r="Q567" i="56"/>
  <c r="Q566" i="56"/>
  <c r="Q586" i="56"/>
  <c r="Q579" i="56"/>
  <c r="Q559" i="56"/>
  <c r="Q569" i="56"/>
  <c r="Q588" i="56"/>
  <c r="Q573" i="56"/>
  <c r="Q571" i="56"/>
  <c r="Q561" i="56"/>
  <c r="Q570" i="56"/>
  <c r="Q578" i="56"/>
  <c r="Q577" i="56"/>
  <c r="Q568" i="56"/>
  <c r="Q581" i="56"/>
  <c r="Q560" i="56"/>
  <c r="Q585" i="56"/>
  <c r="Q146" i="56"/>
  <c r="Q168" i="56"/>
  <c r="Q148" i="56"/>
  <c r="Q152" i="56"/>
  <c r="Q151" i="56"/>
  <c r="Q160" i="56"/>
  <c r="Q164" i="56"/>
  <c r="Q154" i="56"/>
  <c r="Q145" i="56"/>
  <c r="Q166" i="56"/>
  <c r="Q142" i="56"/>
  <c r="Q149" i="56"/>
  <c r="Q147" i="56"/>
  <c r="Q162" i="56"/>
  <c r="Q153" i="56"/>
  <c r="Q161" i="56"/>
  <c r="Q167" i="56"/>
  <c r="Q155" i="56"/>
  <c r="Q163" i="56"/>
  <c r="Q156" i="56"/>
  <c r="Q159" i="56"/>
  <c r="Q144" i="56"/>
  <c r="Q157" i="56"/>
  <c r="Q140" i="56"/>
  <c r="Q139" i="56"/>
  <c r="Q158" i="56"/>
  <c r="Q143" i="56"/>
  <c r="Q169" i="56"/>
  <c r="Q150" i="56"/>
  <c r="Q165" i="56"/>
  <c r="Q141" i="56"/>
  <c r="Q733" i="56"/>
  <c r="Q741" i="56"/>
  <c r="Q738" i="56"/>
  <c r="Q724" i="56"/>
  <c r="Q720" i="56"/>
  <c r="Q746" i="56"/>
  <c r="Q736" i="56"/>
  <c r="Q735" i="56"/>
  <c r="Q739" i="56"/>
  <c r="Q744" i="56"/>
  <c r="Q722" i="56"/>
  <c r="Q725" i="56"/>
  <c r="Q742" i="56"/>
  <c r="Q718" i="56"/>
  <c r="Q721" i="56"/>
  <c r="Q732" i="56"/>
  <c r="Q728" i="56"/>
  <c r="Q734" i="56"/>
  <c r="Q727" i="56"/>
  <c r="Q731" i="56"/>
  <c r="Q737" i="56"/>
  <c r="Q719" i="56"/>
  <c r="Q730" i="56"/>
  <c r="Q729" i="56"/>
  <c r="Q717" i="56"/>
  <c r="Q723" i="56"/>
  <c r="Q740" i="56"/>
  <c r="Q726" i="56"/>
  <c r="Q745" i="56"/>
  <c r="Q743" i="56"/>
  <c r="Q414" i="56"/>
  <c r="Q426" i="56"/>
  <c r="Q412" i="56"/>
  <c r="Q417" i="56"/>
  <c r="Q394" i="56"/>
  <c r="Q391" i="56"/>
  <c r="Q404" i="56"/>
  <c r="Q431" i="56"/>
  <c r="Q421" i="56"/>
  <c r="Q395" i="56"/>
  <c r="Q396" i="56"/>
  <c r="Q392" i="56"/>
  <c r="Q389" i="56"/>
  <c r="Q393" i="56"/>
  <c r="Q424" i="56"/>
  <c r="Q419" i="56"/>
  <c r="Q402" i="56"/>
  <c r="Q406" i="56"/>
  <c r="Q403" i="56"/>
  <c r="Q427" i="56"/>
  <c r="Q408" i="56"/>
  <c r="Q405" i="56"/>
  <c r="Q416" i="56"/>
  <c r="Q413" i="56"/>
  <c r="Q409" i="56"/>
  <c r="Q430" i="56"/>
  <c r="Q418" i="56"/>
  <c r="Q401" i="56"/>
  <c r="Q387" i="56"/>
  <c r="Q428" i="56"/>
  <c r="Q400" i="56"/>
  <c r="Q425" i="56"/>
  <c r="Q399" i="56"/>
  <c r="Q429" i="56"/>
  <c r="Q388" i="56"/>
  <c r="Q398" i="56"/>
  <c r="Q411" i="56"/>
  <c r="Q385" i="56"/>
  <c r="Q386" i="56"/>
  <c r="Q397" i="56"/>
  <c r="Q422" i="56"/>
  <c r="Q420" i="56"/>
  <c r="Q410" i="56"/>
  <c r="Q407" i="56"/>
  <c r="Q415" i="56"/>
  <c r="Q390" i="56"/>
  <c r="Q432" i="56"/>
  <c r="Q423" i="56"/>
  <c r="Q859" i="56"/>
  <c r="Q855" i="56"/>
  <c r="Q841" i="56"/>
  <c r="Q862" i="56"/>
  <c r="Q854" i="56"/>
  <c r="Q840" i="56"/>
  <c r="Q849" i="56"/>
  <c r="Q851" i="56"/>
  <c r="Q838" i="56"/>
  <c r="Q864" i="56"/>
  <c r="Q860" i="56"/>
  <c r="Q848" i="56"/>
  <c r="Q858" i="56"/>
  <c r="Q868" i="56"/>
  <c r="Q853" i="56"/>
  <c r="Q856" i="56"/>
  <c r="Q865" i="56"/>
  <c r="Q850" i="56"/>
  <c r="Q861" i="56"/>
  <c r="Q837" i="56"/>
  <c r="Q845" i="56"/>
  <c r="Q852" i="56"/>
  <c r="Q847" i="56"/>
  <c r="Q846" i="56"/>
  <c r="Q863" i="56"/>
  <c r="Q857" i="56"/>
  <c r="Q870" i="56"/>
  <c r="Q866" i="56"/>
  <c r="Q867" i="56"/>
  <c r="Q842" i="56"/>
  <c r="Q844" i="56"/>
  <c r="Q843" i="56"/>
  <c r="Q839" i="56"/>
  <c r="Q836" i="56"/>
  <c r="Q869" i="56"/>
  <c r="Q619" i="56"/>
  <c r="Q631" i="56"/>
  <c r="Q617" i="56"/>
  <c r="Q625" i="56"/>
  <c r="Q648" i="56"/>
  <c r="Q630" i="56"/>
  <c r="Q650" i="56"/>
  <c r="Q647" i="56"/>
  <c r="Q618" i="56"/>
  <c r="Q626" i="56"/>
  <c r="Q649" i="56"/>
  <c r="Q644" i="56"/>
  <c r="Q645" i="56"/>
  <c r="Q621" i="56"/>
  <c r="Q646" i="56"/>
  <c r="Q633" i="56"/>
  <c r="Q643" i="56"/>
  <c r="Q624" i="56"/>
  <c r="Q634" i="56"/>
  <c r="Q638" i="56"/>
  <c r="Q620" i="56"/>
  <c r="Q641" i="56"/>
  <c r="Q639" i="56"/>
  <c r="Q627" i="56"/>
  <c r="Q635" i="56"/>
  <c r="Q637" i="56"/>
  <c r="Q622" i="56"/>
  <c r="Q642" i="56"/>
  <c r="Q632" i="56"/>
  <c r="Q640" i="56"/>
  <c r="Q623" i="56"/>
  <c r="Q629" i="56"/>
  <c r="Q628" i="56"/>
  <c r="Q636" i="56"/>
  <c r="Q56" i="56" l="1"/>
  <c r="Q64" i="56" l="1"/>
  <c r="Q63" i="56"/>
  <c r="Q293" i="56"/>
  <c r="Q289" i="56"/>
  <c r="Q290" i="56"/>
  <c r="Q294" i="56"/>
  <c r="Q131" i="56"/>
  <c r="Q102" i="56"/>
  <c r="Q119" i="56"/>
  <c r="Q101" i="56"/>
  <c r="Q109" i="56"/>
  <c r="Q114" i="56"/>
  <c r="Q121" i="56"/>
  <c r="Q105" i="56"/>
  <c r="Q127" i="56"/>
  <c r="Q113" i="56"/>
  <c r="Q126" i="56"/>
  <c r="Q122" i="56"/>
  <c r="Q117" i="56"/>
  <c r="Q124" i="56"/>
  <c r="Q134" i="56"/>
  <c r="Q136" i="56"/>
  <c r="Q138" i="56"/>
  <c r="Q70" i="56"/>
  <c r="Q51" i="56"/>
  <c r="Q133" i="56"/>
  <c r="Q100" i="56"/>
  <c r="Q66" i="56"/>
  <c r="Q57" i="56"/>
  <c r="Q314" i="56"/>
  <c r="Q303" i="56"/>
  <c r="Q137" i="56"/>
  <c r="Q62" i="56"/>
  <c r="Q295" i="56"/>
  <c r="Q287" i="56"/>
  <c r="Q198" i="56"/>
  <c r="Q188" i="56"/>
  <c r="Q183" i="56"/>
  <c r="Q178" i="56"/>
  <c r="Q185" i="56"/>
  <c r="Q189" i="56"/>
  <c r="Q171" i="56"/>
  <c r="Q200" i="56"/>
  <c r="Q497" i="56"/>
  <c r="Q58" i="56"/>
  <c r="Q50" i="56"/>
  <c r="Q60" i="56"/>
  <c r="Q53" i="56"/>
  <c r="Q68" i="56"/>
  <c r="Q59" i="56"/>
  <c r="Q54" i="56"/>
  <c r="Q65" i="56"/>
  <c r="Q67" i="56"/>
  <c r="Q316" i="56"/>
  <c r="Q309" i="56"/>
  <c r="Q307" i="56"/>
  <c r="Q304" i="56"/>
  <c r="Q315" i="56"/>
  <c r="Q311" i="56"/>
  <c r="Q297" i="56"/>
  <c r="Q310" i="56"/>
  <c r="Q308" i="56"/>
  <c r="Q299" i="56"/>
  <c r="Q300" i="56"/>
  <c r="Q305" i="56"/>
  <c r="Q291" i="56"/>
  <c r="Q301" i="56"/>
  <c r="Q302" i="56"/>
  <c r="Q191" i="56"/>
  <c r="Q192" i="56"/>
  <c r="Q170" i="56"/>
  <c r="Q172" i="56"/>
  <c r="Q184" i="56"/>
  <c r="Q180" i="56"/>
  <c r="Q195" i="56"/>
  <c r="Q186" i="56"/>
  <c r="Q181" i="56"/>
  <c r="Q201" i="56"/>
  <c r="Q187" i="56"/>
  <c r="Q196" i="56"/>
  <c r="Q176" i="56"/>
  <c r="Q179" i="56"/>
  <c r="Q175" i="56"/>
  <c r="Q197" i="56"/>
  <c r="Q115" i="56"/>
  <c r="Q107" i="56"/>
  <c r="Q125" i="56"/>
  <c r="Q103" i="56"/>
  <c r="Q135" i="56"/>
  <c r="Q132" i="56"/>
  <c r="Q130" i="56"/>
  <c r="Q108" i="56"/>
  <c r="Q112" i="56"/>
  <c r="Q118" i="56"/>
  <c r="Q128" i="56"/>
  <c r="Q111" i="56"/>
  <c r="Q106" i="56"/>
  <c r="Q116" i="56"/>
  <c r="Q104" i="56"/>
  <c r="Q123" i="56"/>
  <c r="Q110" i="56"/>
  <c r="Q120" i="56"/>
  <c r="Q129" i="56"/>
  <c r="Q48" i="56"/>
  <c r="Q47" i="56"/>
  <c r="Q55" i="56"/>
  <c r="Q61" i="56"/>
  <c r="Q49" i="56"/>
  <c r="Q46" i="56"/>
  <c r="Q52" i="56"/>
  <c r="Q69" i="56"/>
  <c r="Q288" i="56"/>
  <c r="Q296" i="56"/>
  <c r="Q313" i="56"/>
  <c r="Q298" i="56"/>
  <c r="Q312" i="56"/>
  <c r="Q306" i="56"/>
  <c r="Q292" i="56"/>
  <c r="Q190" i="56"/>
  <c r="Q199" i="56"/>
  <c r="Q194" i="56"/>
  <c r="Q177" i="56"/>
  <c r="Q173" i="56"/>
  <c r="Q193" i="56"/>
  <c r="Q182" i="56"/>
  <c r="Q174" i="56"/>
  <c r="Q595" i="56" l="1"/>
  <c r="Q607" i="56"/>
  <c r="Q614" i="56"/>
  <c r="Q596" i="56"/>
  <c r="Q602" i="56"/>
  <c r="Q593" i="56"/>
  <c r="Q615" i="56"/>
  <c r="Q603" i="56"/>
  <c r="Q612" i="56"/>
  <c r="Q613" i="56"/>
  <c r="Q594" i="56"/>
  <c r="Q610" i="56"/>
  <c r="Q591" i="56"/>
  <c r="Q609" i="56"/>
  <c r="Q600" i="56"/>
  <c r="Q605" i="56"/>
  <c r="Q590" i="56"/>
  <c r="Q604" i="56"/>
  <c r="Q598" i="56"/>
  <c r="Q616" i="56"/>
  <c r="Q608" i="56"/>
  <c r="Q611" i="56"/>
  <c r="Q599" i="56"/>
  <c r="Q601" i="56"/>
  <c r="Q592" i="56"/>
  <c r="Q606" i="56"/>
  <c r="Q597" i="56"/>
  <c r="Q234" i="56"/>
  <c r="Q257" i="56"/>
  <c r="Q244" i="56"/>
  <c r="Q241" i="56"/>
  <c r="Q247" i="56"/>
  <c r="Q254" i="56"/>
  <c r="Q235" i="56"/>
  <c r="Q239" i="56"/>
  <c r="Q246" i="56"/>
  <c r="Q238" i="56"/>
  <c r="Q240" i="56"/>
  <c r="Q243" i="56"/>
  <c r="Q253" i="56"/>
  <c r="Q245" i="56"/>
  <c r="Q255" i="56"/>
  <c r="Q249" i="56"/>
  <c r="Q237" i="56"/>
  <c r="Q251" i="56"/>
  <c r="Q256" i="56"/>
  <c r="Q250" i="56"/>
  <c r="Q252" i="56"/>
  <c r="Q236" i="56"/>
  <c r="Q248" i="56"/>
  <c r="Q242" i="56"/>
  <c r="Q486" i="56"/>
  <c r="Q489" i="56"/>
  <c r="Q488" i="56"/>
  <c r="Q469" i="56"/>
  <c r="Q463" i="56"/>
  <c r="Q474" i="56"/>
  <c r="Q478" i="56"/>
  <c r="Q480" i="56"/>
  <c r="Q467" i="56"/>
  <c r="Q484" i="56"/>
  <c r="Q476" i="56"/>
  <c r="Q460" i="56"/>
  <c r="Q475" i="56"/>
  <c r="Q481" i="56"/>
  <c r="Q477" i="56"/>
  <c r="Q479" i="56"/>
  <c r="Q490" i="56"/>
  <c r="Q456" i="56"/>
  <c r="Q487" i="56"/>
  <c r="Q468" i="56"/>
  <c r="Q459" i="56"/>
  <c r="Q496" i="56"/>
  <c r="Q461" i="56"/>
  <c r="Q492" i="56"/>
  <c r="Q485" i="56"/>
  <c r="Q471" i="56"/>
  <c r="Q464" i="56"/>
  <c r="Q466" i="56"/>
  <c r="Q493" i="56"/>
  <c r="Q458" i="56"/>
  <c r="Q483" i="56"/>
  <c r="Q491" i="56"/>
  <c r="Q482" i="56"/>
  <c r="Q473" i="56"/>
  <c r="Q494" i="56"/>
  <c r="Q455" i="56"/>
  <c r="Q457" i="56"/>
  <c r="Q470" i="56"/>
  <c r="Q472" i="56"/>
  <c r="Q465" i="56"/>
  <c r="Q495" i="56"/>
  <c r="Q462" i="56"/>
  <c r="Q271" i="56"/>
  <c r="Q278" i="56"/>
  <c r="Q273" i="56"/>
  <c r="Q263" i="56"/>
  <c r="Q268" i="56"/>
  <c r="Q258" i="56"/>
  <c r="Q260" i="56"/>
  <c r="Q275" i="56"/>
  <c r="Q281" i="56"/>
  <c r="Q261" i="56"/>
  <c r="Q279" i="56"/>
  <c r="Q283" i="56"/>
  <c r="Q267" i="56"/>
  <c r="Q274" i="56"/>
  <c r="Q276" i="56"/>
  <c r="Q277" i="56"/>
  <c r="Q282" i="56"/>
  <c r="Q262" i="56"/>
  <c r="Q265" i="56"/>
  <c r="Q280" i="56"/>
  <c r="Q286" i="56"/>
  <c r="Q269" i="56"/>
  <c r="Q285" i="56"/>
  <c r="Q264" i="56"/>
  <c r="Q270" i="56"/>
  <c r="Q284" i="56"/>
  <c r="Q266" i="56"/>
  <c r="Q272" i="56"/>
  <c r="Q259" i="56"/>
  <c r="Q11" i="56" l="1"/>
  <c r="Q25" i="56"/>
  <c r="Q7" i="56"/>
  <c r="Q28" i="56"/>
  <c r="Q37" i="56"/>
  <c r="Q19" i="56"/>
  <c r="Q23" i="56"/>
  <c r="Q16" i="56"/>
  <c r="Q14" i="56"/>
  <c r="Q27" i="56"/>
  <c r="Q29" i="56"/>
  <c r="Q24" i="56"/>
  <c r="Q40" i="56"/>
  <c r="Q33" i="56"/>
  <c r="Q41" i="56"/>
  <c r="Q34" i="56"/>
  <c r="Q39" i="56"/>
  <c r="Q26" i="56"/>
  <c r="Q10" i="56"/>
  <c r="Q9" i="56"/>
  <c r="Q8" i="56"/>
  <c r="Q6" i="56"/>
  <c r="Q35" i="56"/>
  <c r="Q30" i="56"/>
  <c r="Q20" i="56"/>
  <c r="Q42" i="56"/>
  <c r="Q31" i="56"/>
  <c r="Q17" i="56"/>
  <c r="Q38" i="56"/>
  <c r="Q32" i="56"/>
  <c r="Q22" i="56"/>
  <c r="Q43" i="56"/>
  <c r="Q21" i="56"/>
  <c r="Q15" i="56"/>
  <c r="Q18" i="56"/>
  <c r="Q13" i="56"/>
  <c r="Q45" i="56"/>
  <c r="Q12" i="56"/>
  <c r="Q36" i="56"/>
  <c r="Q44" i="5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Hodgson, Andrew</author>
  </authors>
  <commentList>
    <comment ref="Z455" authorId="0" shapeId="0" xr:uid="{C59BF3A2-975B-4509-8B80-73127D1B4512}">
      <text>
        <r>
          <rPr>
            <b/>
            <sz val="9"/>
            <color indexed="81"/>
            <rFont val="Tahoma"/>
            <family val="2"/>
          </rPr>
          <t>Hodgson, Andrew:</t>
        </r>
        <r>
          <rPr>
            <sz val="9"/>
            <color indexed="81"/>
            <rFont val="Tahoma"/>
            <family val="2"/>
          </rPr>
          <t xml:space="preserve">
Units rates are very different. A review of last years consumption shows A = 55% and B = 45%</t>
        </r>
      </text>
    </comment>
    <comment ref="Z456" authorId="0" shapeId="0" xr:uid="{126BADBC-C8EA-4171-BAD7-3B32D5E4E0D9}">
      <text>
        <r>
          <rPr>
            <b/>
            <sz val="9"/>
            <color indexed="81"/>
            <rFont val="Tahoma"/>
            <family val="2"/>
          </rPr>
          <t>Hodgson, Andrew:</t>
        </r>
        <r>
          <rPr>
            <sz val="9"/>
            <color indexed="81"/>
            <rFont val="Tahoma"/>
            <family val="2"/>
          </rPr>
          <t xml:space="preserve">
Unit rates are very different. A review of last years consumption shows A= 59% and B = 41% and no units for E rating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<sst xmlns="http://schemas.openxmlformats.org/spreadsheetml/2006/main" count="6135" uniqueCount="739">
  <si>
    <t>Electricity</t>
  </si>
  <si>
    <t>Gas</t>
  </si>
  <si>
    <t>Water</t>
  </si>
  <si>
    <t>FALAISE</t>
  </si>
  <si>
    <t>BELLFOUNDER HOUSE</t>
  </si>
  <si>
    <t>CHARTWELL ROAD</t>
  </si>
  <si>
    <t>CLIFTON COURT</t>
  </si>
  <si>
    <t>DOVECOTE</t>
  </si>
  <si>
    <t>SUDGROVE HOUSE</t>
  </si>
  <si>
    <t>BYER HSE</t>
  </si>
  <si>
    <t>DURRANS HOUSE</t>
  </si>
  <si>
    <t>EVERGLADES</t>
  </si>
  <si>
    <t>HUNGERFORD HOUSE</t>
  </si>
  <si>
    <t>CRTNEYS LODGE</t>
  </si>
  <si>
    <t>PETWORTH HOUSE</t>
  </si>
  <si>
    <t>FLINTERGILL CRT</t>
  </si>
  <si>
    <t>HERONS LODGE</t>
  </si>
  <si>
    <t>LINCOLN CRT</t>
  </si>
  <si>
    <t>MAGDALEN HOUSE</t>
  </si>
  <si>
    <t>CARPENTER CRT</t>
  </si>
  <si>
    <t>PERMAYNE</t>
  </si>
  <si>
    <t>DEXTER HOUSE</t>
  </si>
  <si>
    <t>PRITCHARD COURT</t>
  </si>
  <si>
    <t>PUTMAN HOUSE</t>
  </si>
  <si>
    <t>SHELTON COURT</t>
  </si>
  <si>
    <t>SOVEREIGN LODGE</t>
  </si>
  <si>
    <t>SPRINGFIELD COURT</t>
  </si>
  <si>
    <t>RADCOTE LODGE</t>
  </si>
  <si>
    <t>HINTON COURT</t>
  </si>
  <si>
    <t>KILKENNY HOUSE</t>
  </si>
  <si>
    <t>Shelton Court</t>
  </si>
  <si>
    <t>L</t>
  </si>
  <si>
    <t>H</t>
  </si>
  <si>
    <t>.</t>
  </si>
  <si>
    <t>Charge Due 1=Yes, 0=No</t>
  </si>
  <si>
    <t>Bedroom Weighting - Electricity</t>
  </si>
  <si>
    <t>Bedroom Weighting - Gas</t>
  </si>
  <si>
    <t>Bedroom Weighting - Water</t>
  </si>
  <si>
    <t>Electricity Personal ELP</t>
  </si>
  <si>
    <t>Gas Personal GSP</t>
  </si>
  <si>
    <t>Water Personal WTP</t>
  </si>
  <si>
    <t>Scheme Type : Higher/Lower</t>
  </si>
  <si>
    <t>Address</t>
  </si>
  <si>
    <t>Electricity Scheme Costs estimate</t>
  </si>
  <si>
    <t>Gas Costs Scheme Costs estimate</t>
  </si>
  <si>
    <t>Water Scheme Costs estimate</t>
  </si>
  <si>
    <r>
      <t xml:space="preserve">Scheme Type - where different for </t>
    </r>
    <r>
      <rPr>
        <b/>
        <sz val="11"/>
        <color rgb="FF0000FF"/>
        <rFont val="Arial"/>
        <family val="2"/>
      </rPr>
      <t>electricity</t>
    </r>
  </si>
  <si>
    <r>
      <t xml:space="preserve">Scheme Type - where different for </t>
    </r>
    <r>
      <rPr>
        <b/>
        <sz val="11"/>
        <color rgb="FF0000FF"/>
        <rFont val="Arial"/>
        <family val="2"/>
      </rPr>
      <t>Cleaning</t>
    </r>
  </si>
  <si>
    <t>Sheltered Housing Cleaning</t>
  </si>
  <si>
    <t>Sheltered</t>
  </si>
  <si>
    <t>Sheltered Bungalow</t>
  </si>
  <si>
    <t>Sheltered Flat</t>
  </si>
  <si>
    <t>Beds per NEC</t>
  </si>
  <si>
    <t>Total Service Charges 2324</t>
  </si>
  <si>
    <t>GENERAL NEEDS</t>
  </si>
  <si>
    <t>Energy Use In Year</t>
  </si>
  <si>
    <t>Units rates</t>
  </si>
  <si>
    <t>Estimate Calculation for 2023 - 2024</t>
  </si>
  <si>
    <t>Milton Keynes Council - Utility Landlord Records from the  SIGMA database as at December 2022</t>
  </si>
  <si>
    <t xml:space="preserve">HISTORIC CONSUMPTION DATA </t>
  </si>
  <si>
    <t>Energy</t>
  </si>
  <si>
    <t>1 April to 30 September</t>
  </si>
  <si>
    <t>1 October to 31 March</t>
  </si>
  <si>
    <t>All rates are in Pence per Kwh</t>
  </si>
  <si>
    <t>Gas Uplift expected 1-10-2023</t>
  </si>
  <si>
    <t>Standing Charges</t>
  </si>
  <si>
    <t>Consumption</t>
  </si>
  <si>
    <t>Pence Per Kwh</t>
  </si>
  <si>
    <t>Standing Charge Uplift</t>
  </si>
  <si>
    <t>National Site Supply Number</t>
  </si>
  <si>
    <t>Account Number</t>
  </si>
  <si>
    <t>Site / Property Type</t>
  </si>
  <si>
    <t>Utility Type</t>
  </si>
  <si>
    <t>Meter Number</t>
  </si>
  <si>
    <t>2017 -  2018</t>
  </si>
  <si>
    <t>2018 - 2019</t>
  </si>
  <si>
    <t>2019 - 2020</t>
  </si>
  <si>
    <t>2020 - 2021</t>
  </si>
  <si>
    <t>2021 - 2022</t>
  </si>
  <si>
    <t>2022 - 2023</t>
  </si>
  <si>
    <t>Average over Years 1 to 5</t>
  </si>
  <si>
    <t>ESTIMATED UNITS</t>
  </si>
  <si>
    <t>Standing Charge [£ Per Day]</t>
  </si>
  <si>
    <t>CCL - Climate Change Levy</t>
  </si>
  <si>
    <t>Pre - 1 October 2022</t>
  </si>
  <si>
    <t>Post - 1 October 2022</t>
  </si>
  <si>
    <t>From - 1 October 2023</t>
  </si>
  <si>
    <t>Days in Year</t>
  </si>
  <si>
    <t>1 April 2022 to 30 September 2023</t>
  </si>
  <si>
    <t>1 October 2023 to 31 March 2024</t>
  </si>
  <si>
    <t>Summer Months</t>
  </si>
  <si>
    <t>Winter Months</t>
  </si>
  <si>
    <t>TOTAL ESTIMATED COST</t>
  </si>
  <si>
    <t>YEAR 1</t>
  </si>
  <si>
    <t>YEAR 2</t>
  </si>
  <si>
    <t>YEAR 3</t>
  </si>
  <si>
    <t>YEAR 4</t>
  </si>
  <si>
    <t>YEAR 5</t>
  </si>
  <si>
    <t>CURRENT</t>
  </si>
  <si>
    <t>Pre 01-10-2022</t>
  </si>
  <si>
    <t>Post 01-10-2022</t>
  </si>
  <si>
    <t>Summer</t>
  </si>
  <si>
    <t>Winter</t>
  </si>
  <si>
    <t>BELLFOUNDER HOUSE - Main boilerhouse</t>
  </si>
  <si>
    <t>BELLFOUNDER HOUSE - Flats meter</t>
  </si>
  <si>
    <t>BYERLEY HOUSE</t>
  </si>
  <si>
    <t>CARPENTER COURT - whole scheme coverage</t>
  </si>
  <si>
    <t>CHARTWELL ROAD - Hastings House</t>
  </si>
  <si>
    <t>COURTNEYS LODGE</t>
  </si>
  <si>
    <t>DOVECOTE - Common Room</t>
  </si>
  <si>
    <t>FLINTERGILL COURT</t>
  </si>
  <si>
    <t>HINTON COURT Shown as Hinton Lodge</t>
  </si>
  <si>
    <t>LINCOLN COURT</t>
  </si>
  <si>
    <t>PERMAYNE - Community rooms</t>
  </si>
  <si>
    <t>SOVEREIGN LODGE - Shown as Sovereign Court</t>
  </si>
  <si>
    <t>Cost based on Consumption x Unit rate</t>
  </si>
  <si>
    <t>Electricity Uplift 1-10-2023</t>
  </si>
  <si>
    <t>Standing Charge [Pence per Day]</t>
  </si>
  <si>
    <t>Average Unit rate Cost</t>
  </si>
  <si>
    <t>1 April 2023 to 30 September 2023</t>
  </si>
  <si>
    <t>General Needs</t>
  </si>
  <si>
    <t>A 16.6930 B 11.18900 C 14.2160</t>
  </si>
  <si>
    <t>A. 27.44355 B 25.01265 C 25.33079</t>
  </si>
  <si>
    <t>A.16.7740 B 11.119300 C. 14.24500</t>
  </si>
  <si>
    <t>A. 27.45338 B. 25.02322 C. 25.39770</t>
  </si>
  <si>
    <t>A. 16.59100 B. 11.14300</t>
  </si>
  <si>
    <t>A. 27.35077 B. 25.22353</t>
  </si>
  <si>
    <t>A. 16.5770 B. 11.184</t>
  </si>
  <si>
    <t>A. 27.17209 B 25.04854</t>
  </si>
  <si>
    <t>A.165770 B. 11.1840</t>
  </si>
  <si>
    <t>A. 27.21369 B. 25.09009</t>
  </si>
  <si>
    <t>A. 15.82300 B. 11.11100</t>
  </si>
  <si>
    <t>A. 26.59287 B. 25.10823</t>
  </si>
  <si>
    <t>A. 15.8230 B. 11.1110</t>
  </si>
  <si>
    <t>A. 26.62478 B. 25.14164</t>
  </si>
  <si>
    <t>A. 16.57700 B. 11.184.00</t>
  </si>
  <si>
    <t>A. 27.20667 B. 25.08306</t>
  </si>
  <si>
    <t>A. 16.5960 B. 11.1300</t>
  </si>
  <si>
    <t>A. 27.19180 B. 25.21490</t>
  </si>
  <si>
    <t>A. 16.7740 B. 11.1930 C. 14.2450</t>
  </si>
  <si>
    <t>A. 27.40541 B. 24.97251 C. 25.34702</t>
  </si>
  <si>
    <t>A. 16.7740 B. 11.19300 C. 14.24500</t>
  </si>
  <si>
    <t>A. 27.40417 B. 24.97211 C. 25.34727</t>
  </si>
  <si>
    <t>A. 27.38514 B. 24.95341 C. 25.32806</t>
  </si>
  <si>
    <t>A. 16.77400 B. 11.19300 C. 14.24500</t>
  </si>
  <si>
    <t>A. 27.43758 B. 25.00613 C. 25.38018</t>
  </si>
  <si>
    <t>A. 16.69330B. 11.18900 C. 14.2160</t>
  </si>
  <si>
    <t>A. 27.42068 B. 24.9960 C. 25.31020</t>
  </si>
  <si>
    <t>A. 26.64323 B. 25.16313</t>
  </si>
  <si>
    <t>A. 26.6300 B. 25.14077</t>
  </si>
  <si>
    <t>A. 27.15839 B. 25.03475</t>
  </si>
  <si>
    <t>A. 16.6170 B. 12.3870 C. 14.1390</t>
  </si>
  <si>
    <t>A. 27.31694 B. 24.88929 C. 25.20888</t>
  </si>
  <si>
    <t>A. 16.69300 B. 11.18900 C. 14.21600</t>
  </si>
  <si>
    <t>A. 27.40433 B. 24.97352 C. 25.29345</t>
  </si>
  <si>
    <t>A. 27.48165 B. 25.05208 C. 25.37169</t>
  </si>
  <si>
    <t>A. 27.40875 B. 24.97780 C. 25.35245</t>
  </si>
  <si>
    <t>A. 27.33331 B. 24.90246 C. 25.27685</t>
  </si>
  <si>
    <t>A. 15.800 B. 11.1980</t>
  </si>
  <si>
    <t>A. 26.73014 B. 25.09986</t>
  </si>
  <si>
    <t>A. 26.85771 B. 25.18882</t>
  </si>
  <si>
    <t>A. 16.57700 B. 11.18400</t>
  </si>
  <si>
    <t>A. 27.16370B. 25.04057</t>
  </si>
  <si>
    <t>A. 16.5770 B. 11.1840</t>
  </si>
  <si>
    <t>A. 27.13226 B. 25.00908</t>
  </si>
  <si>
    <t>A. 27.15107 B. 25.02671</t>
  </si>
  <si>
    <t>A. 27.35586 B. 25.18882</t>
  </si>
  <si>
    <t>A. 15.80 B. 11.198</t>
  </si>
  <si>
    <t>A. 26.70836 B. 25.07765</t>
  </si>
  <si>
    <t>A. 16.5930 B. 11.1890 C. 14.2160</t>
  </si>
  <si>
    <t>A. 27.48304 B. 25.05264 C. 25.37103</t>
  </si>
  <si>
    <t>A. 16.6930 B. 11.1890 C. 14.2160</t>
  </si>
  <si>
    <t>A. 27.41702 B. 24.98750 C. 25.30713</t>
  </si>
  <si>
    <t>A: 16.693
B:11.189
C: 14.216</t>
  </si>
  <si>
    <t>A: 27.38995
B: 24.95712
C: 25.27654</t>
  </si>
  <si>
    <t>A: 27.47077
B: 25.04083
C: 25.36048</t>
  </si>
  <si>
    <t>A.16.6930 B. 11.1890 C. 14.2160</t>
  </si>
  <si>
    <t>A. 27.47974 B. 25.05006 C. 23.36915</t>
  </si>
  <si>
    <t>A. 26.72709 B. 25.09636</t>
  </si>
  <si>
    <t>A. 27.47312 B. 25.04395 C. 25.36357</t>
  </si>
  <si>
    <t>A. 16.69300 B. 11.1890 C. 14.21600</t>
  </si>
  <si>
    <t>A. 27.45641 B. 25.02647 C. 25.34560</t>
  </si>
  <si>
    <t>A. 16.69300 B. 11.189.0 C. 14.2160</t>
  </si>
  <si>
    <t>A. 27.45618 B. 25.02723 C. 25.34619</t>
  </si>
  <si>
    <t>A. 27.36322 B. 24.93460 C. 25.25356</t>
  </si>
  <si>
    <t>A. 16.591. B. 11.1430</t>
  </si>
  <si>
    <t>A. 27.018191 B. 25.05432</t>
  </si>
  <si>
    <t>A. 15.8130 B. 11.1430</t>
  </si>
  <si>
    <t>A. 26.71635 B. 25.07730</t>
  </si>
  <si>
    <t>A. 26.71642 B. 25.07805</t>
  </si>
  <si>
    <t>A. 15.820 B. 11.122</t>
  </si>
  <si>
    <t>A. 26.76557 B 25.28439</t>
  </si>
  <si>
    <t>A. 26.71965 B. 25.23863</t>
  </si>
  <si>
    <t>A. 26.71064 B. 25.07988</t>
  </si>
  <si>
    <t>A. 26.73487 B. 25.10423</t>
  </si>
  <si>
    <t>A. 26.73389 B. 25.10319</t>
  </si>
  <si>
    <t>A. 26.70339 B. 25.07233</t>
  </si>
  <si>
    <t>A. 26.64352 B. 25.1622</t>
  </si>
  <si>
    <t>A. 26.72725 B. 25.09630</t>
  </si>
  <si>
    <t>A. 27.36907 B. 24.94011 C. 25.25968</t>
  </si>
  <si>
    <t>A. 27.33065 B. 24.90255 C. 25.22171</t>
  </si>
  <si>
    <t>A. 27.38133 B. 24.95195 C. 25.27159</t>
  </si>
  <si>
    <t>A. 16.693 B. 11.189 C. 14.216</t>
  </si>
  <si>
    <t>A. 27.32318 B. 24.89067 C. 25.20896</t>
  </si>
  <si>
    <t>A. 27.32025 B. 24.89055 C. 25.20952</t>
  </si>
  <si>
    <t>A. 16.593 B. 11.140</t>
  </si>
  <si>
    <t>A. 27.19392 B. 25.21743</t>
  </si>
  <si>
    <t>A. 16.774 B. 11.193 C. 14.245</t>
  </si>
  <si>
    <t>A. 27.39725 B. 24.96565 C. 25.33999</t>
  </si>
  <si>
    <t>A. 27.47883 B. 25.05340 C. 25.37570</t>
  </si>
  <si>
    <t>A. 26.73635 B. 25.10401</t>
  </si>
  <si>
    <t>A. 26.73425 B. 25.10328</t>
  </si>
  <si>
    <t>A. 26.71671 B. 25.08475</t>
  </si>
  <si>
    <t>A. 16.774B. 11.193 C. 14.245</t>
  </si>
  <si>
    <t>A. 27.47281 B. 25.04099 C. 25.41434</t>
  </si>
  <si>
    <t>A. 16.596 B. 11.1300</t>
  </si>
  <si>
    <t>A. 27.3401 B. 25.18882</t>
  </si>
  <si>
    <t>A. 27.07910 B. 25.10285</t>
  </si>
  <si>
    <t>A. 27.40719 B. 24.97570 C. 25.35127</t>
  </si>
  <si>
    <t>A. 16.7740 B. 11.193 C. 14.245</t>
  </si>
  <si>
    <t>A. 27.40378 B. 24.97270 C. 25.34529</t>
  </si>
  <si>
    <t>Quarterly</t>
  </si>
  <si>
    <t>A. 15.095 B. 10.03 C. 12.934</t>
  </si>
  <si>
    <t>A: 16.593
B: 11.14</t>
  </si>
  <si>
    <t>A: 27.21193
B:25.23511</t>
  </si>
  <si>
    <t>A: 16.577
B:11.184</t>
  </si>
  <si>
    <t>A: 27.21361
B: 25.09042</t>
  </si>
  <si>
    <t>A:16.577
B: 11.184</t>
  </si>
  <si>
    <t>A: 27.21495
B: 25.09089</t>
  </si>
  <si>
    <t>A: 15.8
B: 11.1980</t>
  </si>
  <si>
    <t>A: 26.72093
B: 25.09016</t>
  </si>
  <si>
    <t>A: 16.577
B: 11.184</t>
  </si>
  <si>
    <t>A: 27.21426
B: 25.09115</t>
  </si>
  <si>
    <t>A: 27.21409
B: 25.09091</t>
  </si>
  <si>
    <t>A: 27.14636
B: 25.02359</t>
  </si>
  <si>
    <t>A: 27.14667
B: 25.02360</t>
  </si>
  <si>
    <t>A: 27.18209
B: 25.05878</t>
  </si>
  <si>
    <t>A: 27.4337
B: 25.04380
C: 25.36308</t>
  </si>
  <si>
    <t>A: 16.693
B: 11.189
C: 14.216</t>
  </si>
  <si>
    <t>A: 27.47980
B: 25.04972
C: 25.36849</t>
  </si>
  <si>
    <t>A: 27.35411
B: 25.92409
C: 25.24311</t>
  </si>
  <si>
    <t xml:space="preserve">A: 13.618
B: 9.867
</t>
  </si>
  <si>
    <t xml:space="preserve">A: 14.935
B: 10.939
</t>
  </si>
  <si>
    <t>A: 27.14687
B: 25.02344</t>
  </si>
  <si>
    <t>A:27.4097
B:24.97966
C: 25.2988</t>
  </si>
  <si>
    <t>A: 26.7312
B: 25.10013</t>
  </si>
  <si>
    <t>A: 15.823
B: 11.111</t>
  </si>
  <si>
    <t>A: 26.70178
B: 25.22061</t>
  </si>
  <si>
    <t>A: 27.3119
B: 24.88113
C: 25.20063</t>
  </si>
  <si>
    <t>A: 27.2142
B: 25.09082</t>
  </si>
  <si>
    <t>A: 27.16685
B: 25.04324</t>
  </si>
  <si>
    <t>A: 27.18615
B: 25.06233</t>
  </si>
  <si>
    <t>A: 27.19732
B: 24.07370</t>
  </si>
  <si>
    <t>A:16.693
B: 11.189
C: 14.216</t>
  </si>
  <si>
    <t>A: 27.46326
B: 25.03337
C: 25.35281</t>
  </si>
  <si>
    <t>A: 26.71966
B: 25.05524</t>
  </si>
  <si>
    <t>A: 15.813
B: 11.143</t>
  </si>
  <si>
    <t>A: 26.74955
B: 25.26816</t>
  </si>
  <si>
    <t>A: 27.34186
B: 24.91049
C: 25.22969</t>
  </si>
  <si>
    <t>A: 16.617
B: 12.387
C: 14.139</t>
  </si>
  <si>
    <t>A: 27.34486
B: 24.91463
C: 25.2339</t>
  </si>
  <si>
    <t>A: 27.46996
B: 25.04039
C: 25.36024</t>
  </si>
  <si>
    <t>A: 27.46764
B: 25.03845
C: 25.35765</t>
  </si>
  <si>
    <t>A: 27.3968
B: 24.96755
C: 25.2864</t>
  </si>
  <si>
    <t>A: 27.32044
B: 24.89187
C: 25.21162</t>
  </si>
  <si>
    <t>A: 16.774
B: 11.193
C: 14.245</t>
  </si>
  <si>
    <t>A: 27.47578
B: 25.0445
C: 25.42125</t>
  </si>
  <si>
    <t>A; 27.46809
B: 25.03613
C: 24.41055</t>
  </si>
  <si>
    <t>A: 15.723
B: 12.396</t>
  </si>
  <si>
    <t>A: 26.6923
B: 25.06111</t>
  </si>
  <si>
    <t>A: 26.73458
B: 25.10349</t>
  </si>
  <si>
    <t>A: 26.6993
B: 25.06881</t>
  </si>
  <si>
    <t>A: 16.698
B: 12.391
C: 14.169</t>
  </si>
  <si>
    <t>A: 27.53023
B: 25.09867
C: 25.47335</t>
  </si>
  <si>
    <t>A: 27.47583
B: 25.04425
C: 25.41879</t>
  </si>
  <si>
    <t>A: 27.52584
B: 25.09471
C: 25.47005</t>
  </si>
  <si>
    <t>A. 27.47728 B. 25.04562 C. 25.42018</t>
  </si>
  <si>
    <t>A. 16.698 B. 12.391 C. 14.169</t>
  </si>
  <si>
    <t>A. 27.44941 B. 25.01799 C. 25.39252</t>
  </si>
  <si>
    <t>A. 16.577 B. 11.184</t>
  </si>
  <si>
    <t>A. 27.21446 B. 25.09079</t>
  </si>
  <si>
    <t>A. 15.813 B. 11.143</t>
  </si>
  <si>
    <t>A. 26.71509 B. 25.07570</t>
  </si>
  <si>
    <t>A. 27.24813 B. 25.12518</t>
  </si>
  <si>
    <t>A. 26.70487 B. 25.07439</t>
  </si>
  <si>
    <t>A. 26.68851 B. 25.05721</t>
  </si>
  <si>
    <t>A. 27.35929 B. 24.92916 C. 25.24792</t>
  </si>
  <si>
    <t>A. 27.21353 B. 25.09061</t>
  </si>
  <si>
    <t>A. 27.46189 B. 25.03166 C. 25.35005</t>
  </si>
  <si>
    <t>A. 27.91327 B. 25.18882 C. 25.32975</t>
  </si>
  <si>
    <t>A. 27.42508 B. 24.99474 C. 25.37104</t>
  </si>
  <si>
    <t>A. 15.825 B. 11.170</t>
  </si>
  <si>
    <t>A. 26.72602 B. 25.09196</t>
  </si>
  <si>
    <t>A. 15.847 B. 10.947</t>
  </si>
  <si>
    <t>A. 26.58264 B. 25.22587</t>
  </si>
  <si>
    <t>A. 27.21418 B. 25.09061</t>
  </si>
  <si>
    <t>A. 27.21337 B. 25.08997</t>
  </si>
  <si>
    <t>A. 27.09520 B. 24.97365</t>
  </si>
  <si>
    <t>A. 27.21269 B. 25.08925</t>
  </si>
  <si>
    <t>A 15.80
B 11.198</t>
  </si>
  <si>
    <t>A 26.72457
B 25.09277</t>
  </si>
  <si>
    <t>A 16.69300
B 11.18900
C 14.21600</t>
  </si>
  <si>
    <t>A 27.42746
B 24.99841
C 25.31696</t>
  </si>
  <si>
    <t>A 27.32488
B 24.89528
C 25.21438</t>
  </si>
  <si>
    <t>A 16.77400
B 11.19300
C 14.24500</t>
  </si>
  <si>
    <t>A 27.43870
B 25.00784
C 25.38307</t>
  </si>
  <si>
    <t>A 27.34039
B 24.91384
C 25.23082</t>
  </si>
  <si>
    <t>A 16.57700
B 11.18400</t>
  </si>
  <si>
    <t>A 27.16224
B 25.03809</t>
  </si>
  <si>
    <t>A 27.35252
B 24.92125
C 25.29341</t>
  </si>
  <si>
    <t>A 27.47435
B 25.04184
C 25.41704</t>
  </si>
  <si>
    <t>A 15.81300
B 11.14300</t>
  </si>
  <si>
    <t>A 26.75706
B 25.27578</t>
  </si>
  <si>
    <t>A 16.61700
B 12.38700
C 14.14000</t>
  </si>
  <si>
    <t>A 27.32663
B 24.89706
C 25.21619</t>
  </si>
  <si>
    <t>A 16.61700
B 12.38700
C 14.13900</t>
  </si>
  <si>
    <t>A 27.48403
B 25.05439
C 25.37349</t>
  </si>
  <si>
    <t>A 27.47909
B 25.04972
C 25.36893</t>
  </si>
  <si>
    <t>A 27.48184
B 25.05241
C 25.37170</t>
  </si>
  <si>
    <t>A 27.47283
B 25.04344
C 25.36276</t>
  </si>
  <si>
    <t>A.16.617 B. 12.387 C. 14.139</t>
  </si>
  <si>
    <t>A. 27.48517 B. 25.05569 C. 25.37478</t>
  </si>
  <si>
    <t>A. 16.617 B. 12.387 C. 14.139</t>
  </si>
  <si>
    <t>A. 27.48324 B. 25.05385 C. 25.37314</t>
  </si>
  <si>
    <t>A. 27.47328 B. 25.04396 C. 25.36365</t>
  </si>
  <si>
    <t>A. 27.48301 B. 25.05360 C. 25.37268</t>
  </si>
  <si>
    <t>A. 27.48351 B. 25.05391 C. 25.37289</t>
  </si>
  <si>
    <t>A. 16.617 B. 12.387  C. 14.139</t>
  </si>
  <si>
    <t>A. 27.65534 B. 25.22568 C. 25.54466</t>
  </si>
  <si>
    <t>A. 27.47848 B. 25.04882 C. 25.36768</t>
  </si>
  <si>
    <t>A. 27.4775 B. 25.04815 C. 25.36726</t>
  </si>
  <si>
    <t>A. 15.723 B. 12.396</t>
  </si>
  <si>
    <t>A. 26.73933 B. 25.10818</t>
  </si>
  <si>
    <t>A. 26.73538 B. 25.10428</t>
  </si>
  <si>
    <t>A. 27.47094 B. 25.004148 C. 25.36054</t>
  </si>
  <si>
    <t>A. 27.66333 B. 25.23374 C. 25.55280</t>
  </si>
  <si>
    <t>A. 27.45196 B. 25.02242 C. 25.34148</t>
  </si>
  <si>
    <t>A. 27.47851 B. 25.04875 C. 25.36784</t>
  </si>
  <si>
    <t>A. 27.46410 B. 25.03459 C. 25.35369</t>
  </si>
  <si>
    <t>A. 27.45653 B. 25.02686 C. 25.34587</t>
  </si>
  <si>
    <t>A. 26.71722 B. 25.08606</t>
  </si>
  <si>
    <t>A. 27.48835 B. 25.05867 C. 25.37786</t>
  </si>
  <si>
    <t>A. 27.47187 B. 25.04235 C. 25.36151</t>
  </si>
  <si>
    <t>A. 27.47589 B. 25.046312 C. 25.36527</t>
  </si>
  <si>
    <t>A. 16.617 B. 12.387 C. 14.140</t>
  </si>
  <si>
    <t>A. 27.51536 B. 25.08565 C. 25.40491</t>
  </si>
  <si>
    <t>A. 27.47267 B. 25.04320 C. 25.36215</t>
  </si>
  <si>
    <t>A. 16.698 B. 12.3910 C. 14.169</t>
  </si>
  <si>
    <t>A. 27.47112 B. 25.03950 C. 25.41417</t>
  </si>
  <si>
    <t>A. 27.44744 B. 25.01855 C. 25.33631</t>
  </si>
  <si>
    <t>A 16.65300
B 12.36700
C 14.15400</t>
  </si>
  <si>
    <t>A 27.50774
B 25.08529
C 25.45069</t>
  </si>
  <si>
    <t>A 27.48554
B 25.05646
C 25.37577</t>
  </si>
  <si>
    <t>BYER HOUSE</t>
  </si>
  <si>
    <t>A 15.72300
B 12.39600</t>
  </si>
  <si>
    <t>A 26.75910
B 25.12799</t>
  </si>
  <si>
    <t>CARPENTER COURT</t>
  </si>
  <si>
    <t>A 27.50875
B 25.08632
C 25.45169</t>
  </si>
  <si>
    <t>A 16.57700
B11.18400</t>
  </si>
  <si>
    <t>A 27.23471
B 25.11052</t>
  </si>
  <si>
    <t>A 27.54696
B 25.11750
C 25.43675</t>
  </si>
  <si>
    <t>A 27.52445
B 25.10202
C 25.46741</t>
  </si>
  <si>
    <t>A 27.44035
B 25.01084
C 25.32996</t>
  </si>
  <si>
    <t>A 27.50663
B 25.08420
C 25.44960</t>
  </si>
  <si>
    <t>A 27.58226
B 25.15982
C 25.52518</t>
  </si>
  <si>
    <t>A 26.76214
B 25.13104</t>
  </si>
  <si>
    <t>A 27.50999
B 25.08044
C 25.39956</t>
  </si>
  <si>
    <t>A 15.74900
B 12.36700</t>
  </si>
  <si>
    <t>A 26.75527
B 25.12155</t>
  </si>
  <si>
    <t>A 14.72300
B 10.92300</t>
  </si>
  <si>
    <t>A 26.25526
B 25.15407</t>
  </si>
  <si>
    <t>A 26.74796
B 25.11685</t>
  </si>
  <si>
    <t>A 27.46951
B 25.04706
C 25.41245</t>
  </si>
  <si>
    <t>A 26.75968
B 25.12857</t>
  </si>
  <si>
    <t>A 16.17100
B 10.95100</t>
  </si>
  <si>
    <t>A 26.87951
B 25.26936</t>
  </si>
  <si>
    <t>A 26.71503
B 25.08394</t>
  </si>
  <si>
    <t>A 27.22889
B 25.10570</t>
  </si>
  <si>
    <t>A 27.51323
B 25.09078
C 25.45619</t>
  </si>
  <si>
    <t>27.50698
25.07745
25.39657</t>
  </si>
  <si>
    <t>A 16.10800
B 10.94400</t>
  </si>
  <si>
    <t>26.72811
25.24854</t>
  </si>
  <si>
    <t>27.50191
25.07947
25.44489</t>
  </si>
  <si>
    <t>27.49877
25.06919
25.38831</t>
  </si>
  <si>
    <t>27.51772
25.09529
25.46070</t>
  </si>
  <si>
    <t>27.51899
25.08939
25.40856</t>
  </si>
  <si>
    <t>26.75954
25.12843</t>
  </si>
  <si>
    <t>HERONS LODGE - Communal supply</t>
  </si>
  <si>
    <t>Hinton Court - New account</t>
  </si>
  <si>
    <t>Estimate for Water and sewerage Charges for 2023 - 2024</t>
  </si>
  <si>
    <t>Metered Supplies Only - Consumption M2</t>
  </si>
  <si>
    <t>Supplies based on Rateable Value</t>
  </si>
  <si>
    <t>All rates are in M2 - Unit rates in £ per M2</t>
  </si>
  <si>
    <t>Water and Sewerage Uplift expected</t>
  </si>
  <si>
    <t>Consumption Unit costs</t>
  </si>
  <si>
    <t>Type</t>
  </si>
  <si>
    <t>Account Billing Type</t>
  </si>
  <si>
    <t>Average over Years 1 to 3</t>
  </si>
  <si>
    <t>ESTIMATED UNITS - Water</t>
  </si>
  <si>
    <t>ESTIMATED UNITS - Sewerage @ 90%</t>
  </si>
  <si>
    <t>Rateable Value</t>
  </si>
  <si>
    <t>WATER - pence per M2</t>
  </si>
  <si>
    <t>SEWERAGE - pence per M2</t>
  </si>
  <si>
    <t>WATER - pence per M2 From 1 April 2023</t>
  </si>
  <si>
    <t>SEWERAGE - pence per M2 From 1 April 2023</t>
  </si>
  <si>
    <t>Bill Frequency in SIGMA</t>
  </si>
  <si>
    <t>WATER</t>
  </si>
  <si>
    <t>SEWERAGE</t>
  </si>
  <si>
    <t>Water Consumption</t>
  </si>
  <si>
    <t>Sewerage Consumption</t>
  </si>
  <si>
    <t>Sewerage</t>
  </si>
  <si>
    <t>Per month</t>
  </si>
  <si>
    <t>Per year</t>
  </si>
  <si>
    <t>Metered</t>
  </si>
  <si>
    <t>Monthly</t>
  </si>
  <si>
    <t>Rateable</t>
  </si>
  <si>
    <t>Annual</t>
  </si>
  <si>
    <t>Six monthly</t>
  </si>
  <si>
    <t xml:space="preserve"> </t>
  </si>
  <si>
    <t>note</t>
  </si>
  <si>
    <t>Year 3 understated , exclude</t>
  </si>
  <si>
    <t>based on similar site</t>
  </si>
  <si>
    <t>Electricity personal share estimate</t>
  </si>
  <si>
    <t>Gas Costs Scheme share estimate</t>
  </si>
  <si>
    <t>Electricity personal share estimate %</t>
  </si>
  <si>
    <t>Gas Costs Scheme share estimate %</t>
  </si>
  <si>
    <t>Water Scheme Costs estimate %</t>
  </si>
  <si>
    <t>Sheltered House</t>
  </si>
  <si>
    <t>Where Charge = 1 ONLY.  Personal use</t>
  </si>
  <si>
    <t>Lower Usage scheme</t>
  </si>
  <si>
    <t>Standard Usage scheme</t>
  </si>
  <si>
    <t>Properties</t>
  </si>
  <si>
    <t>Estimated Costs 2324</t>
  </si>
  <si>
    <t>Agreed 65% uplift with Energy Manager</t>
  </si>
  <si>
    <t>SCHEME</t>
  </si>
  <si>
    <t>Property ref</t>
  </si>
  <si>
    <t>Calverton House</t>
  </si>
  <si>
    <t>Glamis House - TV AMP (UNMTRD)</t>
  </si>
  <si>
    <t>L/LORDS - ANTRIM HOUSE</t>
  </si>
  <si>
    <t>L/LORDS - ARGYLL HOUSE</t>
  </si>
  <si>
    <t>L/LORDS - AVON GROVE</t>
  </si>
  <si>
    <t>L/LORDS - BALMORAL COURT</t>
  </si>
  <si>
    <t>L/LORDS - BRIDGE STREET</t>
  </si>
  <si>
    <t>L/LORDS - BUCKINGHAM HOUSE</t>
  </si>
  <si>
    <t>L/LORDS - BUSHFIELDS</t>
  </si>
  <si>
    <t>L/LORDS - CHERWELL HSE</t>
  </si>
  <si>
    <t>L/LORDS - CROWLAND HOUSE</t>
  </si>
  <si>
    <t>L/LORDS - Cumberland House</t>
  </si>
  <si>
    <t>L/LORDS - DORSET HOUSE</t>
  </si>
  <si>
    <t>L/LORDS - DOUNE HOUSE FLATS</t>
  </si>
  <si>
    <t>L/LORDS - DURHAM HOUSE</t>
  </si>
  <si>
    <t>L/LORDS - Durrans Court</t>
  </si>
  <si>
    <t>L/LORDS - FIFE HOUSE</t>
  </si>
  <si>
    <t>L/LORDS - FLATS WOOD STREET</t>
  </si>
  <si>
    <t>L/LORDS - FLINT HOUSE</t>
  </si>
  <si>
    <t>L/LORDS - GLAMIS HOUSE</t>
  </si>
  <si>
    <t>L/LORDS - HAMPSHIRE COURT</t>
  </si>
  <si>
    <t>L/LORDS - HARRIER COURT</t>
  </si>
  <si>
    <t>L/LORDS - HEREFORD HOUSE</t>
  </si>
  <si>
    <t>L/LORDS - HIGH ST FLATS</t>
  </si>
  <si>
    <t>L/LORDS - KENT HOUSE</t>
  </si>
  <si>
    <t>L/LORDS - LANARK HOUSE</t>
  </si>
  <si>
    <t>L/LORDS - LEWES HOUSE</t>
  </si>
  <si>
    <t>L/LORDS - MELLISH CRT</t>
  </si>
  <si>
    <t>L/LORDS - NORFOLK HOUSE</t>
  </si>
  <si>
    <t>L/LORDS - NORTHUMBERLAND HSE</t>
  </si>
  <si>
    <t>L/LORDS - PEMBROKE HOUSE</t>
  </si>
  <si>
    <t>L/LORDS - PROVIDENCE PLACE</t>
  </si>
  <si>
    <t>L/LORDS - RADNOR HOUSE</t>
  </si>
  <si>
    <t>L/LORDS - RUTLAND HOUSE</t>
  </si>
  <si>
    <t>L/LORDS - SALOP HOUSE</t>
  </si>
  <si>
    <t>L/LORDS - SANDRINGHAM HOUSE</t>
  </si>
  <si>
    <t>L/LORDS - Sawley House</t>
  </si>
  <si>
    <t>L/LORDS - SERPENTINE CT.</t>
  </si>
  <si>
    <t>L/LORDS - SHENLEY ROAD</t>
  </si>
  <si>
    <t>L/LORDS - ST GEORGES BLK G</t>
  </si>
  <si>
    <t>L/LORDS - STIRLING HOUSE</t>
  </si>
  <si>
    <t>L/LORDS - Tamar House</t>
  </si>
  <si>
    <t>L/LORDS - THE GABLES</t>
  </si>
  <si>
    <t>L/LORDS - TINTERN HOUSE</t>
  </si>
  <si>
    <t>L/LORDS - WELLAND HOUSE</t>
  </si>
  <si>
    <t>L/LORDS - WESTMORLAND HSE</t>
  </si>
  <si>
    <t>L/LORDS - WILTSHIRE HOUSE</t>
  </si>
  <si>
    <t>L/LORDS - WORCESTER HOUSE</t>
  </si>
  <si>
    <t>L/LORDS - YORK HOUSE</t>
  </si>
  <si>
    <t>L/LORDS &amp; SECURITY DEVON CLOSE</t>
  </si>
  <si>
    <t>L/Lords and Boiler House - Granby Court</t>
  </si>
  <si>
    <t>L/Lords and Boiler Rm - Nth 9th - 10th ST.&amp; Silbury Bvd</t>
  </si>
  <si>
    <t>L/LORDS Ltg - The Forge</t>
  </si>
  <si>
    <t>LANCASTER GATE /ENTRANCE</t>
  </si>
  <si>
    <t>FALAISE - Appears to be a drainage charge - No water consumption</t>
  </si>
  <si>
    <t>Denmead Communal Electricity</t>
  </si>
  <si>
    <t>L/LORDS - BROADLANDS</t>
  </si>
  <si>
    <t>L/LORDS - Broadlands</t>
  </si>
  <si>
    <t>L/LORDS - Farthing Grove</t>
  </si>
  <si>
    <t xml:space="preserve">L/LORDS - HARRIER COURT - Block </t>
  </si>
  <si>
    <t>L/LORDS - HIGH ST</t>
  </si>
  <si>
    <t>L/LORDS - Langland Rd,</t>
  </si>
  <si>
    <t>L/LORDS - POLRUN PL</t>
  </si>
  <si>
    <t>St Georges Road - Communal lighting</t>
  </si>
  <si>
    <t>L/LORDS - ENTRANCE xx THAMES</t>
  </si>
  <si>
    <t>L/LORDS - Fishermead BV xx</t>
  </si>
  <si>
    <t xml:space="preserve"> L/LORDS - THE BOUNDARY</t>
  </si>
  <si>
    <t>CAERNARVON CRES ENTRANCE</t>
  </si>
  <si>
    <t>CHESTER CLOSE/ENTRANCE</t>
  </si>
  <si>
    <t>HARLECH PLACE/STAIRWAY</t>
  </si>
  <si>
    <t>FLATS ST Mary's Ave</t>
  </si>
  <si>
    <t>FLATS ST MARY'S AVENUE</t>
  </si>
  <si>
    <t>L/LORD LTG - BLOCK  Leys Court</t>
  </si>
  <si>
    <t>L/LORDS -  Waltham House</t>
  </si>
  <si>
    <t>L/LORDS - Fishermead blvd block</t>
  </si>
  <si>
    <t>L/LORDS -  CHURCH STREET</t>
  </si>
  <si>
    <t>L/LORDS -  BUCKFAST Av</t>
  </si>
  <si>
    <t>L/LORDS - The High Street, Two Mile Ash</t>
  </si>
  <si>
    <t>L/LORDS -  NORTH ROW</t>
  </si>
  <si>
    <t>L/LORDS - BAYARD AV</t>
  </si>
  <si>
    <t>L/LORDS - BEADLEMEAD</t>
  </si>
  <si>
    <t>L/LORDS - Beadlemead</t>
  </si>
  <si>
    <t>L/LORDS - BELLWETHER</t>
  </si>
  <si>
    <t>L/LORDS - BELSIZE AV.</t>
  </si>
  <si>
    <t>L/LORDS - Blackmoor Gate</t>
  </si>
  <si>
    <t>L/LORDS - BOSSINEY PL</t>
  </si>
  <si>
    <t>L/LORDS - BOYCOTT AV</t>
  </si>
  <si>
    <t>L/LORDS - BRIDGEFORD CT</t>
  </si>
  <si>
    <t>L/LORDS - Bridgeford Ct.</t>
  </si>
  <si>
    <t>L/LORDS - BRIDGEWAY</t>
  </si>
  <si>
    <t>L/LORDS - GLEDFIELD PL</t>
  </si>
  <si>
    <t>L/LORDS - GORING</t>
  </si>
  <si>
    <t>L/LORDS - Goring</t>
  </si>
  <si>
    <t>L/LORDS - GT BRICKHILL</t>
  </si>
  <si>
    <t>L/LORDS - Gurnards Ave,</t>
  </si>
  <si>
    <t>L/LORDS - HELFORD PL</t>
  </si>
  <si>
    <t xml:space="preserve">L/LORDS - Helford Pl. </t>
  </si>
  <si>
    <t>L/LORDS - Helford Pl.</t>
  </si>
  <si>
    <t>L/LORDS - HELFORD PL.</t>
  </si>
  <si>
    <t>L/LORDS - HIGH ST.</t>
  </si>
  <si>
    <t>L/LORDS - HUTTON AV</t>
  </si>
  <si>
    <t>L/LORDS - ILLINGWORTH</t>
  </si>
  <si>
    <t>L/LORDS - JENNINGS</t>
  </si>
  <si>
    <t>L/LORDS - KERNOW CRES</t>
  </si>
  <si>
    <t>L/LORDS - KERNOW CRESC</t>
  </si>
  <si>
    <t xml:space="preserve">L/LORDS - KERSEY </t>
  </si>
  <si>
    <t>L/LORDS - KERSEY</t>
  </si>
  <si>
    <t>L/LORDS - KILDONAN PL</t>
  </si>
  <si>
    <t>L/LORDS - KILDONAN PL.</t>
  </si>
  <si>
    <t>L/LORDS - KIRKSTALL PL</t>
  </si>
  <si>
    <t>L/LORDS - LANGLAND RD</t>
  </si>
  <si>
    <t>L/LORDS - Langland Rd.</t>
  </si>
  <si>
    <t>L/LORDS - LARWOOD PL.</t>
  </si>
  <si>
    <t>L/LORDS - LEABERRY</t>
  </si>
  <si>
    <t>L/LORDS - MALLETTS CL</t>
  </si>
  <si>
    <t>L/LORDS - MASON</t>
  </si>
  <si>
    <t>L/LORDS - Mason</t>
  </si>
  <si>
    <t>L/LORDS - MEADS CLOSE</t>
  </si>
  <si>
    <t>L/LORDS - MIDDLESEX DR</t>
  </si>
  <si>
    <t>L/LORDS - MIDDLESEX DV</t>
  </si>
  <si>
    <t>L/LORDS - MIDDX DRIVE</t>
  </si>
  <si>
    <t>L/LORDS - MILBURN AV</t>
  </si>
  <si>
    <t>L/LORDS - MILL LANE</t>
  </si>
  <si>
    <t>L/LORDS - MOORFOOT</t>
  </si>
  <si>
    <t>L/LORDS - MULLEN AV.</t>
  </si>
  <si>
    <t>L/LORDS - MULLION PL</t>
  </si>
  <si>
    <t>L/LORDS - Mullion Pl.</t>
  </si>
  <si>
    <t>L/LORDS - MULLION PL.</t>
  </si>
  <si>
    <t>L/LORDS -  Kernow Cresc &amp;  Fishermead Bvd</t>
  </si>
  <si>
    <t xml:space="preserve">L/LORDS - BROADLANDS </t>
  </si>
  <si>
    <t xml:space="preserve">L/LORDS - Burnet </t>
  </si>
  <si>
    <t>L/LORDS - Burnet</t>
  </si>
  <si>
    <t xml:space="preserve">L/LORDS - CAMPION </t>
  </si>
  <si>
    <t>L/LORDS - CAMPION</t>
  </si>
  <si>
    <t>SOVEREIGN COURT</t>
  </si>
  <si>
    <t>L/Lords Lighting -  Caernarvon Cres. Entrance</t>
  </si>
  <si>
    <t>L/LORDS Boiler - Bramble Ave.</t>
  </si>
  <si>
    <t>L/Lords and Boiler Rm - Ramsons Av</t>
  </si>
  <si>
    <t>L/LORDS - CARRICK RD</t>
  </si>
  <si>
    <t>L/LORDS - CAWARDEN</t>
  </si>
  <si>
    <t>L/LORDS - CENTURY AV</t>
  </si>
  <si>
    <t>L/LORDS - CENTURY AVE</t>
  </si>
  <si>
    <t>L/LORDS - CHAPMAN AV</t>
  </si>
  <si>
    <t>L/LORDS - CHESTNUT CL.</t>
  </si>
  <si>
    <t>L/LORDS - CLEAVERS AV</t>
  </si>
  <si>
    <t>L/LORDS - CLEAVERS AV.</t>
  </si>
  <si>
    <t>L/LORDS - CONNIBRW</t>
  </si>
  <si>
    <t>L/LORDS - CONNIBURROW</t>
  </si>
  <si>
    <t>L/LORDS - CONNIBW BD</t>
  </si>
  <si>
    <t>L/LORDS - CORNWALL GR.</t>
  </si>
  <si>
    <t>L/LORDS - CULRAIN PL.</t>
  </si>
  <si>
    <t>L/LORDS - DALVINA PL.</t>
  </si>
  <si>
    <t>L/LORDS - DERWENT DRV</t>
  </si>
  <si>
    <t>L/LORDS - DEVON CLOSE</t>
  </si>
  <si>
    <t>L/LORDS - DORCHESTER</t>
  </si>
  <si>
    <t>L/LORDS - DORCHESTER AV</t>
  </si>
  <si>
    <t>L/LORDS - DORSET CLOSE</t>
  </si>
  <si>
    <t>L/LORDS - DOWNSBARN BV</t>
  </si>
  <si>
    <t>L/LORDS - DOWNSBRN BD</t>
  </si>
  <si>
    <t>L/LORDS - DOWNSBRN BVD</t>
  </si>
  <si>
    <t>L/LORDS - NORTH TH ST</t>
  </si>
  <si>
    <t>L/LORDS - PADDOCK WAY -</t>
  </si>
  <si>
    <t>L/LORDS - EDINBURGH HSE -</t>
  </si>
  <si>
    <t>L/LORDS - FARMBOROUGH -</t>
  </si>
  <si>
    <t>L/LORDS - NTH TH ST -</t>
  </si>
  <si>
    <t>L/LORDS - Perran Ave. A-E</t>
  </si>
  <si>
    <t xml:space="preserve">L/LORDS - Station Road, </t>
  </si>
  <si>
    <t xml:space="preserve">L/LORDS - The Hide </t>
  </si>
  <si>
    <t>L/LORDS - TOLCARNE AVE A-E</t>
  </si>
  <si>
    <t>L/LORDS - TOWAN AVE  A-E</t>
  </si>
  <si>
    <t>L/LORDS - Towan Ave. A-E</t>
  </si>
  <si>
    <t>L/LORDS - NORTH TH ST -</t>
  </si>
  <si>
    <t>L/LORDS - PROSPECT RD. -</t>
  </si>
  <si>
    <t>L/LORDS - THAMES CLOSE -</t>
  </si>
  <si>
    <t>L/LORDS - DUNVEDIN PL. -</t>
  </si>
  <si>
    <t>L/LORDS - Durrans Court - -</t>
  </si>
  <si>
    <t>L/LORDS - FIELD COURT FLATS -</t>
  </si>
  <si>
    <t>L/LORDS - ROSSAL PL. -</t>
  </si>
  <si>
    <t>L/LORDS - SHEARMANS -</t>
  </si>
  <si>
    <t>L/LORDS - STAMFORD AV. A-E</t>
  </si>
  <si>
    <t>L/LORDS - UNDERWOOD PL -</t>
  </si>
  <si>
    <t>L/LORDS - Farthing Grove -</t>
  </si>
  <si>
    <t>L/LORDS - Fishermead Bvd a-d</t>
  </si>
  <si>
    <t>L/LORDS - PERRAN AVE A-E</t>
  </si>
  <si>
    <t>L/LORDS - Ramsons Av -</t>
  </si>
  <si>
    <t>L/LORDS - STOWE COURT -</t>
  </si>
  <si>
    <t>L/LORDS - STRATHNAVER -</t>
  </si>
  <si>
    <t>L/LORDS - TALLAND AV. A-F</t>
  </si>
  <si>
    <t>L/LORDS - TOLCARNE AV. A-D</t>
  </si>
  <si>
    <t>L/LORDS - Towan Ave A-E</t>
  </si>
  <si>
    <t>L/LORDS - TYBURN AVE A-F</t>
  </si>
  <si>
    <t>L/LORDS - WALBROOK AV. A-F</t>
  </si>
  <si>
    <t>L/LORDS - WOOLMANS -</t>
  </si>
  <si>
    <t>L/LORDS - WYNESS AV. -</t>
  </si>
  <si>
    <t>L/Lords and Boiler Rm - Downsbarn Bvd -</t>
  </si>
  <si>
    <t>L/Lords and Boiler Rm - Mullen Av. -</t>
  </si>
  <si>
    <t>L/LORDS - FALCON AVE A-F</t>
  </si>
  <si>
    <t>L/LORDS - FISHRMEAD BV AF</t>
  </si>
  <si>
    <t>L/LORDS - FISHRMEAD BV A-E</t>
  </si>
  <si>
    <t>L/LORDS - Mullion Place A-E</t>
  </si>
  <si>
    <t>L/LORDS - PADSTOW AV. A-F</t>
  </si>
  <si>
    <t>L/LORDS - PENCARROW PL A-F</t>
  </si>
  <si>
    <t>L/LORDS - Polruan PL. A-E</t>
  </si>
  <si>
    <t>L/LORDS - ST GEORGES -</t>
  </si>
  <si>
    <t>L/LORDS - TALLAND AV A-D</t>
  </si>
  <si>
    <t>L/LORDS - THANE COURT -</t>
  </si>
  <si>
    <t>L/LORDS - THE BOUNDARY -</t>
  </si>
  <si>
    <t>L/LORDS - The Hide -</t>
  </si>
  <si>
    <t>L/LORDS - TOWAN AVE A-E</t>
  </si>
  <si>
    <t>L/LORDS - TURNMILL AV. A-F</t>
  </si>
  <si>
    <t>L/LORDS - TYRILL -</t>
  </si>
  <si>
    <t>L/LORDS - VELLAN AV. A-E</t>
  </si>
  <si>
    <t>L/LORDS - WISLEY AV -</t>
  </si>
  <si>
    <t>L/Lords and Boiler Rm - Ramsons Av -</t>
  </si>
  <si>
    <t>L/LORDS - Fowler -</t>
  </si>
  <si>
    <t>L/LORDS - NORTH ROW -</t>
  </si>
  <si>
    <t>L/LORDS - PENRYN AVE A-E</t>
  </si>
  <si>
    <t>L/LORDS - PERRAN AV. A-E</t>
  </si>
  <si>
    <t>L/LORDS - Ramsons Av. -</t>
  </si>
  <si>
    <t xml:space="preserve">L/LORDS - THE HIDE </t>
  </si>
  <si>
    <t>L/LORDS - TOLCARNE AV. A-E</t>
  </si>
  <si>
    <t>L/LORDS - Towaan Ave. A-E</t>
  </si>
  <si>
    <t>L/LORDS - TURNMILL AV. A-E</t>
  </si>
  <si>
    <t>L/LORDS - Underwood Pl -</t>
  </si>
  <si>
    <t>L/LORDS - WEAVERS HILL -</t>
  </si>
  <si>
    <t>L/LORDS - WOODRUFF AV -</t>
  </si>
  <si>
    <t>L/Lords and Boiler Rm - - CONNIBURROW</t>
  </si>
  <si>
    <t>L/Lords and Boiler Rm - - Conniburrow</t>
  </si>
  <si>
    <t xml:space="preserve">L/LORDS - FARTHING GR </t>
  </si>
  <si>
    <t>L/LORDS - Farthing Grove. -</t>
  </si>
  <si>
    <t>L/LORDS - FOWLER -</t>
  </si>
  <si>
    <t>L/LORDS - MULLION PL. A-F</t>
  </si>
  <si>
    <t>L/LORDS - Mullion Pl. A-F</t>
  </si>
  <si>
    <t>L/LORDS - Mullion PlL. A-D</t>
  </si>
  <si>
    <t>L/LORDS - OLDBROOK BVD -</t>
  </si>
  <si>
    <t>L/LORDS - PENRYN AVE A-F</t>
  </si>
  <si>
    <t>L/LORDS - PLUMSTEAD AV -</t>
  </si>
  <si>
    <t>L/LORDS - POLRUAN PL. A-F</t>
  </si>
  <si>
    <t>L/LORDS - SHACKLETON PL -</t>
  </si>
  <si>
    <t>L/LORDS - SOUTH TH ST</t>
  </si>
  <si>
    <t>L/LORDS - SPRINGFLD BV A-E</t>
  </si>
  <si>
    <t>L/LORDS - SPRINGFLD BV A-F</t>
  </si>
  <si>
    <t>L/LORDS - STANTONBURY CL -</t>
  </si>
  <si>
    <t>L/LORDS - STH.TH.ST.</t>
  </si>
  <si>
    <t>L/LORDS - THE HIDE -</t>
  </si>
  <si>
    <t>L/LORDS - VERRAN PL. A-E</t>
  </si>
  <si>
    <t>L/LORDS - WILIAMS CL. A</t>
  </si>
  <si>
    <t>L/Lords and Boiler Rm - - CONNIBURROW BVD</t>
  </si>
  <si>
    <t>L/LORDS - DOWNSBRN BVD -</t>
  </si>
  <si>
    <t>L/LORDS - POLRUN PL. A-E</t>
  </si>
  <si>
    <t>L/LORDS - RAVIGILL PL. -</t>
  </si>
  <si>
    <t>L/LORDS - SHEPHERDS -</t>
  </si>
  <si>
    <t>L/LORDS - ULYETT PL -</t>
  </si>
  <si>
    <t>L/LORDS - WALBROOK AV. A-C</t>
  </si>
  <si>
    <t>L/LORDS - WILLIAMS CL. -</t>
  </si>
  <si>
    <t>L/Lords and Boiler Rm - - Ramsons Av.</t>
  </si>
  <si>
    <t>L/Lords and Boiler Rm - BRAMBLE AV -</t>
  </si>
  <si>
    <t xml:space="preserve">Milton Keynes Council - Utility Landlord Records from the  SIGMA database as at December </t>
  </si>
  <si>
    <t>L/LORDS - ENTRANCE  - THAMES</t>
  </si>
  <si>
    <t>L/LORDS - Farmborough - M</t>
  </si>
  <si>
    <t>L/LORDS - FARTHING GR. -</t>
  </si>
  <si>
    <t>L/LORDS - FISHERMD BV -</t>
  </si>
  <si>
    <t>L/LORDS - FLATS - NEWPORT ROAD</t>
  </si>
  <si>
    <t>L/LORDS - OLDBRK BV -</t>
  </si>
  <si>
    <t>L/LORDS - SHACKELTON PL -</t>
  </si>
  <si>
    <t>L/LORDS - SPRINGFLD BV A</t>
  </si>
  <si>
    <t>L/LORDS - STH TH ST -</t>
  </si>
  <si>
    <t>L/LORDS - TURNMILL AV. A</t>
  </si>
  <si>
    <t>L/LORDS - Whitethorns -</t>
  </si>
  <si>
    <t>L/LORDS - WILLIAMS CL -</t>
  </si>
  <si>
    <t>L/LORDS - Woolmans -</t>
  </si>
  <si>
    <t>L/Lords and Boiler Rm -  - Downsbarn Bvd</t>
  </si>
  <si>
    <t>L/Lords and Boiler Rm - Nth th - th ST.&amp; Silbury Bvd</t>
  </si>
  <si>
    <t>L/Lords and Boiler Rm - Nth th - th ST.&amp; - Silbury Bvd</t>
  </si>
  <si>
    <t>L/Lords and Boiler Rm - Nth th - th ST.&amp; Silbury Bvd - - NORTH TH STREET</t>
  </si>
  <si>
    <t>L/Lords and Boiler Rm - Nth th - th ST.&amp; Silbury Bvd - . NORTH TH STREET</t>
  </si>
  <si>
    <t>L/Lords and Boiler Rm - Nth th - th ST.&amp; Silbury Bvd - - SILBURY BOULEVARD</t>
  </si>
  <si>
    <t>L/Lords and Boiler Rm - Nth th - th ST.&amp; Silbury Bvd - NORTH TH STREET</t>
  </si>
  <si>
    <t>PERMAYNE - Number  - Office</t>
  </si>
  <si>
    <t>L/LORDS Boiler - Bramble Ave. -</t>
  </si>
  <si>
    <t>Agreed uplifts with Energy Manager</t>
  </si>
  <si>
    <t>HERONS LODGE -</t>
  </si>
  <si>
    <t>DEXTER HOUSE - 1700 m3 estimate</t>
  </si>
  <si>
    <t>DURRANS HOUSE - 1500 m3 estimate</t>
  </si>
  <si>
    <t>MAGDALEN HOUSE - 1500 m3 estimate</t>
  </si>
  <si>
    <t>RADCOTE LODGE - missing rates- 1800 m3</t>
  </si>
  <si>
    <t>52 week basis</t>
  </si>
  <si>
    <t>Cleaning CLN - flat universal rates: £2.25 / £3.31</t>
  </si>
  <si>
    <r>
      <t xml:space="preserve">Electricity Communal ELC - </t>
    </r>
    <r>
      <rPr>
        <b/>
        <sz val="11"/>
        <color rgb="FF0070C0"/>
        <rFont val="Arial"/>
        <family val="2"/>
      </rPr>
      <t>flat universal rates: £4.06 / £11.33</t>
    </r>
  </si>
  <si>
    <r>
      <t xml:space="preserve">Gas Communal GSC - </t>
    </r>
    <r>
      <rPr>
        <b/>
        <sz val="11"/>
        <color rgb="FF0070C0"/>
        <rFont val="Arial"/>
        <family val="2"/>
      </rPr>
      <t>flat universal rates: £2.14 / £5.99</t>
    </r>
  </si>
  <si>
    <r>
      <t>Water Communal WTC -</t>
    </r>
    <r>
      <rPr>
        <b/>
        <sz val="11"/>
        <color rgb="FF0070C0"/>
        <rFont val="Arial"/>
        <family val="2"/>
      </rPr>
      <t xml:space="preserve">  flat universal rates: £0.47 / £0.49</t>
    </r>
  </si>
  <si>
    <t>Communal High (H) / Low (L) scheme usage</t>
  </si>
  <si>
    <t>House/ Flat</t>
  </si>
  <si>
    <t>Personal share - scheme total estimate</t>
  </si>
  <si>
    <t>Basic - bedrooms plus 2 weight for Elec and Gas</t>
  </si>
  <si>
    <t>Removed - confidential</t>
  </si>
  <si>
    <t>ID (sequence NOT related to Address sequence to maintain confidentiality)</t>
  </si>
  <si>
    <r>
      <t>Full Site Address</t>
    </r>
    <r>
      <rPr>
        <b/>
        <sz val="12"/>
        <color rgb="FFFF0000"/>
        <rFont val="Arial"/>
        <family val="2"/>
      </rPr>
      <t xml:space="preserve"> [ID's for individual properties or sub blocks removed to maintain confidentiality}</t>
    </r>
  </si>
  <si>
    <t>NEW 2324 TENANT CHARGES  -  from 3 April 2023</t>
  </si>
  <si>
    <t>Unit cost 2023/2024</t>
  </si>
  <si>
    <t>Variable Service Charge Estimates for 2023-2024 - Sheltered Schemes</t>
  </si>
  <si>
    <t>Total Scheme Costs estimate 2023/ 2024</t>
  </si>
  <si>
    <r>
      <t>Full Site Address</t>
    </r>
    <r>
      <rPr>
        <b/>
        <sz val="12"/>
        <color rgb="FFFF000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</si>
</sst>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3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#,##0;\(#,##0\);\-"/>
    <numFmt numFmtId="165" formatCode="#,##0.00;\(#,##0.00\);\-"/>
    <numFmt numFmtId="166" formatCode="0.000"/>
    <numFmt numFmtId="167" formatCode="_-&quot;£&quot;* #,##0_-;\-&quot;£&quot;* #,##0_-;_-&quot;£&quot;* &quot;-&quot;??_-;_-@_-"/>
    <numFmt numFmtId="168" formatCode="_-[$€-2]* #,##0.00_-;\-[$€-2]* #,##0.00_-;_-[$€-2]* &quot;-&quot;??_-"/>
    <numFmt numFmtId="169" formatCode="0.0%"/>
    <numFmt numFmtId="170" formatCode="0.00000"/>
    <numFmt numFmtId="171" formatCode="_-* #,##0_-;\-* #,##0_-;_-* &quot;-&quot;??_-;_-@_-"/>
    <numFmt numFmtId="172" formatCode="0.0000"/>
    <numFmt numFmtId="173" formatCode="0.000%"/>
    <numFmt numFmtId="174" formatCode="_-[$£-809]* #,##0.0_-;\-[$£-809]* #,##0.0_-;_-[$£-809]* &quot;-&quot;??_-;_-@_-"/>
  </numFmts>
  <fonts count="55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  <font>
      <b/>
      <sz val="10"/>
      <name val="Arial"/>
      <family val="2"/>
    </font>
    <font>
      <u/>
      <sz val="12"/>
      <color theme="10"/>
      <name val="Arial"/>
      <family val="2"/>
    </font>
    <font>
      <sz val="10"/>
      <color theme="1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2"/>
      <color rgb="FF0000FF"/>
      <name val="Arial"/>
      <family val="2"/>
    </font>
    <font>
      <i/>
      <sz val="12"/>
      <color rgb="FFFF0000"/>
      <name val="Arial"/>
      <family val="2"/>
    </font>
    <font>
      <sz val="11"/>
      <name val="Arial"/>
      <family val="2"/>
    </font>
    <font>
      <b/>
      <sz val="11"/>
      <color rgb="FF0000FF"/>
      <name val="Arial"/>
      <family val="2"/>
    </font>
    <font>
      <sz val="11"/>
      <color rgb="FF0000FF"/>
      <name val="Arial"/>
      <family val="2"/>
    </font>
    <font>
      <b/>
      <sz val="16"/>
      <name val="Arial"/>
      <family val="2"/>
    </font>
    <font>
      <sz val="12"/>
      <color rgb="FF7030A0"/>
      <name val="Arial"/>
      <family val="2"/>
    </font>
    <font>
      <u/>
      <sz val="10"/>
      <color rgb="FF0000FF"/>
      <name val="Arial"/>
      <family val="2"/>
    </font>
    <font>
      <sz val="8"/>
      <name val="Arial"/>
      <family val="2"/>
    </font>
    <font>
      <i/>
      <sz val="11"/>
      <name val="Arial"/>
      <family val="2"/>
    </font>
    <font>
      <b/>
      <u/>
      <sz val="12"/>
      <color theme="1"/>
      <name val="Arial"/>
      <family val="2"/>
    </font>
    <font>
      <b/>
      <sz val="14"/>
      <color theme="0"/>
      <name val="Arial"/>
      <family val="2"/>
    </font>
    <font>
      <b/>
      <i/>
      <sz val="14"/>
      <color rgb="FF00B050"/>
      <name val="Arial"/>
      <family val="2"/>
    </font>
    <font>
      <b/>
      <i/>
      <sz val="14"/>
      <color rgb="FFFF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rgb="FF0070C0"/>
      <name val="Arial"/>
      <family val="2"/>
    </font>
    <font>
      <i/>
      <sz val="12"/>
      <color theme="1"/>
      <name val="Arial"/>
      <family val="2"/>
    </font>
    <font>
      <b/>
      <i/>
      <sz val="12"/>
      <color theme="1"/>
      <name val="Arial"/>
      <family val="2"/>
    </font>
    <font>
      <sz val="8"/>
      <color rgb="FFFF0000"/>
      <name val="Arial"/>
      <family val="2"/>
    </font>
    <font>
      <b/>
      <sz val="12"/>
      <color rgb="FF00B050"/>
      <name val="Arial"/>
      <family val="2"/>
    </font>
    <font>
      <sz val="12"/>
      <color rgb="FF00B050"/>
      <name val="Arial"/>
      <family val="2"/>
    </font>
    <font>
      <sz val="9"/>
      <color rgb="FFFF0000"/>
      <name val="Arial"/>
      <family val="2"/>
    </font>
    <font>
      <b/>
      <u/>
      <sz val="16"/>
      <name val="Arial"/>
      <family val="2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CFF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666666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82">
    <xf numFmtId="0" fontId="0" fillId="0" borderId="0"/>
    <xf numFmtId="0" fontId="4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4" applyNumberFormat="0" applyAlignment="0" applyProtection="0"/>
    <xf numFmtId="0" fontId="14" fillId="7" borderId="5" applyNumberFormat="0" applyAlignment="0" applyProtection="0"/>
    <xf numFmtId="0" fontId="15" fillId="7" borderId="4" applyNumberFormat="0" applyAlignment="0" applyProtection="0"/>
    <xf numFmtId="0" fontId="16" fillId="0" borderId="6" applyNumberFormat="0" applyFill="0" applyAlignment="0" applyProtection="0"/>
    <xf numFmtId="0" fontId="17" fillId="8" borderId="7" applyNumberFormat="0" applyAlignment="0" applyProtection="0"/>
    <xf numFmtId="0" fontId="18" fillId="0" borderId="0" applyNumberFormat="0" applyFill="0" applyBorder="0" applyAlignment="0" applyProtection="0"/>
    <xf numFmtId="0" fontId="3" fillId="9" borderId="8" applyNumberFormat="0" applyFont="0" applyAlignment="0" applyProtection="0"/>
    <xf numFmtId="0" fontId="19" fillId="0" borderId="0" applyNumberFormat="0" applyFill="0" applyBorder="0" applyAlignment="0" applyProtection="0"/>
    <xf numFmtId="0" fontId="5" fillId="0" borderId="9" applyNumberFormat="0" applyFill="0" applyAlignment="0" applyProtection="0"/>
    <xf numFmtId="0" fontId="20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0" fillId="33" borderId="0" applyNumberFormat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4" fillId="0" borderId="0"/>
    <xf numFmtId="44" fontId="4" fillId="0" borderId="0" applyFont="0" applyFill="0" applyBorder="0" applyAlignment="0" applyProtection="0"/>
    <xf numFmtId="49" fontId="22" fillId="0" borderId="0" applyFill="0" applyBorder="0" applyProtection="0">
      <alignment horizontal="center"/>
    </xf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5" fillId="0" borderId="0"/>
    <xf numFmtId="0" fontId="4" fillId="0" borderId="0"/>
    <xf numFmtId="0" fontId="2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83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0" fontId="18" fillId="0" borderId="0" xfId="0" applyFont="1"/>
    <xf numFmtId="0" fontId="5" fillId="0" borderId="0" xfId="0" applyFont="1" applyAlignment="1">
      <alignment horizontal="center" vertical="center" wrapText="1"/>
    </xf>
    <xf numFmtId="0" fontId="3" fillId="0" borderId="0" xfId="0" applyFont="1"/>
    <xf numFmtId="0" fontId="3" fillId="42" borderId="0" xfId="0" applyFont="1" applyFill="1"/>
    <xf numFmtId="0" fontId="3" fillId="0" borderId="0" xfId="0" applyFont="1" applyAlignment="1">
      <alignment horizontal="center"/>
    </xf>
    <xf numFmtId="1" fontId="3" fillId="0" borderId="0" xfId="47" applyNumberFormat="1" applyFont="1" applyAlignment="1">
      <alignment horizontal="center"/>
    </xf>
    <xf numFmtId="171" fontId="5" fillId="0" borderId="0" xfId="44" applyNumberFormat="1" applyFont="1" applyAlignment="1">
      <alignment horizontal="center"/>
    </xf>
    <xf numFmtId="171" fontId="3" fillId="0" borderId="0" xfId="44" applyNumberFormat="1" applyFont="1" applyAlignment="1">
      <alignment horizontal="center"/>
    </xf>
    <xf numFmtId="0" fontId="41" fillId="0" borderId="0" xfId="0" applyFont="1"/>
    <xf numFmtId="2" fontId="3" fillId="0" borderId="0" xfId="0" applyNumberFormat="1" applyFont="1"/>
    <xf numFmtId="0" fontId="43" fillId="0" borderId="0" xfId="0" applyFont="1" applyAlignment="1">
      <alignment horizontal="left"/>
    </xf>
    <xf numFmtId="0" fontId="42" fillId="0" borderId="0" xfId="0" applyFont="1" applyAlignment="1">
      <alignment horizontal="center"/>
    </xf>
    <xf numFmtId="1" fontId="42" fillId="0" borderId="0" xfId="0" applyNumberFormat="1" applyFont="1" applyAlignment="1">
      <alignment horizontal="center"/>
    </xf>
    <xf numFmtId="171" fontId="42" fillId="0" borderId="0" xfId="44" applyNumberFormat="1" applyFont="1" applyAlignment="1">
      <alignment horizontal="center"/>
    </xf>
    <xf numFmtId="10" fontId="3" fillId="0" borderId="0" xfId="47" applyNumberFormat="1" applyFont="1" applyFill="1" applyAlignment="1">
      <alignment horizontal="center"/>
    </xf>
    <xf numFmtId="0" fontId="27" fillId="0" borderId="0" xfId="0" applyFont="1"/>
    <xf numFmtId="0" fontId="44" fillId="0" borderId="0" xfId="0" applyFont="1" applyAlignment="1">
      <alignment horizontal="left"/>
    </xf>
    <xf numFmtId="0" fontId="5" fillId="42" borderId="0" xfId="0" applyFont="1" applyFill="1"/>
    <xf numFmtId="1" fontId="5" fillId="0" borderId="0" xfId="47" applyNumberFormat="1" applyFont="1" applyAlignment="1">
      <alignment horizontal="center"/>
    </xf>
    <xf numFmtId="2" fontId="5" fillId="0" borderId="0" xfId="0" applyNumberFormat="1" applyFont="1"/>
    <xf numFmtId="0" fontId="5" fillId="42" borderId="0" xfId="0" applyFont="1" applyFill="1" applyAlignment="1">
      <alignment horizontal="center" vertical="center" wrapText="1"/>
    </xf>
    <xf numFmtId="0" fontId="5" fillId="39" borderId="0" xfId="0" applyFont="1" applyFill="1" applyAlignment="1">
      <alignment vertical="center" wrapText="1"/>
    </xf>
    <xf numFmtId="0" fontId="3" fillId="38" borderId="0" xfId="0" applyFont="1" applyFill="1"/>
    <xf numFmtId="0" fontId="3" fillId="43" borderId="0" xfId="0" applyFont="1" applyFill="1"/>
    <xf numFmtId="0" fontId="3" fillId="42" borderId="0" xfId="0" applyFont="1" applyFill="1" applyAlignment="1">
      <alignment horizontal="center" vertical="center" wrapText="1"/>
    </xf>
    <xf numFmtId="2" fontId="3" fillId="0" borderId="0" xfId="0" applyNumberFormat="1" applyFont="1" applyAlignment="1">
      <alignment horizontal="center" vertical="center" wrapText="1"/>
    </xf>
    <xf numFmtId="2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172" fontId="5" fillId="0" borderId="0" xfId="0" applyNumberFormat="1" applyFont="1" applyAlignment="1">
      <alignment horizontal="center" vertical="center" wrapText="1"/>
    </xf>
    <xf numFmtId="44" fontId="3" fillId="0" borderId="0" xfId="45" applyFont="1" applyAlignment="1">
      <alignment horizontal="center" vertical="center" wrapText="1"/>
    </xf>
    <xf numFmtId="44" fontId="5" fillId="0" borderId="0" xfId="45" applyFont="1" applyAlignment="1">
      <alignment horizontal="center" vertical="center" wrapText="1"/>
    </xf>
    <xf numFmtId="166" fontId="3" fillId="0" borderId="0" xfId="0" applyNumberFormat="1" applyFont="1" applyAlignment="1">
      <alignment horizontal="center"/>
    </xf>
    <xf numFmtId="0" fontId="3" fillId="42" borderId="0" xfId="0" applyFont="1" applyFill="1" applyAlignment="1">
      <alignment horizontal="center"/>
    </xf>
    <xf numFmtId="1" fontId="3" fillId="42" borderId="0" xfId="47" applyNumberFormat="1" applyFont="1" applyFill="1" applyAlignment="1">
      <alignment horizontal="center"/>
    </xf>
    <xf numFmtId="171" fontId="5" fillId="42" borderId="0" xfId="44" applyNumberFormat="1" applyFont="1" applyFill="1" applyAlignment="1">
      <alignment horizontal="center"/>
    </xf>
    <xf numFmtId="171" fontId="3" fillId="42" borderId="0" xfId="44" applyNumberFormat="1" applyFont="1" applyFill="1" applyAlignment="1">
      <alignment horizontal="center"/>
    </xf>
    <xf numFmtId="2" fontId="3" fillId="42" borderId="0" xfId="0" applyNumberFormat="1" applyFont="1" applyFill="1"/>
    <xf numFmtId="43" fontId="5" fillId="0" borderId="0" xfId="44" applyFont="1"/>
    <xf numFmtId="173" fontId="5" fillId="0" borderId="0" xfId="47" applyNumberFormat="1" applyFont="1" applyAlignment="1">
      <alignment horizontal="center"/>
    </xf>
    <xf numFmtId="170" fontId="5" fillId="0" borderId="0" xfId="0" applyNumberFormat="1" applyFont="1" applyAlignment="1">
      <alignment horizontal="left"/>
    </xf>
    <xf numFmtId="10" fontId="3" fillId="0" borderId="0" xfId="0" applyNumberFormat="1" applyFont="1" applyAlignment="1">
      <alignment horizontal="center"/>
    </xf>
    <xf numFmtId="170" fontId="3" fillId="0" borderId="0" xfId="0" applyNumberFormat="1" applyFont="1"/>
    <xf numFmtId="10" fontId="5" fillId="44" borderId="0" xfId="47" applyNumberFormat="1" applyFont="1" applyFill="1" applyAlignment="1">
      <alignment horizontal="center"/>
    </xf>
    <xf numFmtId="10" fontId="5" fillId="44" borderId="0" xfId="0" applyNumberFormat="1" applyFont="1" applyFill="1" applyAlignment="1">
      <alignment horizontal="center"/>
    </xf>
    <xf numFmtId="167" fontId="5" fillId="0" borderId="0" xfId="45" applyNumberFormat="1" applyFont="1"/>
    <xf numFmtId="170" fontId="5" fillId="0" borderId="0" xfId="0" applyNumberFormat="1" applyFont="1"/>
    <xf numFmtId="0" fontId="27" fillId="0" borderId="0" xfId="0" applyFont="1" applyAlignment="1">
      <alignment horizontal="center"/>
    </xf>
    <xf numFmtId="2" fontId="27" fillId="0" borderId="0" xfId="0" applyNumberFormat="1" applyFont="1"/>
    <xf numFmtId="170" fontId="5" fillId="41" borderId="0" xfId="0" applyNumberFormat="1" applyFont="1" applyFill="1" applyAlignment="1">
      <alignment horizontal="center" vertical="center" wrapText="1"/>
    </xf>
    <xf numFmtId="166" fontId="3" fillId="0" borderId="0" xfId="0" applyNumberFormat="1" applyFont="1" applyAlignment="1">
      <alignment horizontal="center" vertical="center" wrapText="1"/>
    </xf>
    <xf numFmtId="170" fontId="3" fillId="0" borderId="0" xfId="0" applyNumberFormat="1" applyFont="1" applyAlignment="1">
      <alignment horizontal="center" vertical="center" wrapText="1"/>
    </xf>
    <xf numFmtId="172" fontId="3" fillId="0" borderId="0" xfId="0" applyNumberFormat="1" applyFont="1" applyAlignment="1">
      <alignment horizontal="center" vertical="center" wrapText="1"/>
    </xf>
    <xf numFmtId="44" fontId="5" fillId="41" borderId="0" xfId="45" applyFont="1" applyFill="1" applyAlignment="1">
      <alignment horizontal="center" vertical="center" wrapText="1"/>
    </xf>
    <xf numFmtId="0" fontId="3" fillId="34" borderId="0" xfId="0" applyFont="1" applyFill="1" applyAlignment="1">
      <alignment horizontal="center" vertical="center" wrapText="1"/>
    </xf>
    <xf numFmtId="170" fontId="3" fillId="34" borderId="0" xfId="0" applyNumberFormat="1" applyFont="1" applyFill="1" applyAlignment="1">
      <alignment horizontal="center" vertical="center" wrapText="1"/>
    </xf>
    <xf numFmtId="1" fontId="17" fillId="42" borderId="0" xfId="0" applyNumberFormat="1" applyFont="1" applyFill="1" applyAlignment="1">
      <alignment horizontal="center" vertical="center" wrapText="1"/>
    </xf>
    <xf numFmtId="0" fontId="5" fillId="39" borderId="0" xfId="0" applyFont="1" applyFill="1" applyAlignment="1">
      <alignment horizontal="center" vertical="center" wrapText="1"/>
    </xf>
    <xf numFmtId="0" fontId="17" fillId="42" borderId="0" xfId="0" applyFont="1" applyFill="1" applyAlignment="1">
      <alignment horizontal="center" vertical="center" wrapText="1"/>
    </xf>
    <xf numFmtId="171" fontId="3" fillId="0" borderId="0" xfId="44" applyNumberFormat="1" applyFont="1" applyFill="1" applyAlignment="1">
      <alignment horizontal="center"/>
    </xf>
    <xf numFmtId="171" fontId="25" fillId="0" borderId="0" xfId="44" applyNumberFormat="1" applyFont="1" applyAlignment="1">
      <alignment horizontal="center"/>
    </xf>
    <xf numFmtId="171" fontId="18" fillId="0" borderId="0" xfId="44" applyNumberFormat="1" applyFont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18" fillId="0" borderId="0" xfId="0" applyFont="1" applyFill="1"/>
    <xf numFmtId="0" fontId="25" fillId="0" borderId="0" xfId="0" applyFont="1" applyFill="1"/>
    <xf numFmtId="1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wrapText="1"/>
    </xf>
    <xf numFmtId="1" fontId="3" fillId="0" borderId="0" xfId="0" applyNumberFormat="1" applyFont="1" applyFill="1"/>
    <xf numFmtId="0" fontId="18" fillId="0" borderId="0" xfId="0" applyFont="1" applyFill="1" applyAlignment="1">
      <alignment horizontal="left"/>
    </xf>
    <xf numFmtId="0" fontId="3" fillId="0" borderId="0" xfId="0" applyFont="1" applyAlignment="1">
      <alignment wrapText="1"/>
    </xf>
    <xf numFmtId="0" fontId="3" fillId="0" borderId="11" xfId="0" applyFont="1" applyBorder="1" applyAlignment="1">
      <alignment horizontal="left"/>
    </xf>
    <xf numFmtId="0" fontId="3" fillId="0" borderId="0" xfId="0" applyFont="1" applyAlignment="1">
      <alignment vertical="top"/>
    </xf>
    <xf numFmtId="0" fontId="25" fillId="0" borderId="0" xfId="0" applyFont="1" applyAlignment="1">
      <alignment vertical="top"/>
    </xf>
    <xf numFmtId="0" fontId="3" fillId="0" borderId="11" xfId="0" applyFont="1" applyFill="1" applyBorder="1" applyAlignment="1">
      <alignment horizontal="left"/>
    </xf>
    <xf numFmtId="0" fontId="27" fillId="0" borderId="0" xfId="0" applyFont="1" applyFill="1" applyAlignment="1">
      <alignment horizontal="center"/>
    </xf>
    <xf numFmtId="44" fontId="3" fillId="0" borderId="0" xfId="45" applyFont="1" applyFill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5" fillId="34" borderId="0" xfId="0" applyFont="1" applyFill="1" applyAlignment="1"/>
    <xf numFmtId="0" fontId="5" fillId="34" borderId="0" xfId="0" applyFont="1" applyFill="1" applyAlignment="1">
      <alignment horizontal="center" vertical="center" wrapText="1"/>
    </xf>
    <xf numFmtId="0" fontId="5" fillId="39" borderId="0" xfId="0" applyFont="1" applyFill="1" applyAlignment="1">
      <alignment horizontal="center" vertical="center" wrapText="1"/>
    </xf>
    <xf numFmtId="0" fontId="17" fillId="42" borderId="0" xfId="0" applyFont="1" applyFill="1" applyAlignment="1">
      <alignment horizontal="center" vertical="center" wrapText="1"/>
    </xf>
    <xf numFmtId="1" fontId="17" fillId="42" borderId="0" xfId="0" applyNumberFormat="1" applyFont="1" applyFill="1" applyAlignment="1">
      <alignment horizontal="center" vertical="center" wrapText="1"/>
    </xf>
    <xf numFmtId="0" fontId="30" fillId="2" borderId="11" xfId="0" applyFont="1" applyFill="1" applyBorder="1" applyAlignment="1">
      <alignment vertical="top"/>
    </xf>
    <xf numFmtId="0" fontId="33" fillId="2" borderId="11" xfId="0" applyFont="1" applyFill="1" applyBorder="1" applyAlignment="1">
      <alignment vertical="top"/>
    </xf>
    <xf numFmtId="0" fontId="33" fillId="2" borderId="11" xfId="0" applyFont="1" applyFill="1" applyBorder="1" applyAlignment="1">
      <alignment vertical="top" wrapText="1"/>
    </xf>
    <xf numFmtId="0" fontId="33" fillId="2" borderId="11" xfId="0" applyFont="1" applyFill="1" applyBorder="1" applyAlignment="1">
      <alignment horizontal="center" vertical="top" wrapText="1"/>
    </xf>
    <xf numFmtId="0" fontId="33" fillId="2" borderId="11" xfId="0" applyFont="1" applyFill="1" applyBorder="1" applyAlignment="1">
      <alignment horizontal="center" vertical="top"/>
    </xf>
    <xf numFmtId="49" fontId="34" fillId="35" borderId="11" xfId="0" applyNumberFormat="1" applyFont="1" applyFill="1" applyBorder="1" applyAlignment="1">
      <alignment horizontal="center" vertical="center" wrapText="1"/>
    </xf>
    <xf numFmtId="165" fontId="33" fillId="2" borderId="11" xfId="0" applyNumberFormat="1" applyFont="1" applyFill="1" applyBorder="1" applyAlignment="1">
      <alignment vertical="top"/>
    </xf>
    <xf numFmtId="0" fontId="36" fillId="2" borderId="11" xfId="0" applyFont="1" applyFill="1" applyBorder="1" applyAlignment="1">
      <alignment vertical="top"/>
    </xf>
    <xf numFmtId="164" fontId="28" fillId="2" borderId="11" xfId="0" applyNumberFormat="1" applyFont="1" applyFill="1" applyBorder="1" applyAlignment="1">
      <alignment horizontal="left" vertical="top"/>
    </xf>
    <xf numFmtId="164" fontId="28" fillId="2" borderId="11" xfId="0" applyNumberFormat="1" applyFont="1" applyFill="1" applyBorder="1" applyAlignment="1">
      <alignment horizontal="center" vertical="top"/>
    </xf>
    <xf numFmtId="0" fontId="28" fillId="35" borderId="11" xfId="0" applyFont="1" applyFill="1" applyBorder="1" applyAlignment="1">
      <alignment vertical="top"/>
    </xf>
    <xf numFmtId="0" fontId="28" fillId="35" borderId="11" xfId="0" applyFont="1" applyFill="1" applyBorder="1" applyAlignment="1">
      <alignment vertical="top" wrapText="1"/>
    </xf>
    <xf numFmtId="0" fontId="28" fillId="35" borderId="11" xfId="0" applyFont="1" applyFill="1" applyBorder="1" applyAlignment="1">
      <alignment horizontal="center" vertical="top" wrapText="1"/>
    </xf>
    <xf numFmtId="43" fontId="28" fillId="35" borderId="11" xfId="44" applyFont="1" applyFill="1" applyBorder="1" applyAlignment="1">
      <alignment horizontal="center" vertical="top" wrapText="1"/>
    </xf>
    <xf numFmtId="171" fontId="27" fillId="35" borderId="11" xfId="0" applyNumberFormat="1" applyFont="1" applyFill="1" applyBorder="1" applyAlignment="1">
      <alignment horizontal="center" vertical="top" wrapText="1"/>
    </xf>
    <xf numFmtId="0" fontId="29" fillId="2" borderId="11" xfId="0" applyFont="1" applyFill="1" applyBorder="1" applyAlignment="1">
      <alignment horizontal="center" vertical="top" wrapText="1"/>
    </xf>
    <xf numFmtId="0" fontId="28" fillId="2" borderId="11" xfId="0" applyFont="1" applyFill="1" applyBorder="1" applyAlignment="1">
      <alignment vertical="top"/>
    </xf>
    <xf numFmtId="0" fontId="51" fillId="2" borderId="11" xfId="0" applyFont="1" applyFill="1" applyBorder="1" applyAlignment="1">
      <alignment vertical="top"/>
    </xf>
    <xf numFmtId="3" fontId="33" fillId="35" borderId="11" xfId="0" applyNumberFormat="1" applyFont="1" applyFill="1" applyBorder="1" applyAlignment="1">
      <alignment horizontal="right" vertical="top"/>
    </xf>
    <xf numFmtId="3" fontId="33" fillId="35" borderId="11" xfId="0" applyNumberFormat="1" applyFont="1" applyFill="1" applyBorder="1" applyAlignment="1">
      <alignment horizontal="center" vertical="top"/>
    </xf>
    <xf numFmtId="3" fontId="33" fillId="35" borderId="11" xfId="0" applyNumberFormat="1" applyFont="1" applyFill="1" applyBorder="1" applyAlignment="1">
      <alignment vertical="top" wrapText="1"/>
    </xf>
    <xf numFmtId="0" fontId="33" fillId="35" borderId="11" xfId="0" applyFont="1" applyFill="1" applyBorder="1" applyAlignment="1">
      <alignment horizontal="center" vertical="top" wrapText="1"/>
    </xf>
    <xf numFmtId="3" fontId="33" fillId="35" borderId="11" xfId="0" applyNumberFormat="1" applyFont="1" applyFill="1" applyBorder="1" applyAlignment="1">
      <alignment horizontal="center" vertical="top" wrapText="1"/>
    </xf>
    <xf numFmtId="0" fontId="50" fillId="2" borderId="11" xfId="0" applyFont="1" applyFill="1" applyBorder="1" applyAlignment="1">
      <alignment horizontal="center" wrapText="1"/>
    </xf>
    <xf numFmtId="49" fontId="33" fillId="35" borderId="11" xfId="0" applyNumberFormat="1" applyFont="1" applyFill="1" applyBorder="1" applyAlignment="1">
      <alignment horizontal="right" vertical="top"/>
    </xf>
    <xf numFmtId="3" fontId="28" fillId="46" borderId="11" xfId="0" applyNumberFormat="1" applyFont="1" applyFill="1" applyBorder="1" applyAlignment="1">
      <alignment horizontal="left" vertical="top"/>
    </xf>
    <xf numFmtId="3" fontId="33" fillId="46" borderId="11" xfId="0" applyNumberFormat="1" applyFont="1" applyFill="1" applyBorder="1" applyAlignment="1">
      <alignment horizontal="center" vertical="top" wrapText="1"/>
    </xf>
    <xf numFmtId="0" fontId="30" fillId="2" borderId="11" xfId="0" applyFont="1" applyFill="1" applyBorder="1" applyAlignment="1">
      <alignment vertical="top" wrapText="1"/>
    </xf>
    <xf numFmtId="0" fontId="53" fillId="2" borderId="11" xfId="0" applyFont="1" applyFill="1" applyBorder="1" applyAlignment="1">
      <alignment vertical="top" wrapText="1"/>
    </xf>
    <xf numFmtId="49" fontId="30" fillId="49" borderId="11" xfId="0" applyNumberFormat="1" applyFont="1" applyFill="1" applyBorder="1" applyAlignment="1">
      <alignment horizontal="center" vertical="top" wrapText="1"/>
    </xf>
    <xf numFmtId="49" fontId="30" fillId="35" borderId="11" xfId="0" applyNumberFormat="1" applyFont="1" applyFill="1" applyBorder="1" applyAlignment="1">
      <alignment horizontal="center" vertical="top" wrapText="1"/>
    </xf>
    <xf numFmtId="3" fontId="30" fillId="35" borderId="11" xfId="0" applyNumberFormat="1" applyFont="1" applyFill="1" applyBorder="1" applyAlignment="1">
      <alignment horizontal="center" vertical="top" wrapText="1"/>
    </xf>
    <xf numFmtId="3" fontId="30" fillId="46" borderId="11" xfId="0" applyNumberFormat="1" applyFont="1" applyFill="1" applyBorder="1" applyAlignment="1">
      <alignment horizontal="center" vertical="top" wrapText="1"/>
    </xf>
    <xf numFmtId="3" fontId="30" fillId="48" borderId="11" xfId="0" applyNumberFormat="1" applyFont="1" applyFill="1" applyBorder="1" applyAlignment="1">
      <alignment horizontal="center" vertical="top" wrapText="1"/>
    </xf>
    <xf numFmtId="49" fontId="30" fillId="46" borderId="11" xfId="0" applyNumberFormat="1" applyFont="1" applyFill="1" applyBorder="1" applyAlignment="1">
      <alignment horizontal="center" vertical="top" wrapText="1"/>
    </xf>
    <xf numFmtId="49" fontId="30" fillId="48" borderId="11" xfId="0" applyNumberFormat="1" applyFont="1" applyFill="1" applyBorder="1" applyAlignment="1">
      <alignment horizontal="center" vertical="top" wrapText="1"/>
    </xf>
    <xf numFmtId="44" fontId="31" fillId="35" borderId="11" xfId="45" applyFont="1" applyFill="1" applyBorder="1" applyAlignment="1">
      <alignment horizontal="center" vertical="top" wrapText="1"/>
    </xf>
    <xf numFmtId="0" fontId="30" fillId="2" borderId="11" xfId="0" applyFont="1" applyFill="1" applyBorder="1" applyAlignment="1">
      <alignment horizontal="center" vertical="top" wrapText="1"/>
    </xf>
    <xf numFmtId="171" fontId="33" fillId="2" borderId="11" xfId="44" applyNumberFormat="1" applyFont="1" applyFill="1" applyBorder="1" applyAlignment="1">
      <alignment vertical="top"/>
    </xf>
    <xf numFmtId="164" fontId="33" fillId="2" borderId="11" xfId="44" applyNumberFormat="1" applyFont="1" applyFill="1" applyBorder="1" applyAlignment="1">
      <alignment vertical="top"/>
    </xf>
    <xf numFmtId="1" fontId="33" fillId="2" borderId="11" xfId="44" applyNumberFormat="1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 vertical="top"/>
    </xf>
    <xf numFmtId="3" fontId="33" fillId="2" borderId="11" xfId="0" applyNumberFormat="1" applyFont="1" applyFill="1" applyBorder="1" applyAlignment="1">
      <alignment horizontal="center" vertical="top"/>
    </xf>
    <xf numFmtId="9" fontId="33" fillId="2" borderId="11" xfId="47" applyFont="1" applyFill="1" applyBorder="1" applyAlignment="1">
      <alignment horizontal="center" vertical="top"/>
    </xf>
    <xf numFmtId="171" fontId="33" fillId="2" borderId="11" xfId="44" applyNumberFormat="1" applyFont="1" applyFill="1" applyBorder="1" applyAlignment="1">
      <alignment horizontal="center" vertical="top"/>
    </xf>
    <xf numFmtId="43" fontId="33" fillId="2" borderId="11" xfId="44" applyFont="1" applyFill="1" applyBorder="1" applyAlignment="1">
      <alignment horizontal="center" vertical="top"/>
    </xf>
    <xf numFmtId="4" fontId="33" fillId="2" borderId="11" xfId="0" applyNumberFormat="1" applyFont="1" applyFill="1" applyBorder="1" applyAlignment="1">
      <alignment vertical="top"/>
    </xf>
    <xf numFmtId="0" fontId="35" fillId="2" borderId="11" xfId="0" applyFont="1" applyFill="1" applyBorder="1" applyAlignment="1">
      <alignment horizontal="center" vertical="center"/>
    </xf>
    <xf numFmtId="0" fontId="28" fillId="2" borderId="11" xfId="0" applyFont="1" applyFill="1" applyBorder="1" applyAlignment="1">
      <alignment horizontal="center" vertical="top"/>
    </xf>
    <xf numFmtId="3" fontId="40" fillId="35" borderId="11" xfId="0" applyNumberFormat="1" applyFont="1" applyFill="1" applyBorder="1" applyAlignment="1">
      <alignment horizontal="center"/>
    </xf>
    <xf numFmtId="164" fontId="40" fillId="35" borderId="11" xfId="46" applyNumberFormat="1" applyFont="1" applyFill="1" applyBorder="1" applyAlignment="1">
      <alignment horizontal="center"/>
    </xf>
    <xf numFmtId="165" fontId="30" fillId="2" borderId="11" xfId="0" applyNumberFormat="1" applyFont="1" applyFill="1" applyBorder="1" applyAlignment="1">
      <alignment horizontal="center" vertical="top"/>
    </xf>
    <xf numFmtId="0" fontId="30" fillId="2" borderId="11" xfId="0" applyFont="1" applyFill="1" applyBorder="1" applyAlignment="1">
      <alignment horizontal="center" vertical="top"/>
    </xf>
    <xf numFmtId="164" fontId="0" fillId="2" borderId="1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11" xfId="0" applyFont="1" applyBorder="1"/>
    <xf numFmtId="0" fontId="3" fillId="0" borderId="11" xfId="0" applyFont="1" applyBorder="1" applyAlignment="1">
      <alignment horizontal="center"/>
    </xf>
    <xf numFmtId="0" fontId="3" fillId="42" borderId="11" xfId="0" applyFont="1" applyFill="1" applyBorder="1"/>
    <xf numFmtId="1" fontId="3" fillId="0" borderId="11" xfId="80" applyNumberFormat="1" applyFont="1" applyBorder="1" applyAlignment="1">
      <alignment horizontal="center"/>
    </xf>
    <xf numFmtId="173" fontId="3" fillId="0" borderId="11" xfId="80" applyNumberFormat="1" applyFont="1" applyBorder="1" applyAlignment="1">
      <alignment horizontal="center"/>
    </xf>
    <xf numFmtId="1" fontId="5" fillId="0" borderId="11" xfId="80" applyNumberFormat="1" applyFont="1" applyBorder="1" applyAlignment="1">
      <alignment horizontal="center"/>
    </xf>
    <xf numFmtId="172" fontId="41" fillId="0" borderId="11" xfId="0" applyNumberFormat="1" applyFont="1" applyBorder="1" applyAlignment="1">
      <alignment horizontal="center"/>
    </xf>
    <xf numFmtId="0" fontId="41" fillId="0" borderId="11" xfId="0" applyFont="1" applyBorder="1" applyAlignment="1">
      <alignment horizontal="center"/>
    </xf>
    <xf numFmtId="0" fontId="25" fillId="0" borderId="11" xfId="0" applyFont="1" applyFill="1" applyBorder="1"/>
    <xf numFmtId="0" fontId="25" fillId="0" borderId="11" xfId="79" applyFont="1" applyFill="1" applyBorder="1"/>
    <xf numFmtId="0" fontId="3" fillId="0" borderId="11" xfId="79" applyFont="1" applyBorder="1"/>
    <xf numFmtId="0" fontId="41" fillId="0" borderId="11" xfId="0" applyFont="1" applyBorder="1"/>
    <xf numFmtId="0" fontId="42" fillId="42" borderId="11" xfId="0" applyFont="1" applyFill="1" applyBorder="1" applyAlignment="1">
      <alignment horizontal="center" vertical="center"/>
    </xf>
    <xf numFmtId="0" fontId="43" fillId="0" borderId="11" xfId="0" applyFont="1" applyBorder="1" applyAlignment="1">
      <alignment horizontal="left"/>
    </xf>
    <xf numFmtId="0" fontId="5" fillId="0" borderId="11" xfId="0" applyFont="1" applyBorder="1"/>
    <xf numFmtId="0" fontId="5" fillId="0" borderId="11" xfId="0" applyFont="1" applyBorder="1" applyAlignment="1">
      <alignment horizontal="left"/>
    </xf>
    <xf numFmtId="10" fontId="5" fillId="44" borderId="11" xfId="0" applyNumberFormat="1" applyFont="1" applyFill="1" applyBorder="1" applyAlignment="1">
      <alignment horizontal="center"/>
    </xf>
    <xf numFmtId="174" fontId="5" fillId="0" borderId="11" xfId="0" applyNumberFormat="1" applyFont="1" applyBorder="1"/>
    <xf numFmtId="0" fontId="44" fillId="0" borderId="11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5" fillId="42" borderId="11" xfId="0" applyFont="1" applyFill="1" applyBorder="1"/>
    <xf numFmtId="173" fontId="5" fillId="0" borderId="11" xfId="80" applyNumberFormat="1" applyFont="1" applyBorder="1" applyAlignment="1">
      <alignment horizontal="center"/>
    </xf>
    <xf numFmtId="172" fontId="5" fillId="0" borderId="11" xfId="0" applyNumberFormat="1" applyFont="1" applyBorder="1"/>
    <xf numFmtId="0" fontId="27" fillId="0" borderId="11" xfId="0" applyFont="1" applyBorder="1"/>
    <xf numFmtId="0" fontId="28" fillId="0" borderId="11" xfId="0" applyFont="1" applyFill="1" applyBorder="1"/>
    <xf numFmtId="0" fontId="28" fillId="0" borderId="11" xfId="79" applyFont="1" applyFill="1" applyBorder="1"/>
    <xf numFmtId="0" fontId="5" fillId="0" borderId="11" xfId="79" applyFont="1" applyBorder="1"/>
    <xf numFmtId="0" fontId="5" fillId="42" borderId="11" xfId="0" applyFont="1" applyFill="1" applyBorder="1" applyAlignment="1">
      <alignment horizontal="center" vertical="center" wrapText="1"/>
    </xf>
    <xf numFmtId="0" fontId="17" fillId="42" borderId="11" xfId="0" applyFont="1" applyFill="1" applyBorder="1" applyAlignment="1">
      <alignment horizontal="center" vertical="center" wrapText="1"/>
    </xf>
    <xf numFmtId="1" fontId="17" fillId="42" borderId="11" xfId="0" applyNumberFormat="1" applyFont="1" applyFill="1" applyBorder="1" applyAlignment="1">
      <alignment horizontal="center" vertical="center" wrapText="1"/>
    </xf>
    <xf numFmtId="0" fontId="5" fillId="34" borderId="11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11" xfId="79" applyFont="1" applyFill="1" applyBorder="1" applyAlignment="1">
      <alignment horizontal="center" vertical="center" wrapText="1"/>
    </xf>
    <xf numFmtId="0" fontId="5" fillId="0" borderId="11" xfId="79" applyFont="1" applyBorder="1" applyAlignment="1">
      <alignment horizontal="center" vertical="center" wrapText="1"/>
    </xf>
    <xf numFmtId="172" fontId="5" fillId="40" borderId="11" xfId="0" applyNumberFormat="1" applyFont="1" applyFill="1" applyBorder="1" applyAlignment="1">
      <alignment horizontal="center" vertical="center" wrapText="1"/>
    </xf>
    <xf numFmtId="0" fontId="5" fillId="41" borderId="11" xfId="0" applyFont="1" applyFill="1" applyBorder="1" applyAlignment="1">
      <alignment horizontal="center" vertical="center" wrapText="1"/>
    </xf>
    <xf numFmtId="0" fontId="5" fillId="34" borderId="11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center"/>
    </xf>
    <xf numFmtId="1" fontId="3" fillId="0" borderId="11" xfId="80" applyNumberFormat="1" applyFont="1" applyFill="1" applyBorder="1" applyAlignment="1">
      <alignment horizontal="center"/>
    </xf>
    <xf numFmtId="1" fontId="5" fillId="0" borderId="11" xfId="80" applyNumberFormat="1" applyFont="1" applyFill="1" applyBorder="1" applyAlignment="1">
      <alignment horizontal="center"/>
    </xf>
    <xf numFmtId="0" fontId="5" fillId="0" borderId="11" xfId="0" applyFont="1" applyBorder="1" applyAlignment="1">
      <alignment horizontal="center" vertical="center" wrapText="1"/>
    </xf>
    <xf numFmtId="172" fontId="5" fillId="0" borderId="11" xfId="0" applyNumberFormat="1" applyFont="1" applyBorder="1" applyAlignment="1">
      <alignment horizontal="center" vertical="center" wrapText="1"/>
    </xf>
    <xf numFmtId="170" fontId="5" fillId="0" borderId="11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44" fontId="3" fillId="0" borderId="11" xfId="81" applyFont="1" applyFill="1" applyBorder="1" applyAlignment="1">
      <alignment horizontal="center" vertical="center" wrapText="1"/>
    </xf>
    <xf numFmtId="44" fontId="3" fillId="0" borderId="11" xfId="81" applyFont="1" applyBorder="1" applyAlignment="1">
      <alignment horizontal="center" vertical="center" wrapText="1"/>
    </xf>
    <xf numFmtId="44" fontId="5" fillId="0" borderId="11" xfId="81" applyFont="1" applyBorder="1" applyAlignment="1">
      <alignment horizontal="center" vertical="center" wrapText="1"/>
    </xf>
    <xf numFmtId="0" fontId="28" fillId="0" borderId="11" xfId="0" applyFont="1" applyFill="1" applyBorder="1" applyAlignment="1">
      <alignment vertical="center" wrapText="1"/>
    </xf>
    <xf numFmtId="0" fontId="25" fillId="0" borderId="11" xfId="0" applyFont="1" applyFill="1" applyBorder="1" applyAlignment="1">
      <alignment wrapText="1"/>
    </xf>
    <xf numFmtId="0" fontId="5" fillId="0" borderId="11" xfId="0" applyFont="1" applyFill="1" applyBorder="1" applyAlignment="1">
      <alignment horizontal="center" vertical="center" wrapText="1"/>
    </xf>
    <xf numFmtId="172" fontId="5" fillId="0" borderId="11" xfId="0" applyNumberFormat="1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1" fontId="3" fillId="0" borderId="11" xfId="80" applyNumberFormat="1" applyFont="1" applyFill="1" applyBorder="1" applyAlignment="1">
      <alignment horizontal="center" vertical="center"/>
    </xf>
    <xf numFmtId="1" fontId="5" fillId="0" borderId="11" xfId="80" applyNumberFormat="1" applyFont="1" applyFill="1" applyBorder="1" applyAlignment="1">
      <alignment horizontal="center" vertical="center"/>
    </xf>
    <xf numFmtId="1" fontId="3" fillId="0" borderId="11" xfId="0" applyNumberFormat="1" applyFont="1" applyFill="1" applyBorder="1" applyAlignment="1">
      <alignment horizontal="center"/>
    </xf>
    <xf numFmtId="0" fontId="39" fillId="0" borderId="11" xfId="0" applyFont="1" applyFill="1" applyBorder="1" applyAlignment="1">
      <alignment wrapText="1"/>
    </xf>
    <xf numFmtId="0" fontId="37" fillId="0" borderId="11" xfId="0" applyFont="1" applyFill="1" applyBorder="1" applyAlignment="1">
      <alignment horizontal="left"/>
    </xf>
    <xf numFmtId="0" fontId="3" fillId="0" borderId="11" xfId="0" applyFont="1" applyBorder="1" applyAlignment="1">
      <alignment horizontal="center" vertical="center" wrapText="1"/>
    </xf>
    <xf numFmtId="170" fontId="5" fillId="0" borderId="11" xfId="0" applyNumberFormat="1" applyFont="1" applyBorder="1" applyAlignment="1">
      <alignment horizontal="center" vertical="center" wrapText="1"/>
    </xf>
    <xf numFmtId="0" fontId="3" fillId="42" borderId="11" xfId="0" applyFont="1" applyFill="1" applyBorder="1" applyAlignment="1">
      <alignment horizontal="center"/>
    </xf>
    <xf numFmtId="1" fontId="3" fillId="42" borderId="11" xfId="80" applyNumberFormat="1" applyFont="1" applyFill="1" applyBorder="1" applyAlignment="1">
      <alignment horizontal="center"/>
    </xf>
    <xf numFmtId="173" fontId="3" fillId="42" borderId="11" xfId="80" applyNumberFormat="1" applyFont="1" applyFill="1" applyBorder="1" applyAlignment="1">
      <alignment horizontal="center"/>
    </xf>
    <xf numFmtId="1" fontId="5" fillId="42" borderId="11" xfId="80" applyNumberFormat="1" applyFont="1" applyFill="1" applyBorder="1" applyAlignment="1">
      <alignment horizontal="center"/>
    </xf>
    <xf numFmtId="172" fontId="3" fillId="42" borderId="11" xfId="0" applyNumberFormat="1" applyFont="1" applyFill="1" applyBorder="1"/>
    <xf numFmtId="44" fontId="3" fillId="42" borderId="11" xfId="81" applyFont="1" applyFill="1" applyBorder="1"/>
    <xf numFmtId="172" fontId="3" fillId="0" borderId="11" xfId="0" applyNumberFormat="1" applyFont="1" applyBorder="1"/>
    <xf numFmtId="44" fontId="3" fillId="0" borderId="11" xfId="81" applyFont="1" applyBorder="1"/>
    <xf numFmtId="0" fontId="3" fillId="0" borderId="11" xfId="79" applyFont="1" applyBorder="1" applyAlignment="1">
      <alignment horizontal="center"/>
    </xf>
    <xf numFmtId="172" fontId="3" fillId="0" borderId="11" xfId="79" applyNumberFormat="1" applyFont="1" applyBorder="1"/>
    <xf numFmtId="0" fontId="21" fillId="2" borderId="11" xfId="0" applyFont="1" applyFill="1" applyBorder="1" applyAlignment="1">
      <alignment vertical="top"/>
    </xf>
    <xf numFmtId="0" fontId="0" fillId="2" borderId="11" xfId="0" applyFill="1" applyBorder="1" applyAlignment="1">
      <alignment horizontal="left"/>
    </xf>
    <xf numFmtId="0" fontId="48" fillId="2" borderId="11" xfId="0" applyFont="1" applyFill="1" applyBorder="1"/>
    <xf numFmtId="0" fontId="0" fillId="2" borderId="11" xfId="0" applyFill="1" applyBorder="1"/>
    <xf numFmtId="164" fontId="32" fillId="2" borderId="11" xfId="0" applyNumberFormat="1" applyFont="1" applyFill="1" applyBorder="1"/>
    <xf numFmtId="0" fontId="32" fillId="2" borderId="11" xfId="0" applyFont="1" applyFill="1" applyBorder="1"/>
    <xf numFmtId="0" fontId="18" fillId="2" borderId="11" xfId="0" applyFont="1" applyFill="1" applyBorder="1"/>
    <xf numFmtId="0" fontId="52" fillId="2" borderId="11" xfId="0" applyFont="1" applyFill="1" applyBorder="1"/>
    <xf numFmtId="169" fontId="0" fillId="2" borderId="11" xfId="0" applyNumberFormat="1" applyFill="1" applyBorder="1"/>
    <xf numFmtId="9" fontId="49" fillId="2" borderId="11" xfId="47" applyFont="1" applyFill="1" applyBorder="1" applyAlignment="1">
      <alignment horizontal="right"/>
    </xf>
    <xf numFmtId="0" fontId="5" fillId="2" borderId="1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right"/>
    </xf>
    <xf numFmtId="167" fontId="0" fillId="2" borderId="11" xfId="45" applyNumberFormat="1" applyFont="1" applyFill="1" applyBorder="1"/>
    <xf numFmtId="44" fontId="5" fillId="2" borderId="11" xfId="0" applyNumberFormat="1" applyFont="1" applyFill="1" applyBorder="1" applyAlignment="1">
      <alignment horizontal="center"/>
    </xf>
    <xf numFmtId="167" fontId="5" fillId="2" borderId="11" xfId="0" applyNumberFormat="1" applyFont="1" applyFill="1" applyBorder="1"/>
    <xf numFmtId="0" fontId="18" fillId="2" borderId="11" xfId="0" applyFont="1" applyFill="1" applyBorder="1" applyAlignment="1">
      <alignment horizontal="left"/>
    </xf>
    <xf numFmtId="0" fontId="18" fillId="2" borderId="11" xfId="0" applyFon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164" fontId="5" fillId="2" borderId="11" xfId="0" applyNumberFormat="1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4" fillId="2" borderId="11" xfId="0" applyFont="1" applyFill="1" applyBorder="1" applyAlignment="1">
      <alignment vertical="top"/>
    </xf>
    <xf numFmtId="0" fontId="36" fillId="34" borderId="12" xfId="0" applyFont="1" applyFill="1" applyBorder="1" applyAlignment="1">
      <alignment horizontal="center" vertical="top"/>
    </xf>
    <xf numFmtId="0" fontId="36" fillId="34" borderId="13" xfId="0" applyFont="1" applyFill="1" applyBorder="1" applyAlignment="1">
      <alignment horizontal="center" vertical="top"/>
    </xf>
    <xf numFmtId="0" fontId="36" fillId="34" borderId="14" xfId="0" applyFont="1" applyFill="1" applyBorder="1" applyAlignment="1">
      <alignment horizontal="center" vertical="top"/>
    </xf>
    <xf numFmtId="3" fontId="30" fillId="46" borderId="11" xfId="0" applyNumberFormat="1" applyFont="1" applyFill="1" applyBorder="1" applyAlignment="1">
      <alignment horizontal="center" vertical="top" wrapText="1"/>
    </xf>
    <xf numFmtId="3" fontId="33" fillId="46" borderId="11" xfId="0" applyNumberFormat="1" applyFont="1" applyFill="1" applyBorder="1" applyAlignment="1">
      <alignment horizontal="center" vertical="top" wrapText="1"/>
    </xf>
    <xf numFmtId="0" fontId="28" fillId="35" borderId="11" xfId="0" applyFont="1" applyFill="1" applyBorder="1" applyAlignment="1">
      <alignment horizontal="center" vertical="top" wrapText="1"/>
    </xf>
    <xf numFmtId="0" fontId="29" fillId="47" borderId="11" xfId="0" applyFont="1" applyFill="1" applyBorder="1" applyAlignment="1">
      <alignment horizontal="center" vertical="top" wrapText="1"/>
    </xf>
    <xf numFmtId="0" fontId="33" fillId="2" borderId="11" xfId="0" applyFont="1" applyFill="1" applyBorder="1" applyAlignment="1">
      <alignment horizontal="center" vertical="top" wrapText="1"/>
    </xf>
    <xf numFmtId="0" fontId="33" fillId="2" borderId="11" xfId="0" applyFont="1" applyFill="1" applyBorder="1" applyAlignment="1">
      <alignment horizontal="center" vertical="top"/>
    </xf>
    <xf numFmtId="0" fontId="29" fillId="2" borderId="11" xfId="0" applyFont="1" applyFill="1" applyBorder="1" applyAlignment="1">
      <alignment horizontal="center" vertical="top" wrapText="1"/>
    </xf>
    <xf numFmtId="0" fontId="41" fillId="34" borderId="0" xfId="0" applyFont="1" applyFill="1" applyAlignment="1">
      <alignment horizontal="center" vertical="center" wrapText="1"/>
    </xf>
    <xf numFmtId="0" fontId="5" fillId="34" borderId="0" xfId="0" applyFont="1" applyFill="1" applyAlignment="1">
      <alignment horizontal="center" vertical="center" wrapText="1"/>
    </xf>
    <xf numFmtId="0" fontId="5" fillId="41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2" fontId="5" fillId="41" borderId="0" xfId="0" applyNumberFormat="1" applyFont="1" applyFill="1" applyAlignment="1">
      <alignment horizontal="center" vertical="center" wrapText="1"/>
    </xf>
    <xf numFmtId="0" fontId="5" fillId="36" borderId="0" xfId="0" applyFont="1" applyFill="1" applyAlignment="1">
      <alignment horizontal="center" vertical="center" wrapText="1"/>
    </xf>
    <xf numFmtId="0" fontId="5" fillId="36" borderId="10" xfId="0" applyFont="1" applyFill="1" applyBorder="1" applyAlignment="1">
      <alignment horizontal="center" vertical="center" wrapText="1"/>
    </xf>
    <xf numFmtId="0" fontId="17" fillId="42" borderId="0" xfId="0" applyFont="1" applyFill="1" applyAlignment="1">
      <alignment horizontal="center" vertical="center" wrapText="1"/>
    </xf>
    <xf numFmtId="1" fontId="17" fillId="42" borderId="0" xfId="0" applyNumberFormat="1" applyFont="1" applyFill="1" applyAlignment="1">
      <alignment horizontal="center" vertical="center" wrapText="1"/>
    </xf>
    <xf numFmtId="0" fontId="5" fillId="39" borderId="0" xfId="0" applyFont="1" applyFill="1" applyAlignment="1">
      <alignment horizontal="center" vertical="center" wrapText="1"/>
    </xf>
    <xf numFmtId="0" fontId="41" fillId="39" borderId="0" xfId="0" applyFont="1" applyFill="1" applyAlignment="1">
      <alignment horizontal="center"/>
    </xf>
    <xf numFmtId="0" fontId="41" fillId="41" borderId="0" xfId="0" applyFont="1" applyFill="1" applyAlignment="1">
      <alignment horizontal="center"/>
    </xf>
    <xf numFmtId="0" fontId="5" fillId="34" borderId="0" xfId="0" applyFont="1" applyFill="1" applyAlignment="1">
      <alignment horizontal="center"/>
    </xf>
    <xf numFmtId="0" fontId="42" fillId="42" borderId="0" xfId="0" applyFont="1" applyFill="1" applyAlignment="1">
      <alignment horizontal="center" vertical="center"/>
    </xf>
    <xf numFmtId="0" fontId="41" fillId="0" borderId="0" xfId="0" applyFont="1" applyAlignment="1">
      <alignment horizontal="center"/>
    </xf>
    <xf numFmtId="0" fontId="5" fillId="41" borderId="0" xfId="0" applyFont="1" applyFill="1" applyAlignment="1">
      <alignment horizontal="center"/>
    </xf>
    <xf numFmtId="9" fontId="5" fillId="34" borderId="0" xfId="47" applyFont="1" applyFill="1" applyAlignment="1">
      <alignment horizontal="center"/>
    </xf>
    <xf numFmtId="0" fontId="5" fillId="0" borderId="0" xfId="0" applyFont="1" applyAlignment="1">
      <alignment horizontal="left"/>
    </xf>
    <xf numFmtId="9" fontId="3" fillId="0" borderId="0" xfId="47" applyFont="1" applyFill="1" applyAlignment="1">
      <alignment horizontal="center"/>
    </xf>
    <xf numFmtId="0" fontId="5" fillId="41" borderId="0" xfId="0" applyFont="1" applyFill="1" applyAlignment="1">
      <alignment horizontal="left"/>
    </xf>
    <xf numFmtId="171" fontId="17" fillId="42" borderId="0" xfId="44" applyNumberFormat="1" applyFont="1" applyFill="1" applyAlignment="1">
      <alignment horizontal="center" vertical="center" wrapText="1"/>
    </xf>
    <xf numFmtId="2" fontId="5" fillId="34" borderId="0" xfId="0" applyNumberFormat="1" applyFont="1" applyFill="1" applyAlignment="1">
      <alignment horizontal="center" vertical="center" wrapText="1"/>
    </xf>
    <xf numFmtId="0" fontId="5" fillId="41" borderId="11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5" fillId="45" borderId="11" xfId="0" applyFont="1" applyFill="1" applyBorder="1" applyAlignment="1">
      <alignment horizontal="center" vertical="center" wrapText="1"/>
    </xf>
    <xf numFmtId="0" fontId="5" fillId="44" borderId="11" xfId="0" applyFont="1" applyFill="1" applyBorder="1" applyAlignment="1">
      <alignment horizontal="center" vertical="center" wrapText="1"/>
    </xf>
    <xf numFmtId="0" fontId="5" fillId="36" borderId="11" xfId="0" applyFont="1" applyFill="1" applyBorder="1" applyAlignment="1">
      <alignment horizontal="center" vertical="center" wrapText="1"/>
    </xf>
    <xf numFmtId="0" fontId="28" fillId="0" borderId="11" xfId="78" applyFont="1" applyFill="1" applyBorder="1" applyAlignment="1">
      <alignment horizontal="center" vertical="center"/>
    </xf>
    <xf numFmtId="0" fontId="17" fillId="42" borderId="11" xfId="0" applyFont="1" applyFill="1" applyBorder="1" applyAlignment="1">
      <alignment horizontal="center" vertical="center" wrapText="1"/>
    </xf>
    <xf numFmtId="1" fontId="17" fillId="42" borderId="11" xfId="0" applyNumberFormat="1" applyFont="1" applyFill="1" applyBorder="1" applyAlignment="1">
      <alignment horizontal="center" vertical="center" wrapText="1"/>
    </xf>
    <xf numFmtId="0" fontId="5" fillId="37" borderId="11" xfId="0" applyFont="1" applyFill="1" applyBorder="1" applyAlignment="1">
      <alignment horizontal="center" vertical="center" wrapText="1"/>
    </xf>
    <xf numFmtId="172" fontId="5" fillId="40" borderId="11" xfId="0" applyNumberFormat="1" applyFont="1" applyFill="1" applyBorder="1" applyAlignment="1">
      <alignment horizontal="center" vertical="center" wrapText="1"/>
    </xf>
    <xf numFmtId="0" fontId="5" fillId="34" borderId="11" xfId="0" applyFont="1" applyFill="1" applyBorder="1" applyAlignment="1">
      <alignment horizontal="center" vertical="center" wrapText="1"/>
    </xf>
    <xf numFmtId="0" fontId="41" fillId="41" borderId="11" xfId="0" applyFont="1" applyFill="1" applyBorder="1" applyAlignment="1">
      <alignment horizontal="center"/>
    </xf>
    <xf numFmtId="0" fontId="5" fillId="34" borderId="11" xfId="0" applyFont="1" applyFill="1" applyBorder="1" applyAlignment="1">
      <alignment horizontal="center"/>
    </xf>
    <xf numFmtId="0" fontId="42" fillId="42" borderId="11" xfId="0" applyFont="1" applyFill="1" applyBorder="1" applyAlignment="1">
      <alignment horizontal="center" vertical="center"/>
    </xf>
    <xf numFmtId="0" fontId="21" fillId="39" borderId="11" xfId="0" applyFont="1" applyFill="1" applyBorder="1" applyAlignment="1">
      <alignment horizontal="center" vertical="center"/>
    </xf>
    <xf numFmtId="0" fontId="27" fillId="41" borderId="11" xfId="0" applyFont="1" applyFill="1" applyBorder="1" applyAlignment="1">
      <alignment horizontal="center"/>
    </xf>
    <xf numFmtId="0" fontId="5" fillId="45" borderId="11" xfId="0" applyFont="1" applyFill="1" applyBorder="1" applyAlignment="1">
      <alignment horizontal="center"/>
    </xf>
  </cellXfs>
  <cellStyles count="82">
    <cellStyle name="]_x000d__x000a_Zoomed=1_x000d__x000a_Row=0_x000d__x000a_Column=0_x000d__x000a_Height=0_x000d__x000a_Width=0_x000d__x000a_FontName=FoxFont_x000d__x000a_FontStyle=0_x000d__x000a_FontSize=9_x000d__x000a_PrtFontName=FoxPrin" xfId="1" xr:uid="{00000000-0005-0000-0000-000000000000}"/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LHEAD" xfId="51" xr:uid="{00000000-0005-0000-0000-00001C000000}"/>
    <cellStyle name="Comma" xfId="44" builtinId="3"/>
    <cellStyle name="Comma 2" xfId="52" xr:uid="{00000000-0005-0000-0000-00001E000000}"/>
    <cellStyle name="Comma 2 2" xfId="70" xr:uid="{C2005DE4-AED5-4C89-85B9-2CA846C78F10}"/>
    <cellStyle name="Comma 3" xfId="53" xr:uid="{00000000-0005-0000-0000-00001F000000}"/>
    <cellStyle name="Comma 3 2" xfId="71" xr:uid="{CF1983B2-9822-4DB7-8034-D21414BA687C}"/>
    <cellStyle name="Comma 4" xfId="54" xr:uid="{00000000-0005-0000-0000-000020000000}"/>
    <cellStyle name="Comma 4 2" xfId="72" xr:uid="{3F9CAE9C-48BD-4064-94A7-8889B5BEC673}"/>
    <cellStyle name="Comma 5" xfId="67" xr:uid="{BC297178-0010-4B05-A3B3-7A9FE3AD08AA}"/>
    <cellStyle name="Comma 6" xfId="76" xr:uid="{9AF6A09D-1960-4995-A52E-C21A9582C80A}"/>
    <cellStyle name="Currency" xfId="45" builtinId="4"/>
    <cellStyle name="Currency 2" xfId="50" xr:uid="{00000000-0005-0000-0000-000022000000}"/>
    <cellStyle name="Currency 2 2" xfId="69" xr:uid="{AFC8A30D-20A1-4F65-9E1D-3A46C8DC7B73}"/>
    <cellStyle name="Currency 3" xfId="55" xr:uid="{00000000-0005-0000-0000-000023000000}"/>
    <cellStyle name="Currency 3 2" xfId="73" xr:uid="{390C9834-432F-44D8-870F-C8F5319015FA}"/>
    <cellStyle name="Currency 4" xfId="56" xr:uid="{00000000-0005-0000-0000-000024000000}"/>
    <cellStyle name="Currency 4 2" xfId="74" xr:uid="{41A30805-6446-4FBB-9D8F-8434D65B6F86}"/>
    <cellStyle name="Currency 5" xfId="68" xr:uid="{738D61B8-B2C4-419B-81F4-2CDE80B1EB26}"/>
    <cellStyle name="Currency 6" xfId="81" xr:uid="{6A83A90A-2BD2-4C29-BE82-DBFD51E35A12}"/>
    <cellStyle name="Euro" xfId="57" xr:uid="{00000000-0005-0000-0000-000025000000}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6" builtinId="8"/>
    <cellStyle name="Hyperlink 2" xfId="58" xr:uid="{00000000-0005-0000-0000-00002D000000}"/>
    <cellStyle name="Hyperlink 2 2" xfId="59" xr:uid="{00000000-0005-0000-0000-00002E000000}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3" xr:uid="{00000000-0005-0000-0000-000033000000}"/>
    <cellStyle name="Normal 2 2" xfId="60" xr:uid="{00000000-0005-0000-0000-000034000000}"/>
    <cellStyle name="Normal 3" xfId="61" xr:uid="{00000000-0005-0000-0000-000035000000}"/>
    <cellStyle name="Normal 3 2" xfId="48" xr:uid="{00000000-0005-0000-0000-000036000000}"/>
    <cellStyle name="Normal 4" xfId="62" xr:uid="{00000000-0005-0000-0000-000037000000}"/>
    <cellStyle name="Normal 5" xfId="49" xr:uid="{00000000-0005-0000-0000-000038000000}"/>
    <cellStyle name="Normal 6" xfId="75" xr:uid="{B5CE8B7F-3726-45D9-80FA-E7B12F6E17B8}"/>
    <cellStyle name="Normal 7" xfId="79" xr:uid="{3288500A-B094-4419-9FB3-B08453650CF2}"/>
    <cellStyle name="Normal_Totals Per Element" xfId="78" xr:uid="{E3CD1721-79FD-492C-B1C1-DD3EE14A3258}"/>
    <cellStyle name="Note" xfId="16" builtinId="10" customBuiltin="1"/>
    <cellStyle name="Output" xfId="11" builtinId="21" customBuiltin="1"/>
    <cellStyle name="Percent" xfId="47" builtinId="5"/>
    <cellStyle name="Percent 2" xfId="63" xr:uid="{00000000-0005-0000-0000-00003C000000}"/>
    <cellStyle name="Percent 3" xfId="64" xr:uid="{00000000-0005-0000-0000-00003D000000}"/>
    <cellStyle name="Percent 4" xfId="65" xr:uid="{00000000-0005-0000-0000-00003E000000}"/>
    <cellStyle name="Percent 5" xfId="66" xr:uid="{00000000-0005-0000-0000-00003F000000}"/>
    <cellStyle name="Percent 6" xfId="77" xr:uid="{536A2B1A-43C3-4237-9AC2-EB03ABABB013}"/>
    <cellStyle name="Percent 7" xfId="80" xr:uid="{8E0664CC-1569-4B85-A816-B48D1C1A78C0}"/>
    <cellStyle name="Title" xfId="2" builtinId="15" customBuiltin="1"/>
    <cellStyle name="Total" xfId="18" builtinId="25" customBuiltin="1"/>
    <cellStyle name="Warning Text" xfId="15" builtinId="11" customBuiltin="1"/>
  </cellStyles>
  <dxfs count="11">
    <dxf>
      <border>
        <top style="thin">
          <color rgb="FF808080"/>
        </top>
        <bottom style="thin">
          <color rgb="FF808080"/>
        </bottom>
      </border>
    </dxf>
    <dxf>
      <border>
        <top style="thin">
          <color rgb="FF808080"/>
        </top>
        <bottom style="thin">
          <color rgb="FF808080"/>
        </bottom>
      </border>
    </dxf>
    <dxf>
      <font>
        <b/>
        <color rgb="FF808080"/>
      </font>
    </dxf>
    <dxf>
      <font>
        <b/>
        <color rgb="FF000000"/>
      </font>
    </dxf>
    <dxf>
      <font>
        <b/>
        <color rgb="FF808080"/>
      </font>
    </dxf>
    <dxf>
      <font>
        <b/>
        <color rgb="FF000000"/>
      </font>
    </dxf>
    <dxf>
      <fill>
        <patternFill patternType="solid">
          <fgColor rgb="FFD9D9D9"/>
          <bgColor rgb="FFD9D9D9"/>
        </patternFill>
      </fill>
      <border>
        <left style="thin">
          <color rgb="FFA6A6A6"/>
        </left>
        <right style="thin">
          <color rgb="FFA6A6A6"/>
        </right>
        <top style="thin">
          <color rgb="FFA6A6A6"/>
        </top>
        <bottom style="thin">
          <color rgb="FFA6A6A6"/>
        </bottom>
        <vertical style="thin">
          <color rgb="FFA6A6A6"/>
        </vertical>
        <horizontal style="thin">
          <color rgb="FFA6A6A6"/>
        </horizontal>
      </border>
    </dxf>
    <dxf>
      <fill>
        <patternFill patternType="solid">
          <fgColor rgb="FFD9D9D9"/>
          <bgColor rgb="FFD9D9D9"/>
        </patternFill>
      </fill>
      <border>
        <top style="thin">
          <color rgb="FFA6A6A6"/>
        </top>
        <bottom style="thin">
          <color rgb="FFA6A6A6"/>
        </bottom>
      </border>
    </dxf>
    <dxf>
      <font>
        <b/>
        <color rgb="FF000000"/>
      </font>
      <fill>
        <patternFill patternType="solid">
          <fgColor rgb="FFFFFFFF"/>
          <bgColor rgb="FFFFFFFF"/>
        </patternFill>
      </fill>
      <border>
        <top style="thin">
          <color rgb="FF808080"/>
        </top>
        <bottom style="thin">
          <color rgb="FF808080"/>
        </bottom>
      </border>
    </dxf>
    <dxf>
      <font>
        <b/>
        <color rgb="FF000000"/>
      </font>
      <border>
        <top style="thin">
          <color rgb="FF808080"/>
        </top>
        <bottom style="thin">
          <color rgb="FF808080"/>
        </bottom>
      </border>
    </dxf>
    <dxf>
      <font>
        <color rgb="FF000000"/>
      </font>
      <border>
        <horizontal style="thin">
          <color rgb="FFD9D9D9"/>
        </horizontal>
      </border>
    </dxf>
  </dxfs>
  <tableStyles count="1" defaultTableStyle="TableStyleMedium2" defaultPivotStyle="PivotStyleLight16">
    <tableStyle name="PivotStyleLight1 2" table="0" count="11" xr9:uid="{00000000-0011-0000-FFFF-FFFF00000000}">
      <tableStyleElement type="wholeTable" dxfId="10"/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CCFF"/>
      <color rgb="FFCCFF99"/>
      <color rgb="FFFF99CC"/>
      <color rgb="FF00FF00"/>
      <color rgb="FFFFFF66"/>
      <color rgb="FF0000FF"/>
      <color rgb="FF00FFFF"/>
      <color rgb="FFEBF1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FFFF"/>
  </sheetPr>
  <dimension ref="A1:BA870"/>
  <sheetViews>
    <sheetView tabSelected="1" topLeftCell="C1" zoomScaleNormal="100" workbookViewId="0">
      <pane ySplit="5" topLeftCell="A6" activePane="bottomLeft" state="frozen"/>
      <selection activeCell="C1" sqref="C1"/>
      <selection pane="bottomLeft" activeCell="N5" sqref="N5"/>
    </sheetView>
  </sheetViews>
  <sheetFormatPr defaultColWidth="8.90625" defaultRowHeight="13.8" x14ac:dyDescent="0.25"/>
  <cols>
    <col min="1" max="1" width="8.08984375" style="86" hidden="1" customWidth="1"/>
    <col min="2" max="2" width="7.1796875" style="86" hidden="1" customWidth="1"/>
    <col min="3" max="3" width="10.453125" style="86" customWidth="1"/>
    <col min="4" max="4" width="7.36328125" style="86" hidden="1" customWidth="1"/>
    <col min="5" max="5" width="19.1796875" style="86" customWidth="1"/>
    <col min="6" max="6" width="9.6328125" style="86" hidden="1" customWidth="1"/>
    <col min="7" max="7" width="1.90625" style="86" hidden="1" customWidth="1"/>
    <col min="8" max="8" width="14.36328125" style="86" customWidth="1"/>
    <col min="9" max="9" width="8.90625" style="86"/>
    <col min="10" max="17" width="8.90625" style="86" customWidth="1"/>
    <col min="18" max="18" width="7.90625" style="86" customWidth="1"/>
    <col min="19" max="20" width="8.54296875" style="89" customWidth="1"/>
    <col min="21" max="21" width="8.90625" style="89" customWidth="1"/>
    <col min="22" max="22" width="9.6328125" style="89" customWidth="1"/>
    <col min="23" max="23" width="9.36328125" style="89" customWidth="1"/>
    <col min="24" max="24" width="9.453125" style="89" customWidth="1"/>
    <col min="25" max="25" width="9.36328125" style="89" customWidth="1"/>
    <col min="26" max="26" width="9.54296875" style="89" customWidth="1"/>
    <col min="27" max="27" width="8.6328125" style="89" customWidth="1"/>
    <col min="28" max="28" width="11.453125" style="86" customWidth="1"/>
    <col min="29" max="29" width="12.08984375" style="86" customWidth="1"/>
    <col min="30" max="30" width="12.54296875" style="86" customWidth="1"/>
    <col min="31" max="31" width="5.90625" style="86" hidden="1" customWidth="1"/>
    <col min="32" max="32" width="8.90625" style="89"/>
    <col min="33" max="33" width="15.90625" style="89" customWidth="1"/>
    <col min="34" max="34" width="7.90625" style="89" customWidth="1"/>
    <col min="35" max="35" width="15.81640625" style="89" customWidth="1"/>
    <col min="36" max="36" width="8.90625" style="89" customWidth="1"/>
    <col min="37" max="37" width="14.81640625" style="89" customWidth="1"/>
    <col min="38" max="38" width="13.1796875" style="89" customWidth="1"/>
    <col min="39" max="39" width="8.90625" style="137" customWidth="1"/>
    <col min="40" max="40" width="10.6328125" style="86" customWidth="1"/>
    <col min="41" max="42" width="8.90625" style="86"/>
    <col min="43" max="43" width="11.1796875" style="86" customWidth="1"/>
    <col min="44" max="44" width="9.90625" style="86" customWidth="1"/>
    <col min="45" max="46" width="13.08984375" style="86" customWidth="1"/>
    <col min="47" max="16384" width="8.90625" style="86"/>
  </cols>
  <sheetData>
    <row r="1" spans="1:51" x14ac:dyDescent="0.25">
      <c r="A1" s="85"/>
      <c r="B1" s="85"/>
      <c r="C1" s="85"/>
      <c r="G1" s="87"/>
      <c r="H1" s="241"/>
      <c r="I1" s="241"/>
      <c r="J1" s="241"/>
      <c r="K1" s="241"/>
      <c r="L1" s="241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242"/>
      <c r="AC1" s="242"/>
      <c r="AD1" s="242"/>
      <c r="AE1" s="89"/>
      <c r="AF1" s="90"/>
      <c r="AG1" s="90"/>
      <c r="AH1" s="90"/>
      <c r="AI1" s="90"/>
      <c r="AJ1" s="90"/>
      <c r="AK1" s="90"/>
      <c r="AL1" s="90"/>
      <c r="AM1" s="132"/>
      <c r="AN1" s="91"/>
      <c r="AO1" s="91"/>
      <c r="AP1" s="91"/>
      <c r="AQ1" s="91"/>
      <c r="AR1" s="91"/>
      <c r="AS1" s="91"/>
      <c r="AT1" s="91"/>
      <c r="AU1" s="91"/>
    </row>
    <row r="2" spans="1:51" s="101" customFormat="1" ht="21" x14ac:dyDescent="0.25">
      <c r="B2" s="92"/>
      <c r="C2" s="92"/>
      <c r="D2" s="93"/>
      <c r="E2" s="94"/>
      <c r="F2" s="94"/>
      <c r="G2" s="95"/>
      <c r="H2" s="233" t="s">
        <v>736</v>
      </c>
      <c r="I2" s="97"/>
      <c r="J2" s="96"/>
      <c r="K2" s="96"/>
      <c r="L2" s="96"/>
      <c r="M2" s="97"/>
      <c r="N2" s="97"/>
      <c r="O2" s="97"/>
      <c r="P2" s="97"/>
      <c r="Q2" s="97"/>
      <c r="R2" s="102" t="s">
        <v>722</v>
      </c>
      <c r="S2" s="97"/>
      <c r="T2" s="97"/>
      <c r="U2" s="97"/>
      <c r="V2" s="97"/>
      <c r="W2" s="97"/>
      <c r="X2" s="97"/>
      <c r="Y2" s="97"/>
      <c r="Z2" s="98"/>
      <c r="AA2" s="99"/>
      <c r="AB2" s="243"/>
      <c r="AC2" s="243"/>
      <c r="AD2" s="243"/>
      <c r="AE2" s="100"/>
      <c r="AF2" s="133"/>
      <c r="AG2" s="133"/>
      <c r="AH2" s="133"/>
      <c r="AI2" s="133"/>
      <c r="AJ2" s="133"/>
      <c r="AK2" s="133"/>
      <c r="AL2" s="133"/>
      <c r="AM2" s="133"/>
    </row>
    <row r="3" spans="1:51" ht="14.4" x14ac:dyDescent="0.3">
      <c r="E3" s="103"/>
      <c r="F3" s="104"/>
      <c r="G3" s="105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7"/>
      <c r="AB3" s="106"/>
      <c r="AC3" s="106"/>
      <c r="AD3" s="106"/>
      <c r="AE3" s="106"/>
      <c r="AF3" s="134"/>
      <c r="AG3" s="135"/>
      <c r="AH3" s="135"/>
      <c r="AI3" s="135"/>
      <c r="AJ3" s="135"/>
      <c r="AK3" s="135"/>
      <c r="AL3" s="135"/>
      <c r="AM3" s="135"/>
      <c r="AS3" s="91"/>
      <c r="AT3" s="91"/>
      <c r="AU3" s="91"/>
      <c r="AV3" s="91"/>
      <c r="AW3" s="91"/>
      <c r="AX3" s="91"/>
    </row>
    <row r="4" spans="1:51" ht="32.25" customHeight="1" x14ac:dyDescent="0.2">
      <c r="A4" s="87"/>
      <c r="D4" s="108" t="s">
        <v>731</v>
      </c>
      <c r="E4" s="109"/>
      <c r="F4" s="108" t="s">
        <v>731</v>
      </c>
      <c r="G4" s="87"/>
      <c r="H4" s="107"/>
      <c r="I4" s="107"/>
      <c r="J4" s="239" t="s">
        <v>737</v>
      </c>
      <c r="K4" s="239"/>
      <c r="L4" s="239"/>
      <c r="M4" s="110" t="s">
        <v>729</v>
      </c>
      <c r="N4" s="111"/>
      <c r="O4" s="111"/>
      <c r="P4" s="111"/>
      <c r="Q4" s="111"/>
      <c r="R4" s="111"/>
      <c r="S4" s="237" t="s">
        <v>34</v>
      </c>
      <c r="T4" s="237"/>
      <c r="U4" s="237"/>
      <c r="V4" s="238" t="s">
        <v>730</v>
      </c>
      <c r="W4" s="238"/>
      <c r="X4" s="238"/>
      <c r="Y4" s="237" t="s">
        <v>428</v>
      </c>
      <c r="Z4" s="237"/>
      <c r="AA4" s="237"/>
      <c r="AB4" s="240" t="s">
        <v>727</v>
      </c>
      <c r="AC4" s="240"/>
      <c r="AD4" s="240"/>
      <c r="AE4" s="107"/>
      <c r="AF4" s="234" t="s">
        <v>734</v>
      </c>
      <c r="AG4" s="235"/>
      <c r="AH4" s="235"/>
      <c r="AI4" s="235"/>
      <c r="AJ4" s="235"/>
      <c r="AK4" s="235"/>
      <c r="AL4" s="235"/>
      <c r="AM4" s="236"/>
      <c r="AO4" s="88"/>
      <c r="AP4" s="88"/>
      <c r="AQ4" s="88"/>
      <c r="AR4" s="88"/>
      <c r="AS4" s="88"/>
      <c r="AT4" s="88"/>
      <c r="AU4" s="88"/>
      <c r="AV4" s="88"/>
      <c r="AW4" s="88"/>
      <c r="AX4" s="88"/>
    </row>
    <row r="5" spans="1:51" s="85" customFormat="1" ht="80.25" customHeight="1" x14ac:dyDescent="0.25">
      <c r="A5" s="112"/>
      <c r="C5" s="113" t="s">
        <v>732</v>
      </c>
      <c r="D5" s="114" t="s">
        <v>435</v>
      </c>
      <c r="E5" s="115" t="s">
        <v>434</v>
      </c>
      <c r="F5" s="114" t="s">
        <v>42</v>
      </c>
      <c r="G5" s="115" t="s">
        <v>33</v>
      </c>
      <c r="H5" s="115" t="s">
        <v>728</v>
      </c>
      <c r="I5" s="115" t="s">
        <v>52</v>
      </c>
      <c r="J5" s="116" t="s">
        <v>43</v>
      </c>
      <c r="K5" s="116" t="s">
        <v>44</v>
      </c>
      <c r="L5" s="116" t="s">
        <v>45</v>
      </c>
      <c r="M5" s="117" t="s">
        <v>422</v>
      </c>
      <c r="N5" s="117" t="s">
        <v>423</v>
      </c>
      <c r="O5" s="117" t="s">
        <v>45</v>
      </c>
      <c r="P5" s="117" t="s">
        <v>424</v>
      </c>
      <c r="Q5" s="117" t="s">
        <v>425</v>
      </c>
      <c r="R5" s="117" t="s">
        <v>426</v>
      </c>
      <c r="S5" s="117" t="s">
        <v>0</v>
      </c>
      <c r="T5" s="117" t="s">
        <v>1</v>
      </c>
      <c r="U5" s="117" t="s">
        <v>2</v>
      </c>
      <c r="V5" s="117" t="s">
        <v>35</v>
      </c>
      <c r="W5" s="117" t="s">
        <v>36</v>
      </c>
      <c r="X5" s="117" t="s">
        <v>37</v>
      </c>
      <c r="Y5" s="117" t="s">
        <v>35</v>
      </c>
      <c r="Z5" s="117" t="s">
        <v>36</v>
      </c>
      <c r="AA5" s="117" t="s">
        <v>37</v>
      </c>
      <c r="AB5" s="118" t="s">
        <v>41</v>
      </c>
      <c r="AC5" s="118" t="s">
        <v>46</v>
      </c>
      <c r="AD5" s="118" t="s">
        <v>47</v>
      </c>
      <c r="AE5" s="116" t="s">
        <v>33</v>
      </c>
      <c r="AF5" s="119" t="s">
        <v>38</v>
      </c>
      <c r="AG5" s="120" t="s">
        <v>724</v>
      </c>
      <c r="AH5" s="119" t="s">
        <v>39</v>
      </c>
      <c r="AI5" s="120" t="s">
        <v>725</v>
      </c>
      <c r="AJ5" s="119" t="s">
        <v>40</v>
      </c>
      <c r="AK5" s="120" t="s">
        <v>726</v>
      </c>
      <c r="AL5" s="115" t="s">
        <v>723</v>
      </c>
      <c r="AM5" s="121" t="s">
        <v>53</v>
      </c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</row>
    <row r="6" spans="1:51" ht="15" x14ac:dyDescent="0.25">
      <c r="A6" s="123"/>
      <c r="B6" s="124"/>
      <c r="C6" s="125">
        <v>11667</v>
      </c>
      <c r="D6" s="89"/>
      <c r="E6" s="86" t="s">
        <v>4</v>
      </c>
      <c r="F6" s="86" t="s">
        <v>418</v>
      </c>
      <c r="H6" s="126" t="s">
        <v>51</v>
      </c>
      <c r="I6" s="89">
        <v>1</v>
      </c>
      <c r="J6" s="127">
        <v>45679.294700000006</v>
      </c>
      <c r="K6" s="127">
        <v>91739.87000000001</v>
      </c>
      <c r="L6" s="127">
        <v>15620.14</v>
      </c>
      <c r="M6" s="127">
        <v>22119.294700000031</v>
      </c>
      <c r="N6" s="127">
        <v>79279.870000000024</v>
      </c>
      <c r="O6" s="127">
        <v>14600.14</v>
      </c>
      <c r="P6" s="128">
        <f t="shared" ref="P6:P69" si="0">M6/J6</f>
        <v>0.48423021513946513</v>
      </c>
      <c r="Q6" s="128">
        <f t="shared" ref="Q6:Q69" si="1">N6/K6</f>
        <v>0.86418118970519597</v>
      </c>
      <c r="R6" s="128">
        <f t="shared" ref="R6:R69" si="2">O6/L6</f>
        <v>0.93469968899126388</v>
      </c>
      <c r="S6" s="129">
        <v>1</v>
      </c>
      <c r="T6" s="129">
        <v>1</v>
      </c>
      <c r="U6" s="129">
        <v>1</v>
      </c>
      <c r="V6" s="138">
        <f t="shared" ref="V6:V69" si="3">I6+2</f>
        <v>3</v>
      </c>
      <c r="W6" s="138">
        <f t="shared" ref="W6:W69" si="4">I6+2</f>
        <v>3</v>
      </c>
      <c r="X6" s="138">
        <f t="shared" ref="X6:X69" si="5">I6</f>
        <v>1</v>
      </c>
      <c r="Y6" s="138">
        <f t="shared" ref="Y6:Y69" si="6">IF(S6=0,0,V6)</f>
        <v>3</v>
      </c>
      <c r="Z6" s="138">
        <f t="shared" ref="Z6:Z69" si="7">IF(T6=0,0,W6)</f>
        <v>3</v>
      </c>
      <c r="AA6" s="138">
        <f t="shared" ref="AA6:AA69" si="8">IF(U6=0,0,1)</f>
        <v>1</v>
      </c>
      <c r="AB6" s="127" t="s">
        <v>32</v>
      </c>
      <c r="AC6" s="127"/>
      <c r="AD6" s="127"/>
      <c r="AE6" s="130"/>
      <c r="AF6" s="136">
        <v>12.51</v>
      </c>
      <c r="AG6" s="136">
        <v>11.33</v>
      </c>
      <c r="AH6" s="136">
        <v>39.090000000000003</v>
      </c>
      <c r="AI6" s="136">
        <v>5.99</v>
      </c>
      <c r="AJ6" s="136">
        <v>7.02</v>
      </c>
      <c r="AK6" s="136">
        <v>0.49</v>
      </c>
      <c r="AL6" s="136">
        <v>3.31</v>
      </c>
      <c r="AM6" s="136">
        <v>79.739999999999995</v>
      </c>
      <c r="AN6" s="131"/>
      <c r="AO6" s="131"/>
      <c r="AP6" s="131"/>
      <c r="AQ6" s="131"/>
      <c r="AR6" s="131"/>
      <c r="AS6" s="131"/>
      <c r="AT6" s="131"/>
      <c r="AU6" s="91"/>
      <c r="AV6" s="91"/>
      <c r="AW6" s="131"/>
      <c r="AX6" s="131"/>
      <c r="AY6" s="131"/>
    </row>
    <row r="7" spans="1:51" ht="15" x14ac:dyDescent="0.25">
      <c r="A7" s="123"/>
      <c r="B7" s="124"/>
      <c r="C7" s="125">
        <v>28021</v>
      </c>
      <c r="D7" s="89"/>
      <c r="E7" s="86" t="s">
        <v>4</v>
      </c>
      <c r="F7" s="86" t="s">
        <v>418</v>
      </c>
      <c r="H7" s="126" t="s">
        <v>51</v>
      </c>
      <c r="I7" s="89">
        <v>1</v>
      </c>
      <c r="J7" s="127">
        <v>45679.294700000006</v>
      </c>
      <c r="K7" s="127">
        <v>91739.87000000001</v>
      </c>
      <c r="L7" s="127">
        <v>15620.14</v>
      </c>
      <c r="M7" s="127">
        <v>22119.294700000031</v>
      </c>
      <c r="N7" s="127">
        <v>79279.870000000024</v>
      </c>
      <c r="O7" s="127">
        <v>14600.14</v>
      </c>
      <c r="P7" s="128">
        <f t="shared" si="0"/>
        <v>0.48423021513946513</v>
      </c>
      <c r="Q7" s="128">
        <f t="shared" si="1"/>
        <v>0.86418118970519597</v>
      </c>
      <c r="R7" s="128">
        <f t="shared" si="2"/>
        <v>0.93469968899126388</v>
      </c>
      <c r="S7" s="129">
        <v>1</v>
      </c>
      <c r="T7" s="129">
        <v>1</v>
      </c>
      <c r="U7" s="129">
        <v>1</v>
      </c>
      <c r="V7" s="138">
        <f t="shared" si="3"/>
        <v>3</v>
      </c>
      <c r="W7" s="138">
        <f t="shared" si="4"/>
        <v>3</v>
      </c>
      <c r="X7" s="138">
        <f t="shared" si="5"/>
        <v>1</v>
      </c>
      <c r="Y7" s="138">
        <f t="shared" si="6"/>
        <v>3</v>
      </c>
      <c r="Z7" s="138">
        <f t="shared" si="7"/>
        <v>3</v>
      </c>
      <c r="AA7" s="138">
        <f t="shared" si="8"/>
        <v>1</v>
      </c>
      <c r="AB7" s="127" t="s">
        <v>32</v>
      </c>
      <c r="AC7" s="127"/>
      <c r="AD7" s="127"/>
      <c r="AE7" s="130"/>
      <c r="AF7" s="136">
        <v>12.51</v>
      </c>
      <c r="AG7" s="136">
        <v>11.33</v>
      </c>
      <c r="AH7" s="136">
        <v>39.090000000000003</v>
      </c>
      <c r="AI7" s="136">
        <v>5.99</v>
      </c>
      <c r="AJ7" s="136">
        <v>7.02</v>
      </c>
      <c r="AK7" s="136">
        <v>0.49</v>
      </c>
      <c r="AL7" s="136">
        <v>3.31</v>
      </c>
      <c r="AM7" s="136">
        <v>79.739999999999995</v>
      </c>
      <c r="AN7" s="131"/>
      <c r="AO7" s="131"/>
      <c r="AP7" s="131"/>
      <c r="AQ7" s="131"/>
      <c r="AR7" s="131"/>
      <c r="AS7" s="131"/>
      <c r="AT7" s="131"/>
      <c r="AU7" s="91"/>
      <c r="AV7" s="91"/>
      <c r="AW7" s="131"/>
      <c r="AX7" s="131"/>
      <c r="AY7" s="131"/>
    </row>
    <row r="8" spans="1:51" ht="15" x14ac:dyDescent="0.25">
      <c r="A8" s="123"/>
      <c r="B8" s="124"/>
      <c r="C8" s="125">
        <v>42202</v>
      </c>
      <c r="D8" s="89"/>
      <c r="E8" s="86" t="s">
        <v>4</v>
      </c>
      <c r="F8" s="86" t="s">
        <v>418</v>
      </c>
      <c r="H8" s="126" t="s">
        <v>51</v>
      </c>
      <c r="I8" s="89">
        <v>3</v>
      </c>
      <c r="J8" s="127">
        <v>45679.294700000006</v>
      </c>
      <c r="K8" s="127">
        <v>91739.87000000001</v>
      </c>
      <c r="L8" s="127">
        <v>15620.14</v>
      </c>
      <c r="M8" s="127">
        <v>22119.294700000031</v>
      </c>
      <c r="N8" s="127">
        <v>79279.870000000024</v>
      </c>
      <c r="O8" s="127">
        <v>14600.14</v>
      </c>
      <c r="P8" s="128">
        <f t="shared" si="0"/>
        <v>0.48423021513946513</v>
      </c>
      <c r="Q8" s="128">
        <f t="shared" si="1"/>
        <v>0.86418118970519597</v>
      </c>
      <c r="R8" s="128">
        <f t="shared" si="2"/>
        <v>0.93469968899126388</v>
      </c>
      <c r="S8" s="129">
        <v>0</v>
      </c>
      <c r="T8" s="129">
        <v>0</v>
      </c>
      <c r="U8" s="129">
        <v>1</v>
      </c>
      <c r="V8" s="138">
        <f t="shared" si="3"/>
        <v>5</v>
      </c>
      <c r="W8" s="138">
        <f t="shared" si="4"/>
        <v>5</v>
      </c>
      <c r="X8" s="138">
        <f t="shared" si="5"/>
        <v>3</v>
      </c>
      <c r="Y8" s="138">
        <f t="shared" si="6"/>
        <v>0</v>
      </c>
      <c r="Z8" s="138">
        <f t="shared" si="7"/>
        <v>0</v>
      </c>
      <c r="AA8" s="138">
        <f t="shared" si="8"/>
        <v>1</v>
      </c>
      <c r="AB8" s="127" t="s">
        <v>32</v>
      </c>
      <c r="AC8" s="127"/>
      <c r="AD8" s="127"/>
      <c r="AE8" s="130"/>
      <c r="AF8" s="136">
        <v>0</v>
      </c>
      <c r="AG8" s="136">
        <v>11.33</v>
      </c>
      <c r="AH8" s="136">
        <v>0</v>
      </c>
      <c r="AI8" s="136">
        <v>5.99</v>
      </c>
      <c r="AJ8" s="136">
        <v>7.02</v>
      </c>
      <c r="AK8" s="136">
        <v>0.49</v>
      </c>
      <c r="AL8" s="136">
        <v>3.31</v>
      </c>
      <c r="AM8" s="136">
        <v>28.139999999999997</v>
      </c>
      <c r="AN8" s="131"/>
      <c r="AO8" s="131"/>
      <c r="AP8" s="131"/>
      <c r="AQ8" s="131"/>
      <c r="AR8" s="131"/>
      <c r="AS8" s="131"/>
      <c r="AT8" s="131"/>
      <c r="AU8" s="91"/>
      <c r="AV8" s="91"/>
      <c r="AW8" s="131"/>
      <c r="AX8" s="131"/>
      <c r="AY8" s="131"/>
    </row>
    <row r="9" spans="1:51" ht="15" x14ac:dyDescent="0.25">
      <c r="A9" s="123"/>
      <c r="B9" s="124"/>
      <c r="C9" s="125">
        <v>45436</v>
      </c>
      <c r="D9" s="89"/>
      <c r="E9" s="86" t="s">
        <v>4</v>
      </c>
      <c r="F9" s="86" t="s">
        <v>418</v>
      </c>
      <c r="H9" s="126" t="s">
        <v>51</v>
      </c>
      <c r="I9" s="89">
        <v>1</v>
      </c>
      <c r="J9" s="127">
        <v>45679.294700000006</v>
      </c>
      <c r="K9" s="127">
        <v>91739.87000000001</v>
      </c>
      <c r="L9" s="127">
        <v>15620.14</v>
      </c>
      <c r="M9" s="127">
        <v>22119.294700000031</v>
      </c>
      <c r="N9" s="127">
        <v>79279.870000000024</v>
      </c>
      <c r="O9" s="127">
        <v>14600.14</v>
      </c>
      <c r="P9" s="128">
        <f t="shared" si="0"/>
        <v>0.48423021513946513</v>
      </c>
      <c r="Q9" s="128">
        <f t="shared" si="1"/>
        <v>0.86418118970519597</v>
      </c>
      <c r="R9" s="128">
        <f t="shared" si="2"/>
        <v>0.93469968899126388</v>
      </c>
      <c r="S9" s="129">
        <v>1</v>
      </c>
      <c r="T9" s="129">
        <v>1</v>
      </c>
      <c r="U9" s="129">
        <v>1</v>
      </c>
      <c r="V9" s="138">
        <f t="shared" si="3"/>
        <v>3</v>
      </c>
      <c r="W9" s="138">
        <f t="shared" si="4"/>
        <v>3</v>
      </c>
      <c r="X9" s="138">
        <f t="shared" si="5"/>
        <v>1</v>
      </c>
      <c r="Y9" s="138">
        <f t="shared" si="6"/>
        <v>3</v>
      </c>
      <c r="Z9" s="138">
        <f t="shared" si="7"/>
        <v>3</v>
      </c>
      <c r="AA9" s="138">
        <f t="shared" si="8"/>
        <v>1</v>
      </c>
      <c r="AB9" s="127" t="s">
        <v>32</v>
      </c>
      <c r="AC9" s="127"/>
      <c r="AD9" s="127"/>
      <c r="AE9" s="130"/>
      <c r="AF9" s="136">
        <v>12.51</v>
      </c>
      <c r="AG9" s="136">
        <v>11.33</v>
      </c>
      <c r="AH9" s="136">
        <v>39.090000000000003</v>
      </c>
      <c r="AI9" s="136">
        <v>5.99</v>
      </c>
      <c r="AJ9" s="136">
        <v>7.02</v>
      </c>
      <c r="AK9" s="136">
        <v>0.49</v>
      </c>
      <c r="AL9" s="136">
        <v>3.31</v>
      </c>
      <c r="AM9" s="136">
        <v>79.739999999999995</v>
      </c>
      <c r="AN9" s="131"/>
      <c r="AO9" s="131"/>
      <c r="AP9" s="131"/>
      <c r="AQ9" s="131"/>
      <c r="AR9" s="131"/>
      <c r="AS9" s="131"/>
      <c r="AT9" s="131"/>
      <c r="AU9" s="91"/>
      <c r="AV9" s="91"/>
      <c r="AW9" s="131"/>
      <c r="AX9" s="131"/>
      <c r="AY9" s="131"/>
    </row>
    <row r="10" spans="1:51" ht="15" x14ac:dyDescent="0.25">
      <c r="A10" s="123"/>
      <c r="B10" s="124"/>
      <c r="C10" s="125">
        <v>54665</v>
      </c>
      <c r="D10" s="89"/>
      <c r="E10" s="86" t="s">
        <v>4</v>
      </c>
      <c r="F10" s="86" t="s">
        <v>418</v>
      </c>
      <c r="H10" s="126" t="s">
        <v>51</v>
      </c>
      <c r="I10" s="89">
        <v>1</v>
      </c>
      <c r="J10" s="127">
        <v>45679.294700000006</v>
      </c>
      <c r="K10" s="127">
        <v>91739.87000000001</v>
      </c>
      <c r="L10" s="127">
        <v>15620.14</v>
      </c>
      <c r="M10" s="127">
        <v>22119.294700000031</v>
      </c>
      <c r="N10" s="127">
        <v>79279.870000000024</v>
      </c>
      <c r="O10" s="127">
        <v>14600.14</v>
      </c>
      <c r="P10" s="128">
        <f t="shared" si="0"/>
        <v>0.48423021513946513</v>
      </c>
      <c r="Q10" s="128">
        <f t="shared" si="1"/>
        <v>0.86418118970519597</v>
      </c>
      <c r="R10" s="128">
        <f t="shared" si="2"/>
        <v>0.93469968899126388</v>
      </c>
      <c r="S10" s="129">
        <v>1</v>
      </c>
      <c r="T10" s="129">
        <v>1</v>
      </c>
      <c r="U10" s="129">
        <v>1</v>
      </c>
      <c r="V10" s="138">
        <f t="shared" si="3"/>
        <v>3</v>
      </c>
      <c r="W10" s="138">
        <f t="shared" si="4"/>
        <v>3</v>
      </c>
      <c r="X10" s="138">
        <f t="shared" si="5"/>
        <v>1</v>
      </c>
      <c r="Y10" s="138">
        <f t="shared" si="6"/>
        <v>3</v>
      </c>
      <c r="Z10" s="138">
        <f t="shared" si="7"/>
        <v>3</v>
      </c>
      <c r="AA10" s="138">
        <f t="shared" si="8"/>
        <v>1</v>
      </c>
      <c r="AB10" s="127" t="s">
        <v>32</v>
      </c>
      <c r="AC10" s="127"/>
      <c r="AD10" s="127"/>
      <c r="AE10" s="130"/>
      <c r="AF10" s="136">
        <v>12.51</v>
      </c>
      <c r="AG10" s="136">
        <v>11.33</v>
      </c>
      <c r="AH10" s="136">
        <v>39.090000000000003</v>
      </c>
      <c r="AI10" s="136">
        <v>5.99</v>
      </c>
      <c r="AJ10" s="136">
        <v>7.02</v>
      </c>
      <c r="AK10" s="136">
        <v>0.49</v>
      </c>
      <c r="AL10" s="136">
        <v>3.31</v>
      </c>
      <c r="AM10" s="136">
        <v>79.739999999999995</v>
      </c>
      <c r="AN10" s="131"/>
      <c r="AO10" s="131"/>
      <c r="AP10" s="131"/>
      <c r="AQ10" s="131"/>
      <c r="AR10" s="131"/>
      <c r="AS10" s="131"/>
      <c r="AT10" s="131"/>
      <c r="AU10" s="91"/>
      <c r="AV10" s="91"/>
      <c r="AW10" s="131"/>
      <c r="AX10" s="131"/>
      <c r="AY10" s="131"/>
    </row>
    <row r="11" spans="1:51" ht="15" x14ac:dyDescent="0.25">
      <c r="A11" s="123"/>
      <c r="B11" s="124"/>
      <c r="C11" s="125">
        <v>78753</v>
      </c>
      <c r="D11" s="89"/>
      <c r="E11" s="86" t="s">
        <v>4</v>
      </c>
      <c r="F11" s="86" t="s">
        <v>418</v>
      </c>
      <c r="H11" s="126" t="s">
        <v>51</v>
      </c>
      <c r="I11" s="89">
        <v>1</v>
      </c>
      <c r="J11" s="127">
        <v>45679.294700000006</v>
      </c>
      <c r="K11" s="127">
        <v>91739.87000000001</v>
      </c>
      <c r="L11" s="127">
        <v>15620.14</v>
      </c>
      <c r="M11" s="127">
        <v>22119.294700000031</v>
      </c>
      <c r="N11" s="127">
        <v>79279.870000000024</v>
      </c>
      <c r="O11" s="127">
        <v>14600.14</v>
      </c>
      <c r="P11" s="128">
        <f t="shared" si="0"/>
        <v>0.48423021513946513</v>
      </c>
      <c r="Q11" s="128">
        <f t="shared" si="1"/>
        <v>0.86418118970519597</v>
      </c>
      <c r="R11" s="128">
        <f t="shared" si="2"/>
        <v>0.93469968899126388</v>
      </c>
      <c r="S11" s="129">
        <v>1</v>
      </c>
      <c r="T11" s="129">
        <v>1</v>
      </c>
      <c r="U11" s="129">
        <v>1</v>
      </c>
      <c r="V11" s="138">
        <f t="shared" si="3"/>
        <v>3</v>
      </c>
      <c r="W11" s="138">
        <f t="shared" si="4"/>
        <v>3</v>
      </c>
      <c r="X11" s="138">
        <f t="shared" si="5"/>
        <v>1</v>
      </c>
      <c r="Y11" s="138">
        <f t="shared" si="6"/>
        <v>3</v>
      </c>
      <c r="Z11" s="138">
        <f t="shared" si="7"/>
        <v>3</v>
      </c>
      <c r="AA11" s="138">
        <f t="shared" si="8"/>
        <v>1</v>
      </c>
      <c r="AB11" s="127" t="s">
        <v>32</v>
      </c>
      <c r="AC11" s="127"/>
      <c r="AD11" s="127"/>
      <c r="AE11" s="130"/>
      <c r="AF11" s="136">
        <v>12.51</v>
      </c>
      <c r="AG11" s="136">
        <v>11.33</v>
      </c>
      <c r="AH11" s="136">
        <v>39.090000000000003</v>
      </c>
      <c r="AI11" s="136">
        <v>5.99</v>
      </c>
      <c r="AJ11" s="136">
        <v>7.02</v>
      </c>
      <c r="AK11" s="136">
        <v>0.49</v>
      </c>
      <c r="AL11" s="136">
        <v>3.31</v>
      </c>
      <c r="AM11" s="136">
        <v>79.739999999999995</v>
      </c>
      <c r="AN11" s="131"/>
      <c r="AO11" s="131"/>
      <c r="AP11" s="131"/>
      <c r="AQ11" s="131"/>
      <c r="AR11" s="131"/>
      <c r="AS11" s="131"/>
      <c r="AT11" s="131"/>
      <c r="AU11" s="91"/>
      <c r="AV11" s="91"/>
      <c r="AW11" s="131"/>
      <c r="AX11" s="131"/>
      <c r="AY11" s="131"/>
    </row>
    <row r="12" spans="1:51" ht="15" x14ac:dyDescent="0.25">
      <c r="A12" s="123"/>
      <c r="B12" s="124"/>
      <c r="C12" s="125">
        <v>97244</v>
      </c>
      <c r="D12" s="89"/>
      <c r="E12" s="86" t="s">
        <v>4</v>
      </c>
      <c r="F12" s="86" t="s">
        <v>418</v>
      </c>
      <c r="H12" s="126" t="s">
        <v>51</v>
      </c>
      <c r="I12" s="89">
        <v>1</v>
      </c>
      <c r="J12" s="127">
        <v>45679.294700000006</v>
      </c>
      <c r="K12" s="127">
        <v>91739.87000000001</v>
      </c>
      <c r="L12" s="127">
        <v>15620.14</v>
      </c>
      <c r="M12" s="127">
        <v>22119.294700000031</v>
      </c>
      <c r="N12" s="127">
        <v>79279.870000000024</v>
      </c>
      <c r="O12" s="127">
        <v>14600.14</v>
      </c>
      <c r="P12" s="128">
        <f t="shared" si="0"/>
        <v>0.48423021513946513</v>
      </c>
      <c r="Q12" s="128">
        <f t="shared" si="1"/>
        <v>0.86418118970519597</v>
      </c>
      <c r="R12" s="128">
        <f t="shared" si="2"/>
        <v>0.93469968899126388</v>
      </c>
      <c r="S12" s="129">
        <v>1</v>
      </c>
      <c r="T12" s="129">
        <v>1</v>
      </c>
      <c r="U12" s="129">
        <v>1</v>
      </c>
      <c r="V12" s="138">
        <f t="shared" si="3"/>
        <v>3</v>
      </c>
      <c r="W12" s="138">
        <f t="shared" si="4"/>
        <v>3</v>
      </c>
      <c r="X12" s="138">
        <f t="shared" si="5"/>
        <v>1</v>
      </c>
      <c r="Y12" s="138">
        <f t="shared" si="6"/>
        <v>3</v>
      </c>
      <c r="Z12" s="138">
        <f t="shared" si="7"/>
        <v>3</v>
      </c>
      <c r="AA12" s="138">
        <f t="shared" si="8"/>
        <v>1</v>
      </c>
      <c r="AB12" s="127" t="s">
        <v>32</v>
      </c>
      <c r="AC12" s="127"/>
      <c r="AD12" s="127"/>
      <c r="AE12" s="130"/>
      <c r="AF12" s="136">
        <v>12.51</v>
      </c>
      <c r="AG12" s="136">
        <v>11.33</v>
      </c>
      <c r="AH12" s="136">
        <v>39.090000000000003</v>
      </c>
      <c r="AI12" s="136">
        <v>5.99</v>
      </c>
      <c r="AJ12" s="136">
        <v>7.02</v>
      </c>
      <c r="AK12" s="136">
        <v>0.49</v>
      </c>
      <c r="AL12" s="136">
        <v>3.31</v>
      </c>
      <c r="AM12" s="136">
        <v>79.739999999999995</v>
      </c>
      <c r="AN12" s="131"/>
      <c r="AO12" s="131"/>
      <c r="AP12" s="131"/>
      <c r="AQ12" s="131"/>
      <c r="AR12" s="131"/>
      <c r="AS12" s="131"/>
      <c r="AT12" s="131"/>
      <c r="AU12" s="91"/>
      <c r="AV12" s="91"/>
      <c r="AW12" s="131"/>
      <c r="AX12" s="131"/>
      <c r="AY12" s="131"/>
    </row>
    <row r="13" spans="1:51" ht="15" x14ac:dyDescent="0.25">
      <c r="A13" s="123"/>
      <c r="B13" s="124"/>
      <c r="C13" s="125">
        <v>133004</v>
      </c>
      <c r="D13" s="89"/>
      <c r="E13" s="86" t="s">
        <v>4</v>
      </c>
      <c r="F13" s="86" t="s">
        <v>418</v>
      </c>
      <c r="H13" s="126" t="s">
        <v>50</v>
      </c>
      <c r="I13" s="89">
        <v>1</v>
      </c>
      <c r="J13" s="127">
        <v>45679.294700000006</v>
      </c>
      <c r="K13" s="127">
        <v>91739.87000000001</v>
      </c>
      <c r="L13" s="127">
        <v>15620.14</v>
      </c>
      <c r="M13" s="127">
        <v>22119.294700000031</v>
      </c>
      <c r="N13" s="127">
        <v>79279.870000000024</v>
      </c>
      <c r="O13" s="127">
        <v>14600.14</v>
      </c>
      <c r="P13" s="128">
        <f t="shared" si="0"/>
        <v>0.48423021513946513</v>
      </c>
      <c r="Q13" s="128">
        <f t="shared" si="1"/>
        <v>0.86418118970519597</v>
      </c>
      <c r="R13" s="128">
        <f t="shared" si="2"/>
        <v>0.93469968899126388</v>
      </c>
      <c r="S13" s="129">
        <v>0</v>
      </c>
      <c r="T13" s="129">
        <v>1</v>
      </c>
      <c r="U13" s="129">
        <v>1</v>
      </c>
      <c r="V13" s="138">
        <f t="shared" si="3"/>
        <v>3</v>
      </c>
      <c r="W13" s="138">
        <f t="shared" si="4"/>
        <v>3</v>
      </c>
      <c r="X13" s="138">
        <f t="shared" si="5"/>
        <v>1</v>
      </c>
      <c r="Y13" s="138">
        <f t="shared" si="6"/>
        <v>0</v>
      </c>
      <c r="Z13" s="138">
        <f t="shared" si="7"/>
        <v>3</v>
      </c>
      <c r="AA13" s="138">
        <f t="shared" si="8"/>
        <v>1</v>
      </c>
      <c r="AB13" s="127" t="s">
        <v>32</v>
      </c>
      <c r="AC13" s="127"/>
      <c r="AD13" s="127"/>
      <c r="AE13" s="130"/>
      <c r="AF13" s="136">
        <v>0</v>
      </c>
      <c r="AG13" s="136">
        <v>11.33</v>
      </c>
      <c r="AH13" s="136">
        <v>39.090000000000003</v>
      </c>
      <c r="AI13" s="136">
        <v>5.99</v>
      </c>
      <c r="AJ13" s="136">
        <v>7.02</v>
      </c>
      <c r="AK13" s="136">
        <v>0.49</v>
      </c>
      <c r="AL13" s="136">
        <v>3.31</v>
      </c>
      <c r="AM13" s="136">
        <v>67.23</v>
      </c>
      <c r="AN13" s="131"/>
      <c r="AO13" s="131"/>
      <c r="AP13" s="131"/>
      <c r="AQ13" s="131"/>
      <c r="AR13" s="131"/>
      <c r="AS13" s="131"/>
      <c r="AT13" s="131"/>
      <c r="AU13" s="91"/>
      <c r="AV13" s="91"/>
      <c r="AW13" s="131"/>
      <c r="AX13" s="131"/>
      <c r="AY13" s="131"/>
    </row>
    <row r="14" spans="1:51" ht="15" x14ac:dyDescent="0.25">
      <c r="A14" s="123"/>
      <c r="B14" s="124"/>
      <c r="C14" s="125">
        <v>146572</v>
      </c>
      <c r="D14" s="89"/>
      <c r="E14" s="86" t="s">
        <v>4</v>
      </c>
      <c r="F14" s="86" t="s">
        <v>418</v>
      </c>
      <c r="H14" s="126" t="s">
        <v>51</v>
      </c>
      <c r="I14" s="89">
        <v>1</v>
      </c>
      <c r="J14" s="127">
        <v>45679.294700000006</v>
      </c>
      <c r="K14" s="127">
        <v>91739.87000000001</v>
      </c>
      <c r="L14" s="127">
        <v>15620.14</v>
      </c>
      <c r="M14" s="127">
        <v>22119.294700000031</v>
      </c>
      <c r="N14" s="127">
        <v>79279.870000000024</v>
      </c>
      <c r="O14" s="127">
        <v>14600.14</v>
      </c>
      <c r="P14" s="128">
        <f t="shared" si="0"/>
        <v>0.48423021513946513</v>
      </c>
      <c r="Q14" s="128">
        <f t="shared" si="1"/>
        <v>0.86418118970519597</v>
      </c>
      <c r="R14" s="128">
        <f t="shared" si="2"/>
        <v>0.93469968899126388</v>
      </c>
      <c r="S14" s="129">
        <v>1</v>
      </c>
      <c r="T14" s="129">
        <v>1</v>
      </c>
      <c r="U14" s="129">
        <v>1</v>
      </c>
      <c r="V14" s="138">
        <f t="shared" si="3"/>
        <v>3</v>
      </c>
      <c r="W14" s="138">
        <f t="shared" si="4"/>
        <v>3</v>
      </c>
      <c r="X14" s="138">
        <f t="shared" si="5"/>
        <v>1</v>
      </c>
      <c r="Y14" s="138">
        <f t="shared" si="6"/>
        <v>3</v>
      </c>
      <c r="Z14" s="138">
        <f t="shared" si="7"/>
        <v>3</v>
      </c>
      <c r="AA14" s="138">
        <f t="shared" si="8"/>
        <v>1</v>
      </c>
      <c r="AB14" s="127" t="s">
        <v>32</v>
      </c>
      <c r="AC14" s="127"/>
      <c r="AD14" s="127"/>
      <c r="AE14" s="130"/>
      <c r="AF14" s="136">
        <v>12.51</v>
      </c>
      <c r="AG14" s="136">
        <v>11.33</v>
      </c>
      <c r="AH14" s="136">
        <v>39.090000000000003</v>
      </c>
      <c r="AI14" s="136">
        <v>5.99</v>
      </c>
      <c r="AJ14" s="136">
        <v>7.02</v>
      </c>
      <c r="AK14" s="136">
        <v>0.49</v>
      </c>
      <c r="AL14" s="136">
        <v>3.31</v>
      </c>
      <c r="AM14" s="136">
        <v>79.739999999999995</v>
      </c>
      <c r="AN14" s="131"/>
      <c r="AO14" s="131"/>
      <c r="AP14" s="131"/>
      <c r="AQ14" s="131"/>
      <c r="AR14" s="131"/>
      <c r="AS14" s="131"/>
      <c r="AT14" s="131"/>
      <c r="AU14" s="91"/>
      <c r="AV14" s="91"/>
      <c r="AW14" s="131"/>
      <c r="AX14" s="131"/>
      <c r="AY14" s="131"/>
    </row>
    <row r="15" spans="1:51" ht="15" x14ac:dyDescent="0.25">
      <c r="A15" s="123"/>
      <c r="B15" s="124"/>
      <c r="C15" s="125">
        <v>146635</v>
      </c>
      <c r="D15" s="89"/>
      <c r="E15" s="86" t="s">
        <v>4</v>
      </c>
      <c r="F15" s="86" t="s">
        <v>418</v>
      </c>
      <c r="H15" s="126" t="s">
        <v>51</v>
      </c>
      <c r="I15" s="89">
        <v>1</v>
      </c>
      <c r="J15" s="127">
        <v>45679.294700000006</v>
      </c>
      <c r="K15" s="127">
        <v>91739.87000000001</v>
      </c>
      <c r="L15" s="127">
        <v>15620.14</v>
      </c>
      <c r="M15" s="127">
        <v>22119.294700000031</v>
      </c>
      <c r="N15" s="127">
        <v>79279.870000000024</v>
      </c>
      <c r="O15" s="127">
        <v>14600.14</v>
      </c>
      <c r="P15" s="128">
        <f t="shared" si="0"/>
        <v>0.48423021513946513</v>
      </c>
      <c r="Q15" s="128">
        <f t="shared" si="1"/>
        <v>0.86418118970519597</v>
      </c>
      <c r="R15" s="128">
        <f t="shared" si="2"/>
        <v>0.93469968899126388</v>
      </c>
      <c r="S15" s="129">
        <v>1</v>
      </c>
      <c r="T15" s="129">
        <v>1</v>
      </c>
      <c r="U15" s="129">
        <v>1</v>
      </c>
      <c r="V15" s="138">
        <f t="shared" si="3"/>
        <v>3</v>
      </c>
      <c r="W15" s="138">
        <f t="shared" si="4"/>
        <v>3</v>
      </c>
      <c r="X15" s="138">
        <f t="shared" si="5"/>
        <v>1</v>
      </c>
      <c r="Y15" s="138">
        <f t="shared" si="6"/>
        <v>3</v>
      </c>
      <c r="Z15" s="138">
        <f t="shared" si="7"/>
        <v>3</v>
      </c>
      <c r="AA15" s="138">
        <f t="shared" si="8"/>
        <v>1</v>
      </c>
      <c r="AB15" s="127" t="s">
        <v>32</v>
      </c>
      <c r="AC15" s="127"/>
      <c r="AD15" s="127"/>
      <c r="AE15" s="130"/>
      <c r="AF15" s="136">
        <v>12.51</v>
      </c>
      <c r="AG15" s="136">
        <v>11.33</v>
      </c>
      <c r="AH15" s="136">
        <v>39.090000000000003</v>
      </c>
      <c r="AI15" s="136">
        <v>5.99</v>
      </c>
      <c r="AJ15" s="136">
        <v>7.02</v>
      </c>
      <c r="AK15" s="136">
        <v>0.49</v>
      </c>
      <c r="AL15" s="136">
        <v>3.31</v>
      </c>
      <c r="AM15" s="136">
        <v>79.739999999999995</v>
      </c>
      <c r="AN15" s="131"/>
      <c r="AO15" s="131"/>
      <c r="AP15" s="131"/>
      <c r="AQ15" s="131"/>
      <c r="AR15" s="131"/>
      <c r="AS15" s="131"/>
      <c r="AT15" s="131"/>
      <c r="AU15" s="91"/>
      <c r="AV15" s="91"/>
      <c r="AW15" s="131"/>
      <c r="AX15" s="131"/>
      <c r="AY15" s="131"/>
    </row>
    <row r="16" spans="1:51" ht="15" x14ac:dyDescent="0.25">
      <c r="A16" s="123"/>
      <c r="B16" s="124"/>
      <c r="C16" s="125">
        <v>189634</v>
      </c>
      <c r="D16" s="89"/>
      <c r="E16" s="86" t="s">
        <v>4</v>
      </c>
      <c r="F16" s="86" t="s">
        <v>418</v>
      </c>
      <c r="H16" s="126" t="s">
        <v>51</v>
      </c>
      <c r="I16" s="89">
        <v>1</v>
      </c>
      <c r="J16" s="127">
        <v>45679.294700000006</v>
      </c>
      <c r="K16" s="127">
        <v>91739.87000000001</v>
      </c>
      <c r="L16" s="127">
        <v>15620.14</v>
      </c>
      <c r="M16" s="127">
        <v>22119.294700000031</v>
      </c>
      <c r="N16" s="127">
        <v>79279.870000000024</v>
      </c>
      <c r="O16" s="127">
        <v>14600.14</v>
      </c>
      <c r="P16" s="128">
        <f t="shared" si="0"/>
        <v>0.48423021513946513</v>
      </c>
      <c r="Q16" s="128">
        <f t="shared" si="1"/>
        <v>0.86418118970519597</v>
      </c>
      <c r="R16" s="128">
        <f t="shared" si="2"/>
        <v>0.93469968899126388</v>
      </c>
      <c r="S16" s="129">
        <v>1</v>
      </c>
      <c r="T16" s="129">
        <v>1</v>
      </c>
      <c r="U16" s="129">
        <v>1</v>
      </c>
      <c r="V16" s="138">
        <f t="shared" si="3"/>
        <v>3</v>
      </c>
      <c r="W16" s="138">
        <f t="shared" si="4"/>
        <v>3</v>
      </c>
      <c r="X16" s="138">
        <f t="shared" si="5"/>
        <v>1</v>
      </c>
      <c r="Y16" s="138">
        <f t="shared" si="6"/>
        <v>3</v>
      </c>
      <c r="Z16" s="138">
        <f t="shared" si="7"/>
        <v>3</v>
      </c>
      <c r="AA16" s="138">
        <f t="shared" si="8"/>
        <v>1</v>
      </c>
      <c r="AB16" s="127" t="s">
        <v>32</v>
      </c>
      <c r="AC16" s="127"/>
      <c r="AD16" s="127"/>
      <c r="AE16" s="130"/>
      <c r="AF16" s="136">
        <v>12.51</v>
      </c>
      <c r="AG16" s="136">
        <v>11.33</v>
      </c>
      <c r="AH16" s="136">
        <v>39.090000000000003</v>
      </c>
      <c r="AI16" s="136">
        <v>5.99</v>
      </c>
      <c r="AJ16" s="136">
        <v>7.02</v>
      </c>
      <c r="AK16" s="136">
        <v>0.49</v>
      </c>
      <c r="AL16" s="136">
        <v>3.31</v>
      </c>
      <c r="AM16" s="136">
        <v>79.739999999999995</v>
      </c>
      <c r="AN16" s="131"/>
      <c r="AO16" s="131"/>
      <c r="AP16" s="131"/>
      <c r="AQ16" s="131"/>
      <c r="AR16" s="131"/>
      <c r="AS16" s="131"/>
      <c r="AT16" s="131"/>
      <c r="AU16" s="91"/>
      <c r="AV16" s="91"/>
      <c r="AW16" s="131"/>
      <c r="AX16" s="131"/>
      <c r="AY16" s="131"/>
    </row>
    <row r="17" spans="1:51" ht="15" x14ac:dyDescent="0.25">
      <c r="A17" s="123"/>
      <c r="B17" s="124"/>
      <c r="C17" s="125">
        <v>190192</v>
      </c>
      <c r="D17" s="89"/>
      <c r="E17" s="86" t="s">
        <v>4</v>
      </c>
      <c r="F17" s="86" t="s">
        <v>418</v>
      </c>
      <c r="H17" s="126" t="s">
        <v>51</v>
      </c>
      <c r="I17" s="89">
        <v>1</v>
      </c>
      <c r="J17" s="127">
        <v>45679.294700000006</v>
      </c>
      <c r="K17" s="127">
        <v>91739.87000000001</v>
      </c>
      <c r="L17" s="127">
        <v>15620.14</v>
      </c>
      <c r="M17" s="127">
        <v>22119.294700000031</v>
      </c>
      <c r="N17" s="127">
        <v>79279.870000000024</v>
      </c>
      <c r="O17" s="127">
        <v>14600.14</v>
      </c>
      <c r="P17" s="128">
        <f t="shared" si="0"/>
        <v>0.48423021513946513</v>
      </c>
      <c r="Q17" s="128">
        <f t="shared" si="1"/>
        <v>0.86418118970519597</v>
      </c>
      <c r="R17" s="128">
        <f t="shared" si="2"/>
        <v>0.93469968899126388</v>
      </c>
      <c r="S17" s="129">
        <v>1</v>
      </c>
      <c r="T17" s="129">
        <v>1</v>
      </c>
      <c r="U17" s="129">
        <v>1</v>
      </c>
      <c r="V17" s="138">
        <f t="shared" si="3"/>
        <v>3</v>
      </c>
      <c r="W17" s="138">
        <f t="shared" si="4"/>
        <v>3</v>
      </c>
      <c r="X17" s="138">
        <f t="shared" si="5"/>
        <v>1</v>
      </c>
      <c r="Y17" s="138">
        <f t="shared" si="6"/>
        <v>3</v>
      </c>
      <c r="Z17" s="138">
        <f t="shared" si="7"/>
        <v>3</v>
      </c>
      <c r="AA17" s="138">
        <f t="shared" si="8"/>
        <v>1</v>
      </c>
      <c r="AB17" s="127" t="s">
        <v>32</v>
      </c>
      <c r="AC17" s="127"/>
      <c r="AD17" s="127"/>
      <c r="AE17" s="130"/>
      <c r="AF17" s="136">
        <v>12.51</v>
      </c>
      <c r="AG17" s="136">
        <v>11.33</v>
      </c>
      <c r="AH17" s="136">
        <v>39.090000000000003</v>
      </c>
      <c r="AI17" s="136">
        <v>5.99</v>
      </c>
      <c r="AJ17" s="136">
        <v>7.02</v>
      </c>
      <c r="AK17" s="136">
        <v>0.49</v>
      </c>
      <c r="AL17" s="136">
        <v>3.31</v>
      </c>
      <c r="AM17" s="136">
        <v>79.739999999999995</v>
      </c>
      <c r="AN17" s="131"/>
      <c r="AO17" s="131"/>
      <c r="AP17" s="131"/>
      <c r="AQ17" s="131"/>
      <c r="AR17" s="131"/>
      <c r="AS17" s="131"/>
      <c r="AT17" s="131"/>
      <c r="AU17" s="91"/>
      <c r="AV17" s="91"/>
      <c r="AW17" s="131"/>
      <c r="AX17" s="131"/>
      <c r="AY17" s="131"/>
    </row>
    <row r="18" spans="1:51" ht="15" x14ac:dyDescent="0.25">
      <c r="A18" s="123"/>
      <c r="B18" s="124"/>
      <c r="C18" s="125">
        <v>209627</v>
      </c>
      <c r="D18" s="89"/>
      <c r="E18" s="86" t="s">
        <v>4</v>
      </c>
      <c r="F18" s="86" t="s">
        <v>418</v>
      </c>
      <c r="H18" s="126" t="s">
        <v>51</v>
      </c>
      <c r="I18" s="89">
        <v>1</v>
      </c>
      <c r="J18" s="127">
        <v>45679.294700000006</v>
      </c>
      <c r="K18" s="127">
        <v>91739.87000000001</v>
      </c>
      <c r="L18" s="127">
        <v>15620.14</v>
      </c>
      <c r="M18" s="127">
        <v>22119.294700000031</v>
      </c>
      <c r="N18" s="127">
        <v>79279.870000000024</v>
      </c>
      <c r="O18" s="127">
        <v>14600.14</v>
      </c>
      <c r="P18" s="128">
        <f t="shared" si="0"/>
        <v>0.48423021513946513</v>
      </c>
      <c r="Q18" s="128">
        <f t="shared" si="1"/>
        <v>0.86418118970519597</v>
      </c>
      <c r="R18" s="128">
        <f t="shared" si="2"/>
        <v>0.93469968899126388</v>
      </c>
      <c r="S18" s="129">
        <v>1</v>
      </c>
      <c r="T18" s="129">
        <v>1</v>
      </c>
      <c r="U18" s="129">
        <v>1</v>
      </c>
      <c r="V18" s="138">
        <f t="shared" si="3"/>
        <v>3</v>
      </c>
      <c r="W18" s="138">
        <f t="shared" si="4"/>
        <v>3</v>
      </c>
      <c r="X18" s="138">
        <f t="shared" si="5"/>
        <v>1</v>
      </c>
      <c r="Y18" s="138">
        <f t="shared" si="6"/>
        <v>3</v>
      </c>
      <c r="Z18" s="138">
        <f t="shared" si="7"/>
        <v>3</v>
      </c>
      <c r="AA18" s="138">
        <f t="shared" si="8"/>
        <v>1</v>
      </c>
      <c r="AB18" s="127" t="s">
        <v>32</v>
      </c>
      <c r="AC18" s="127"/>
      <c r="AD18" s="127"/>
      <c r="AE18" s="130"/>
      <c r="AF18" s="136">
        <v>12.51</v>
      </c>
      <c r="AG18" s="136">
        <v>11.33</v>
      </c>
      <c r="AH18" s="136">
        <v>39.090000000000003</v>
      </c>
      <c r="AI18" s="136">
        <v>5.99</v>
      </c>
      <c r="AJ18" s="136">
        <v>7.02</v>
      </c>
      <c r="AK18" s="136">
        <v>0.49</v>
      </c>
      <c r="AL18" s="136">
        <v>3.31</v>
      </c>
      <c r="AM18" s="136">
        <v>79.739999999999995</v>
      </c>
      <c r="AN18" s="131"/>
      <c r="AO18" s="131"/>
      <c r="AP18" s="131"/>
      <c r="AQ18" s="131"/>
      <c r="AR18" s="131"/>
      <c r="AS18" s="131"/>
      <c r="AT18" s="131"/>
      <c r="AU18" s="91"/>
      <c r="AV18" s="91"/>
      <c r="AW18" s="131"/>
      <c r="AX18" s="131"/>
      <c r="AY18" s="131"/>
    </row>
    <row r="19" spans="1:51" ht="15" x14ac:dyDescent="0.25">
      <c r="A19" s="123"/>
      <c r="B19" s="124"/>
      <c r="C19" s="125">
        <v>225222</v>
      </c>
      <c r="D19" s="89"/>
      <c r="E19" s="86" t="s">
        <v>4</v>
      </c>
      <c r="F19" s="86" t="s">
        <v>418</v>
      </c>
      <c r="H19" s="126" t="s">
        <v>51</v>
      </c>
      <c r="I19" s="89">
        <v>1</v>
      </c>
      <c r="J19" s="127">
        <v>45679.294700000006</v>
      </c>
      <c r="K19" s="127">
        <v>91739.87000000001</v>
      </c>
      <c r="L19" s="127">
        <v>15620.14</v>
      </c>
      <c r="M19" s="127">
        <v>22119.294700000031</v>
      </c>
      <c r="N19" s="127">
        <v>79279.870000000024</v>
      </c>
      <c r="O19" s="127">
        <v>14600.14</v>
      </c>
      <c r="P19" s="128">
        <f t="shared" si="0"/>
        <v>0.48423021513946513</v>
      </c>
      <c r="Q19" s="128">
        <f t="shared" si="1"/>
        <v>0.86418118970519597</v>
      </c>
      <c r="R19" s="128">
        <f t="shared" si="2"/>
        <v>0.93469968899126388</v>
      </c>
      <c r="S19" s="129">
        <v>1</v>
      </c>
      <c r="T19" s="129">
        <v>1</v>
      </c>
      <c r="U19" s="129">
        <v>1</v>
      </c>
      <c r="V19" s="138">
        <f t="shared" si="3"/>
        <v>3</v>
      </c>
      <c r="W19" s="138">
        <f t="shared" si="4"/>
        <v>3</v>
      </c>
      <c r="X19" s="138">
        <f t="shared" si="5"/>
        <v>1</v>
      </c>
      <c r="Y19" s="138">
        <f t="shared" si="6"/>
        <v>3</v>
      </c>
      <c r="Z19" s="138">
        <f t="shared" si="7"/>
        <v>3</v>
      </c>
      <c r="AA19" s="138">
        <f t="shared" si="8"/>
        <v>1</v>
      </c>
      <c r="AB19" s="127" t="s">
        <v>32</v>
      </c>
      <c r="AC19" s="127"/>
      <c r="AD19" s="127"/>
      <c r="AE19" s="130"/>
      <c r="AF19" s="136">
        <v>12.51</v>
      </c>
      <c r="AG19" s="136">
        <v>11.33</v>
      </c>
      <c r="AH19" s="136">
        <v>39.090000000000003</v>
      </c>
      <c r="AI19" s="136">
        <v>5.99</v>
      </c>
      <c r="AJ19" s="136">
        <v>7.02</v>
      </c>
      <c r="AK19" s="136">
        <v>0.49</v>
      </c>
      <c r="AL19" s="136">
        <v>3.31</v>
      </c>
      <c r="AM19" s="136">
        <v>79.739999999999995</v>
      </c>
      <c r="AN19" s="131"/>
      <c r="AO19" s="131"/>
      <c r="AP19" s="131"/>
      <c r="AQ19" s="131"/>
      <c r="AR19" s="131"/>
      <c r="AS19" s="131"/>
      <c r="AT19" s="131"/>
      <c r="AU19" s="91"/>
      <c r="AV19" s="91"/>
      <c r="AW19" s="131"/>
      <c r="AX19" s="131"/>
      <c r="AY19" s="131"/>
    </row>
    <row r="20" spans="1:51" ht="15" x14ac:dyDescent="0.25">
      <c r="A20" s="123"/>
      <c r="B20" s="124"/>
      <c r="C20" s="125">
        <v>238110</v>
      </c>
      <c r="D20" s="89"/>
      <c r="E20" s="86" t="s">
        <v>4</v>
      </c>
      <c r="F20" s="86" t="s">
        <v>418</v>
      </c>
      <c r="H20" s="126" t="s">
        <v>51</v>
      </c>
      <c r="I20" s="89">
        <v>1</v>
      </c>
      <c r="J20" s="127">
        <v>45679.294700000006</v>
      </c>
      <c r="K20" s="127">
        <v>91739.87000000001</v>
      </c>
      <c r="L20" s="127">
        <v>15620.14</v>
      </c>
      <c r="M20" s="127">
        <v>22119.294700000031</v>
      </c>
      <c r="N20" s="127">
        <v>79279.870000000024</v>
      </c>
      <c r="O20" s="127">
        <v>14600.14</v>
      </c>
      <c r="P20" s="128">
        <f t="shared" si="0"/>
        <v>0.48423021513946513</v>
      </c>
      <c r="Q20" s="128">
        <f t="shared" si="1"/>
        <v>0.86418118970519597</v>
      </c>
      <c r="R20" s="128">
        <f t="shared" si="2"/>
        <v>0.93469968899126388</v>
      </c>
      <c r="S20" s="129">
        <v>1</v>
      </c>
      <c r="T20" s="129">
        <v>1</v>
      </c>
      <c r="U20" s="129">
        <v>1</v>
      </c>
      <c r="V20" s="138">
        <f t="shared" si="3"/>
        <v>3</v>
      </c>
      <c r="W20" s="138">
        <f t="shared" si="4"/>
        <v>3</v>
      </c>
      <c r="X20" s="138">
        <f t="shared" si="5"/>
        <v>1</v>
      </c>
      <c r="Y20" s="138">
        <f t="shared" si="6"/>
        <v>3</v>
      </c>
      <c r="Z20" s="138">
        <f t="shared" si="7"/>
        <v>3</v>
      </c>
      <c r="AA20" s="138">
        <f t="shared" si="8"/>
        <v>1</v>
      </c>
      <c r="AB20" s="127" t="s">
        <v>32</v>
      </c>
      <c r="AC20" s="127"/>
      <c r="AD20" s="127"/>
      <c r="AE20" s="130"/>
      <c r="AF20" s="136">
        <v>12.51</v>
      </c>
      <c r="AG20" s="136">
        <v>11.33</v>
      </c>
      <c r="AH20" s="136">
        <v>39.090000000000003</v>
      </c>
      <c r="AI20" s="136">
        <v>5.99</v>
      </c>
      <c r="AJ20" s="136">
        <v>7.02</v>
      </c>
      <c r="AK20" s="136">
        <v>0.49</v>
      </c>
      <c r="AL20" s="136">
        <v>3.31</v>
      </c>
      <c r="AM20" s="136">
        <v>79.739999999999995</v>
      </c>
      <c r="AN20" s="131"/>
      <c r="AO20" s="131"/>
      <c r="AP20" s="131"/>
      <c r="AQ20" s="131"/>
      <c r="AR20" s="131"/>
      <c r="AS20" s="131"/>
      <c r="AT20" s="131"/>
      <c r="AU20" s="91"/>
      <c r="AV20" s="91"/>
      <c r="AW20" s="131"/>
      <c r="AX20" s="131"/>
      <c r="AY20" s="131"/>
    </row>
    <row r="21" spans="1:51" ht="15" x14ac:dyDescent="0.25">
      <c r="A21" s="123"/>
      <c r="B21" s="124"/>
      <c r="C21" s="125">
        <v>260933.00000000003</v>
      </c>
      <c r="D21" s="89"/>
      <c r="E21" s="86" t="s">
        <v>4</v>
      </c>
      <c r="F21" s="86" t="s">
        <v>418</v>
      </c>
      <c r="H21" s="126" t="s">
        <v>51</v>
      </c>
      <c r="I21" s="89">
        <v>1</v>
      </c>
      <c r="J21" s="127">
        <v>45679.294700000006</v>
      </c>
      <c r="K21" s="127">
        <v>91739.87000000001</v>
      </c>
      <c r="L21" s="127">
        <v>15620.14</v>
      </c>
      <c r="M21" s="127">
        <v>22119.294700000031</v>
      </c>
      <c r="N21" s="127">
        <v>79279.870000000024</v>
      </c>
      <c r="O21" s="127">
        <v>14600.14</v>
      </c>
      <c r="P21" s="128">
        <f t="shared" si="0"/>
        <v>0.48423021513946513</v>
      </c>
      <c r="Q21" s="128">
        <f t="shared" si="1"/>
        <v>0.86418118970519597</v>
      </c>
      <c r="R21" s="128">
        <f t="shared" si="2"/>
        <v>0.93469968899126388</v>
      </c>
      <c r="S21" s="129">
        <v>1</v>
      </c>
      <c r="T21" s="129">
        <v>1</v>
      </c>
      <c r="U21" s="129">
        <v>1</v>
      </c>
      <c r="V21" s="138">
        <f t="shared" si="3"/>
        <v>3</v>
      </c>
      <c r="W21" s="138">
        <f t="shared" si="4"/>
        <v>3</v>
      </c>
      <c r="X21" s="138">
        <f t="shared" si="5"/>
        <v>1</v>
      </c>
      <c r="Y21" s="138">
        <f t="shared" si="6"/>
        <v>3</v>
      </c>
      <c r="Z21" s="138">
        <f t="shared" si="7"/>
        <v>3</v>
      </c>
      <c r="AA21" s="138">
        <f t="shared" si="8"/>
        <v>1</v>
      </c>
      <c r="AB21" s="127" t="s">
        <v>32</v>
      </c>
      <c r="AC21" s="127"/>
      <c r="AD21" s="127"/>
      <c r="AE21" s="130"/>
      <c r="AF21" s="136">
        <v>12.51</v>
      </c>
      <c r="AG21" s="136">
        <v>11.33</v>
      </c>
      <c r="AH21" s="136">
        <v>39.090000000000003</v>
      </c>
      <c r="AI21" s="136">
        <v>5.99</v>
      </c>
      <c r="AJ21" s="136">
        <v>7.02</v>
      </c>
      <c r="AK21" s="136">
        <v>0.49</v>
      </c>
      <c r="AL21" s="136">
        <v>3.31</v>
      </c>
      <c r="AM21" s="136">
        <v>79.739999999999995</v>
      </c>
      <c r="AN21" s="131"/>
      <c r="AO21" s="131"/>
      <c r="AP21" s="131"/>
      <c r="AQ21" s="131"/>
      <c r="AR21" s="131"/>
      <c r="AS21" s="131"/>
      <c r="AT21" s="131"/>
      <c r="AU21" s="91"/>
      <c r="AV21" s="91"/>
      <c r="AW21" s="131"/>
      <c r="AX21" s="131"/>
      <c r="AY21" s="131"/>
    </row>
    <row r="22" spans="1:51" ht="15" x14ac:dyDescent="0.25">
      <c r="A22" s="123"/>
      <c r="B22" s="124"/>
      <c r="C22" s="125">
        <v>317231</v>
      </c>
      <c r="D22" s="89"/>
      <c r="E22" s="86" t="s">
        <v>4</v>
      </c>
      <c r="F22" s="86" t="s">
        <v>418</v>
      </c>
      <c r="H22" s="126" t="s">
        <v>51</v>
      </c>
      <c r="I22" s="89">
        <v>1</v>
      </c>
      <c r="J22" s="127">
        <v>45679.294700000006</v>
      </c>
      <c r="K22" s="127">
        <v>91739.87000000001</v>
      </c>
      <c r="L22" s="127">
        <v>15620.14</v>
      </c>
      <c r="M22" s="127">
        <v>22119.294700000031</v>
      </c>
      <c r="N22" s="127">
        <v>79279.870000000024</v>
      </c>
      <c r="O22" s="127">
        <v>14600.14</v>
      </c>
      <c r="P22" s="128">
        <f t="shared" si="0"/>
        <v>0.48423021513946513</v>
      </c>
      <c r="Q22" s="128">
        <f t="shared" si="1"/>
        <v>0.86418118970519597</v>
      </c>
      <c r="R22" s="128">
        <f t="shared" si="2"/>
        <v>0.93469968899126388</v>
      </c>
      <c r="S22" s="129">
        <v>1</v>
      </c>
      <c r="T22" s="129">
        <v>1</v>
      </c>
      <c r="U22" s="129">
        <v>1</v>
      </c>
      <c r="V22" s="138">
        <f t="shared" si="3"/>
        <v>3</v>
      </c>
      <c r="W22" s="138">
        <f t="shared" si="4"/>
        <v>3</v>
      </c>
      <c r="X22" s="138">
        <f t="shared" si="5"/>
        <v>1</v>
      </c>
      <c r="Y22" s="138">
        <f t="shared" si="6"/>
        <v>3</v>
      </c>
      <c r="Z22" s="138">
        <f t="shared" si="7"/>
        <v>3</v>
      </c>
      <c r="AA22" s="138">
        <f t="shared" si="8"/>
        <v>1</v>
      </c>
      <c r="AB22" s="127" t="s">
        <v>32</v>
      </c>
      <c r="AC22" s="127"/>
      <c r="AD22" s="127"/>
      <c r="AE22" s="130"/>
      <c r="AF22" s="136">
        <v>12.51</v>
      </c>
      <c r="AG22" s="136">
        <v>11.33</v>
      </c>
      <c r="AH22" s="136">
        <v>39.090000000000003</v>
      </c>
      <c r="AI22" s="136">
        <v>5.99</v>
      </c>
      <c r="AJ22" s="136">
        <v>7.02</v>
      </c>
      <c r="AK22" s="136">
        <v>0.49</v>
      </c>
      <c r="AL22" s="136">
        <v>3.31</v>
      </c>
      <c r="AM22" s="136">
        <v>79.739999999999995</v>
      </c>
      <c r="AN22" s="131"/>
      <c r="AO22" s="131"/>
      <c r="AP22" s="131"/>
      <c r="AQ22" s="131"/>
      <c r="AR22" s="131"/>
      <c r="AS22" s="131"/>
      <c r="AT22" s="131"/>
      <c r="AU22" s="91"/>
      <c r="AV22" s="91"/>
      <c r="AW22" s="131"/>
      <c r="AX22" s="131"/>
      <c r="AY22" s="131"/>
    </row>
    <row r="23" spans="1:51" ht="15" x14ac:dyDescent="0.25">
      <c r="A23" s="123"/>
      <c r="B23" s="124"/>
      <c r="C23" s="125">
        <v>331711</v>
      </c>
      <c r="D23" s="89"/>
      <c r="E23" s="86" t="s">
        <v>4</v>
      </c>
      <c r="F23" s="86" t="s">
        <v>418</v>
      </c>
      <c r="H23" s="126" t="s">
        <v>51</v>
      </c>
      <c r="I23" s="89">
        <v>1</v>
      </c>
      <c r="J23" s="127">
        <v>45679.294700000006</v>
      </c>
      <c r="K23" s="127">
        <v>91739.87000000001</v>
      </c>
      <c r="L23" s="127">
        <v>15620.14</v>
      </c>
      <c r="M23" s="127">
        <v>22119.294700000031</v>
      </c>
      <c r="N23" s="127">
        <v>79279.870000000024</v>
      </c>
      <c r="O23" s="127">
        <v>14600.14</v>
      </c>
      <c r="P23" s="128">
        <f t="shared" si="0"/>
        <v>0.48423021513946513</v>
      </c>
      <c r="Q23" s="128">
        <f t="shared" si="1"/>
        <v>0.86418118970519597</v>
      </c>
      <c r="R23" s="128">
        <f t="shared" si="2"/>
        <v>0.93469968899126388</v>
      </c>
      <c r="S23" s="129">
        <v>1</v>
      </c>
      <c r="T23" s="129">
        <v>1</v>
      </c>
      <c r="U23" s="129">
        <v>1</v>
      </c>
      <c r="V23" s="138">
        <f t="shared" si="3"/>
        <v>3</v>
      </c>
      <c r="W23" s="138">
        <f t="shared" si="4"/>
        <v>3</v>
      </c>
      <c r="X23" s="138">
        <f t="shared" si="5"/>
        <v>1</v>
      </c>
      <c r="Y23" s="138">
        <f t="shared" si="6"/>
        <v>3</v>
      </c>
      <c r="Z23" s="138">
        <f t="shared" si="7"/>
        <v>3</v>
      </c>
      <c r="AA23" s="138">
        <f t="shared" si="8"/>
        <v>1</v>
      </c>
      <c r="AB23" s="127" t="s">
        <v>32</v>
      </c>
      <c r="AC23" s="127"/>
      <c r="AD23" s="127"/>
      <c r="AE23" s="130"/>
      <c r="AF23" s="136">
        <v>12.51</v>
      </c>
      <c r="AG23" s="136">
        <v>11.33</v>
      </c>
      <c r="AH23" s="136">
        <v>39.090000000000003</v>
      </c>
      <c r="AI23" s="136">
        <v>5.99</v>
      </c>
      <c r="AJ23" s="136">
        <v>7.02</v>
      </c>
      <c r="AK23" s="136">
        <v>0.49</v>
      </c>
      <c r="AL23" s="136">
        <v>3.31</v>
      </c>
      <c r="AM23" s="136">
        <v>79.739999999999995</v>
      </c>
      <c r="AN23" s="131"/>
      <c r="AO23" s="131"/>
      <c r="AP23" s="131"/>
      <c r="AQ23" s="131"/>
      <c r="AR23" s="131"/>
      <c r="AS23" s="131"/>
      <c r="AT23" s="131"/>
      <c r="AU23" s="91"/>
      <c r="AV23" s="91"/>
      <c r="AW23" s="131"/>
      <c r="AX23" s="131"/>
      <c r="AY23" s="131"/>
    </row>
    <row r="24" spans="1:51" ht="15" x14ac:dyDescent="0.25">
      <c r="A24" s="123"/>
      <c r="B24" s="124"/>
      <c r="C24" s="125">
        <v>378393</v>
      </c>
      <c r="D24" s="89"/>
      <c r="E24" s="86" t="s">
        <v>4</v>
      </c>
      <c r="F24" s="86" t="s">
        <v>418</v>
      </c>
      <c r="H24" s="126" t="s">
        <v>51</v>
      </c>
      <c r="I24" s="89">
        <v>1</v>
      </c>
      <c r="J24" s="127">
        <v>45679.294700000006</v>
      </c>
      <c r="K24" s="127">
        <v>91739.87000000001</v>
      </c>
      <c r="L24" s="127">
        <v>15620.14</v>
      </c>
      <c r="M24" s="127">
        <v>22119.294700000031</v>
      </c>
      <c r="N24" s="127">
        <v>79279.870000000024</v>
      </c>
      <c r="O24" s="127">
        <v>14600.14</v>
      </c>
      <c r="P24" s="128">
        <f t="shared" si="0"/>
        <v>0.48423021513946513</v>
      </c>
      <c r="Q24" s="128">
        <f t="shared" si="1"/>
        <v>0.86418118970519597</v>
      </c>
      <c r="R24" s="128">
        <f t="shared" si="2"/>
        <v>0.93469968899126388</v>
      </c>
      <c r="S24" s="129">
        <v>1</v>
      </c>
      <c r="T24" s="129">
        <v>1</v>
      </c>
      <c r="U24" s="129">
        <v>1</v>
      </c>
      <c r="V24" s="138">
        <f t="shared" si="3"/>
        <v>3</v>
      </c>
      <c r="W24" s="138">
        <f t="shared" si="4"/>
        <v>3</v>
      </c>
      <c r="X24" s="138">
        <f t="shared" si="5"/>
        <v>1</v>
      </c>
      <c r="Y24" s="138">
        <f t="shared" si="6"/>
        <v>3</v>
      </c>
      <c r="Z24" s="138">
        <f t="shared" si="7"/>
        <v>3</v>
      </c>
      <c r="AA24" s="138">
        <f t="shared" si="8"/>
        <v>1</v>
      </c>
      <c r="AB24" s="127" t="s">
        <v>32</v>
      </c>
      <c r="AC24" s="127"/>
      <c r="AD24" s="127"/>
      <c r="AE24" s="130"/>
      <c r="AF24" s="136">
        <v>12.51</v>
      </c>
      <c r="AG24" s="136">
        <v>11.33</v>
      </c>
      <c r="AH24" s="136">
        <v>39.090000000000003</v>
      </c>
      <c r="AI24" s="136">
        <v>5.99</v>
      </c>
      <c r="AJ24" s="136">
        <v>7.02</v>
      </c>
      <c r="AK24" s="136">
        <v>0.49</v>
      </c>
      <c r="AL24" s="136">
        <v>3.31</v>
      </c>
      <c r="AM24" s="136">
        <v>79.739999999999995</v>
      </c>
      <c r="AN24" s="131"/>
      <c r="AO24" s="131"/>
      <c r="AP24" s="131"/>
      <c r="AQ24" s="131"/>
      <c r="AR24" s="131"/>
      <c r="AS24" s="131"/>
      <c r="AT24" s="131"/>
      <c r="AU24" s="91"/>
      <c r="AV24" s="91"/>
      <c r="AW24" s="131"/>
      <c r="AX24" s="131"/>
      <c r="AY24" s="131"/>
    </row>
    <row r="25" spans="1:51" ht="15" x14ac:dyDescent="0.25">
      <c r="A25" s="123"/>
      <c r="B25" s="124"/>
      <c r="C25" s="125">
        <v>445681</v>
      </c>
      <c r="D25" s="89"/>
      <c r="E25" s="86" t="s">
        <v>4</v>
      </c>
      <c r="F25" s="86" t="s">
        <v>418</v>
      </c>
      <c r="H25" s="126" t="s">
        <v>51</v>
      </c>
      <c r="I25" s="89">
        <v>1</v>
      </c>
      <c r="J25" s="127">
        <v>45679.294700000006</v>
      </c>
      <c r="K25" s="127">
        <v>91739.87000000001</v>
      </c>
      <c r="L25" s="127">
        <v>15620.14</v>
      </c>
      <c r="M25" s="127">
        <v>22119.294700000031</v>
      </c>
      <c r="N25" s="127">
        <v>79279.870000000024</v>
      </c>
      <c r="O25" s="127">
        <v>14600.14</v>
      </c>
      <c r="P25" s="128">
        <f t="shared" si="0"/>
        <v>0.48423021513946513</v>
      </c>
      <c r="Q25" s="128">
        <f t="shared" si="1"/>
        <v>0.86418118970519597</v>
      </c>
      <c r="R25" s="128">
        <f t="shared" si="2"/>
        <v>0.93469968899126388</v>
      </c>
      <c r="S25" s="129">
        <v>1</v>
      </c>
      <c r="T25" s="129">
        <v>1</v>
      </c>
      <c r="U25" s="129">
        <v>1</v>
      </c>
      <c r="V25" s="138">
        <f t="shared" si="3"/>
        <v>3</v>
      </c>
      <c r="W25" s="138">
        <f t="shared" si="4"/>
        <v>3</v>
      </c>
      <c r="X25" s="138">
        <f t="shared" si="5"/>
        <v>1</v>
      </c>
      <c r="Y25" s="138">
        <f t="shared" si="6"/>
        <v>3</v>
      </c>
      <c r="Z25" s="138">
        <f t="shared" si="7"/>
        <v>3</v>
      </c>
      <c r="AA25" s="138">
        <f t="shared" si="8"/>
        <v>1</v>
      </c>
      <c r="AB25" s="127" t="s">
        <v>32</v>
      </c>
      <c r="AC25" s="127"/>
      <c r="AD25" s="127"/>
      <c r="AE25" s="130"/>
      <c r="AF25" s="136">
        <v>12.51</v>
      </c>
      <c r="AG25" s="136">
        <v>11.33</v>
      </c>
      <c r="AH25" s="136">
        <v>39.090000000000003</v>
      </c>
      <c r="AI25" s="136">
        <v>5.99</v>
      </c>
      <c r="AJ25" s="136">
        <v>7.02</v>
      </c>
      <c r="AK25" s="136">
        <v>0.49</v>
      </c>
      <c r="AL25" s="136">
        <v>3.31</v>
      </c>
      <c r="AM25" s="136">
        <v>79.739999999999995</v>
      </c>
      <c r="AN25" s="131"/>
      <c r="AO25" s="131"/>
      <c r="AP25" s="131"/>
      <c r="AQ25" s="131"/>
      <c r="AR25" s="131"/>
      <c r="AS25" s="131"/>
      <c r="AT25" s="131"/>
      <c r="AU25" s="91"/>
      <c r="AV25" s="91"/>
      <c r="AW25" s="131"/>
      <c r="AX25" s="131"/>
      <c r="AY25" s="131"/>
    </row>
    <row r="26" spans="1:51" ht="15" x14ac:dyDescent="0.25">
      <c r="A26" s="123"/>
      <c r="B26" s="124"/>
      <c r="C26" s="125">
        <v>477489</v>
      </c>
      <c r="D26" s="89"/>
      <c r="E26" s="86" t="s">
        <v>4</v>
      </c>
      <c r="F26" s="86" t="s">
        <v>418</v>
      </c>
      <c r="H26" s="126" t="s">
        <v>51</v>
      </c>
      <c r="I26" s="89">
        <v>1</v>
      </c>
      <c r="J26" s="127">
        <v>45679.294700000006</v>
      </c>
      <c r="K26" s="127">
        <v>91739.87000000001</v>
      </c>
      <c r="L26" s="127">
        <v>15620.14</v>
      </c>
      <c r="M26" s="127">
        <v>22119.294700000031</v>
      </c>
      <c r="N26" s="127">
        <v>79279.870000000024</v>
      </c>
      <c r="O26" s="127">
        <v>14600.14</v>
      </c>
      <c r="P26" s="128">
        <f t="shared" si="0"/>
        <v>0.48423021513946513</v>
      </c>
      <c r="Q26" s="128">
        <f t="shared" si="1"/>
        <v>0.86418118970519597</v>
      </c>
      <c r="R26" s="128">
        <f t="shared" si="2"/>
        <v>0.93469968899126388</v>
      </c>
      <c r="S26" s="129">
        <v>1</v>
      </c>
      <c r="T26" s="129">
        <v>1</v>
      </c>
      <c r="U26" s="129">
        <v>1</v>
      </c>
      <c r="V26" s="138">
        <f t="shared" si="3"/>
        <v>3</v>
      </c>
      <c r="W26" s="138">
        <f t="shared" si="4"/>
        <v>3</v>
      </c>
      <c r="X26" s="138">
        <f t="shared" si="5"/>
        <v>1</v>
      </c>
      <c r="Y26" s="138">
        <f t="shared" si="6"/>
        <v>3</v>
      </c>
      <c r="Z26" s="138">
        <f t="shared" si="7"/>
        <v>3</v>
      </c>
      <c r="AA26" s="138">
        <f t="shared" si="8"/>
        <v>1</v>
      </c>
      <c r="AB26" s="127" t="s">
        <v>32</v>
      </c>
      <c r="AC26" s="127"/>
      <c r="AD26" s="127"/>
      <c r="AE26" s="130"/>
      <c r="AF26" s="136">
        <v>12.51</v>
      </c>
      <c r="AG26" s="136">
        <v>11.33</v>
      </c>
      <c r="AH26" s="136">
        <v>39.090000000000003</v>
      </c>
      <c r="AI26" s="136">
        <v>5.99</v>
      </c>
      <c r="AJ26" s="136">
        <v>7.02</v>
      </c>
      <c r="AK26" s="136">
        <v>0.49</v>
      </c>
      <c r="AL26" s="136">
        <v>3.31</v>
      </c>
      <c r="AM26" s="136">
        <v>79.739999999999995</v>
      </c>
      <c r="AN26" s="131"/>
      <c r="AO26" s="131"/>
      <c r="AP26" s="131"/>
      <c r="AQ26" s="131"/>
      <c r="AR26" s="131"/>
      <c r="AS26" s="131"/>
      <c r="AT26" s="131"/>
      <c r="AU26" s="91"/>
      <c r="AV26" s="91"/>
      <c r="AW26" s="131"/>
      <c r="AX26" s="131"/>
      <c r="AY26" s="131"/>
    </row>
    <row r="27" spans="1:51" ht="15" x14ac:dyDescent="0.25">
      <c r="A27" s="123"/>
      <c r="B27" s="124"/>
      <c r="C27" s="125">
        <v>482245</v>
      </c>
      <c r="D27" s="89"/>
      <c r="E27" s="86" t="s">
        <v>4</v>
      </c>
      <c r="F27" s="86" t="s">
        <v>418</v>
      </c>
      <c r="H27" s="126" t="s">
        <v>51</v>
      </c>
      <c r="I27" s="89">
        <v>1</v>
      </c>
      <c r="J27" s="127">
        <v>45679.294700000006</v>
      </c>
      <c r="K27" s="127">
        <v>91739.87000000001</v>
      </c>
      <c r="L27" s="127">
        <v>15620.14</v>
      </c>
      <c r="M27" s="127">
        <v>22119.294700000031</v>
      </c>
      <c r="N27" s="127">
        <v>79279.870000000024</v>
      </c>
      <c r="O27" s="127">
        <v>14600.14</v>
      </c>
      <c r="P27" s="128">
        <f t="shared" si="0"/>
        <v>0.48423021513946513</v>
      </c>
      <c r="Q27" s="128">
        <f t="shared" si="1"/>
        <v>0.86418118970519597</v>
      </c>
      <c r="R27" s="128">
        <f t="shared" si="2"/>
        <v>0.93469968899126388</v>
      </c>
      <c r="S27" s="129">
        <v>1</v>
      </c>
      <c r="T27" s="129">
        <v>1</v>
      </c>
      <c r="U27" s="129">
        <v>1</v>
      </c>
      <c r="V27" s="138">
        <f t="shared" si="3"/>
        <v>3</v>
      </c>
      <c r="W27" s="138">
        <f t="shared" si="4"/>
        <v>3</v>
      </c>
      <c r="X27" s="138">
        <f t="shared" si="5"/>
        <v>1</v>
      </c>
      <c r="Y27" s="138">
        <f t="shared" si="6"/>
        <v>3</v>
      </c>
      <c r="Z27" s="138">
        <f t="shared" si="7"/>
        <v>3</v>
      </c>
      <c r="AA27" s="138">
        <f t="shared" si="8"/>
        <v>1</v>
      </c>
      <c r="AB27" s="127" t="s">
        <v>32</v>
      </c>
      <c r="AC27" s="127"/>
      <c r="AD27" s="127"/>
      <c r="AE27" s="130"/>
      <c r="AF27" s="136">
        <v>12.51</v>
      </c>
      <c r="AG27" s="136">
        <v>11.33</v>
      </c>
      <c r="AH27" s="136">
        <v>39.090000000000003</v>
      </c>
      <c r="AI27" s="136">
        <v>5.99</v>
      </c>
      <c r="AJ27" s="136">
        <v>7.02</v>
      </c>
      <c r="AK27" s="136">
        <v>0.49</v>
      </c>
      <c r="AL27" s="136">
        <v>3.31</v>
      </c>
      <c r="AM27" s="136">
        <v>79.739999999999995</v>
      </c>
      <c r="AN27" s="131"/>
      <c r="AO27" s="131"/>
      <c r="AP27" s="131"/>
      <c r="AQ27" s="131"/>
      <c r="AR27" s="131"/>
      <c r="AS27" s="131"/>
      <c r="AT27" s="131"/>
      <c r="AU27" s="91"/>
      <c r="AV27" s="91"/>
      <c r="AW27" s="131"/>
      <c r="AX27" s="131"/>
      <c r="AY27" s="131"/>
    </row>
    <row r="28" spans="1:51" ht="15" x14ac:dyDescent="0.25">
      <c r="A28" s="123"/>
      <c r="B28" s="124"/>
      <c r="C28" s="125">
        <v>485981</v>
      </c>
      <c r="D28" s="89"/>
      <c r="E28" s="86" t="s">
        <v>4</v>
      </c>
      <c r="F28" s="86" t="s">
        <v>418</v>
      </c>
      <c r="H28" s="126" t="s">
        <v>51</v>
      </c>
      <c r="I28" s="89">
        <v>1</v>
      </c>
      <c r="J28" s="127">
        <v>45679.294700000006</v>
      </c>
      <c r="K28" s="127">
        <v>91739.87000000001</v>
      </c>
      <c r="L28" s="127">
        <v>15620.14</v>
      </c>
      <c r="M28" s="127">
        <v>22119.294700000031</v>
      </c>
      <c r="N28" s="127">
        <v>79279.870000000024</v>
      </c>
      <c r="O28" s="127">
        <v>14600.14</v>
      </c>
      <c r="P28" s="128">
        <f t="shared" si="0"/>
        <v>0.48423021513946513</v>
      </c>
      <c r="Q28" s="128">
        <f t="shared" si="1"/>
        <v>0.86418118970519597</v>
      </c>
      <c r="R28" s="128">
        <f t="shared" si="2"/>
        <v>0.93469968899126388</v>
      </c>
      <c r="S28" s="129">
        <v>1</v>
      </c>
      <c r="T28" s="129">
        <v>1</v>
      </c>
      <c r="U28" s="129">
        <v>1</v>
      </c>
      <c r="V28" s="138">
        <f t="shared" si="3"/>
        <v>3</v>
      </c>
      <c r="W28" s="138">
        <f t="shared" si="4"/>
        <v>3</v>
      </c>
      <c r="X28" s="138">
        <f t="shared" si="5"/>
        <v>1</v>
      </c>
      <c r="Y28" s="138">
        <f t="shared" si="6"/>
        <v>3</v>
      </c>
      <c r="Z28" s="138">
        <f t="shared" si="7"/>
        <v>3</v>
      </c>
      <c r="AA28" s="138">
        <f t="shared" si="8"/>
        <v>1</v>
      </c>
      <c r="AB28" s="127" t="s">
        <v>32</v>
      </c>
      <c r="AC28" s="127"/>
      <c r="AD28" s="127"/>
      <c r="AE28" s="130"/>
      <c r="AF28" s="136">
        <v>12.51</v>
      </c>
      <c r="AG28" s="136">
        <v>11.33</v>
      </c>
      <c r="AH28" s="136">
        <v>39.090000000000003</v>
      </c>
      <c r="AI28" s="136">
        <v>5.99</v>
      </c>
      <c r="AJ28" s="136">
        <v>7.02</v>
      </c>
      <c r="AK28" s="136">
        <v>0.49</v>
      </c>
      <c r="AL28" s="136">
        <v>3.31</v>
      </c>
      <c r="AM28" s="136">
        <v>79.739999999999995</v>
      </c>
      <c r="AN28" s="131"/>
      <c r="AO28" s="131"/>
      <c r="AP28" s="131"/>
      <c r="AQ28" s="131"/>
      <c r="AR28" s="131"/>
      <c r="AS28" s="131"/>
      <c r="AT28" s="131"/>
      <c r="AU28" s="91"/>
      <c r="AV28" s="91"/>
      <c r="AW28" s="131"/>
      <c r="AX28" s="131"/>
      <c r="AY28" s="131"/>
    </row>
    <row r="29" spans="1:51" ht="15" x14ac:dyDescent="0.25">
      <c r="A29" s="123"/>
      <c r="B29" s="124"/>
      <c r="C29" s="125">
        <v>488335</v>
      </c>
      <c r="D29" s="89"/>
      <c r="E29" s="86" t="s">
        <v>4</v>
      </c>
      <c r="F29" s="86" t="s">
        <v>418</v>
      </c>
      <c r="H29" s="126" t="s">
        <v>51</v>
      </c>
      <c r="I29" s="89">
        <v>1</v>
      </c>
      <c r="J29" s="127">
        <v>45679.294700000006</v>
      </c>
      <c r="K29" s="127">
        <v>91739.87000000001</v>
      </c>
      <c r="L29" s="127">
        <v>15620.14</v>
      </c>
      <c r="M29" s="127">
        <v>22119.294700000031</v>
      </c>
      <c r="N29" s="127">
        <v>79279.870000000024</v>
      </c>
      <c r="O29" s="127">
        <v>14600.14</v>
      </c>
      <c r="P29" s="128">
        <f t="shared" si="0"/>
        <v>0.48423021513946513</v>
      </c>
      <c r="Q29" s="128">
        <f t="shared" si="1"/>
        <v>0.86418118970519597</v>
      </c>
      <c r="R29" s="128">
        <f t="shared" si="2"/>
        <v>0.93469968899126388</v>
      </c>
      <c r="S29" s="129">
        <v>1</v>
      </c>
      <c r="T29" s="129">
        <v>1</v>
      </c>
      <c r="U29" s="129">
        <v>1</v>
      </c>
      <c r="V29" s="138">
        <f t="shared" si="3"/>
        <v>3</v>
      </c>
      <c r="W29" s="138">
        <f t="shared" si="4"/>
        <v>3</v>
      </c>
      <c r="X29" s="138">
        <f t="shared" si="5"/>
        <v>1</v>
      </c>
      <c r="Y29" s="138">
        <f t="shared" si="6"/>
        <v>3</v>
      </c>
      <c r="Z29" s="138">
        <f t="shared" si="7"/>
        <v>3</v>
      </c>
      <c r="AA29" s="138">
        <f t="shared" si="8"/>
        <v>1</v>
      </c>
      <c r="AB29" s="127" t="s">
        <v>32</v>
      </c>
      <c r="AC29" s="127"/>
      <c r="AD29" s="127"/>
      <c r="AE29" s="130"/>
      <c r="AF29" s="136">
        <v>12.51</v>
      </c>
      <c r="AG29" s="136">
        <v>11.33</v>
      </c>
      <c r="AH29" s="136">
        <v>39.090000000000003</v>
      </c>
      <c r="AI29" s="136">
        <v>5.99</v>
      </c>
      <c r="AJ29" s="136">
        <v>7.02</v>
      </c>
      <c r="AK29" s="136">
        <v>0.49</v>
      </c>
      <c r="AL29" s="136">
        <v>3.31</v>
      </c>
      <c r="AM29" s="136">
        <v>79.739999999999995</v>
      </c>
      <c r="AN29" s="131"/>
      <c r="AO29" s="131"/>
      <c r="AP29" s="131"/>
      <c r="AQ29" s="131"/>
      <c r="AR29" s="131"/>
      <c r="AS29" s="131"/>
      <c r="AT29" s="131"/>
      <c r="AU29" s="91"/>
      <c r="AV29" s="91"/>
      <c r="AW29" s="131"/>
      <c r="AX29" s="131"/>
      <c r="AY29" s="131"/>
    </row>
    <row r="30" spans="1:51" ht="15" x14ac:dyDescent="0.25">
      <c r="A30" s="123"/>
      <c r="B30" s="124"/>
      <c r="C30" s="125">
        <v>500822</v>
      </c>
      <c r="D30" s="89"/>
      <c r="E30" s="86" t="s">
        <v>4</v>
      </c>
      <c r="F30" s="86" t="s">
        <v>418</v>
      </c>
      <c r="H30" s="126" t="s">
        <v>51</v>
      </c>
      <c r="I30" s="89">
        <v>1</v>
      </c>
      <c r="J30" s="127">
        <v>45679.294700000006</v>
      </c>
      <c r="K30" s="127">
        <v>91739.87000000001</v>
      </c>
      <c r="L30" s="127">
        <v>15620.14</v>
      </c>
      <c r="M30" s="127">
        <v>22119.294700000031</v>
      </c>
      <c r="N30" s="127">
        <v>79279.870000000024</v>
      </c>
      <c r="O30" s="127">
        <v>14600.14</v>
      </c>
      <c r="P30" s="128">
        <f t="shared" si="0"/>
        <v>0.48423021513946513</v>
      </c>
      <c r="Q30" s="128">
        <f t="shared" si="1"/>
        <v>0.86418118970519597</v>
      </c>
      <c r="R30" s="128">
        <f t="shared" si="2"/>
        <v>0.93469968899126388</v>
      </c>
      <c r="S30" s="129">
        <v>1</v>
      </c>
      <c r="T30" s="129">
        <v>1</v>
      </c>
      <c r="U30" s="129">
        <v>1</v>
      </c>
      <c r="V30" s="138">
        <f t="shared" si="3"/>
        <v>3</v>
      </c>
      <c r="W30" s="138">
        <f t="shared" si="4"/>
        <v>3</v>
      </c>
      <c r="X30" s="138">
        <f t="shared" si="5"/>
        <v>1</v>
      </c>
      <c r="Y30" s="138">
        <f t="shared" si="6"/>
        <v>3</v>
      </c>
      <c r="Z30" s="138">
        <f t="shared" si="7"/>
        <v>3</v>
      </c>
      <c r="AA30" s="138">
        <f t="shared" si="8"/>
        <v>1</v>
      </c>
      <c r="AB30" s="127" t="s">
        <v>32</v>
      </c>
      <c r="AC30" s="127"/>
      <c r="AD30" s="127"/>
      <c r="AE30" s="130"/>
      <c r="AF30" s="136">
        <v>12.51</v>
      </c>
      <c r="AG30" s="136">
        <v>11.33</v>
      </c>
      <c r="AH30" s="136">
        <v>39.090000000000003</v>
      </c>
      <c r="AI30" s="136">
        <v>5.99</v>
      </c>
      <c r="AJ30" s="136">
        <v>7.02</v>
      </c>
      <c r="AK30" s="136">
        <v>0.49</v>
      </c>
      <c r="AL30" s="136">
        <v>3.31</v>
      </c>
      <c r="AM30" s="136">
        <v>79.739999999999995</v>
      </c>
      <c r="AN30" s="131"/>
      <c r="AO30" s="131"/>
      <c r="AP30" s="131"/>
      <c r="AQ30" s="131"/>
      <c r="AR30" s="131"/>
      <c r="AS30" s="131"/>
      <c r="AT30" s="131"/>
      <c r="AU30" s="91"/>
      <c r="AV30" s="91"/>
      <c r="AW30" s="131"/>
      <c r="AX30" s="131"/>
      <c r="AY30" s="131"/>
    </row>
    <row r="31" spans="1:51" ht="15" x14ac:dyDescent="0.25">
      <c r="A31" s="123"/>
      <c r="B31" s="124"/>
      <c r="C31" s="125">
        <v>511870.00000000006</v>
      </c>
      <c r="D31" s="89"/>
      <c r="E31" s="86" t="s">
        <v>4</v>
      </c>
      <c r="F31" s="86" t="s">
        <v>418</v>
      </c>
      <c r="H31" s="126" t="s">
        <v>51</v>
      </c>
      <c r="I31" s="89">
        <v>1</v>
      </c>
      <c r="J31" s="127">
        <v>45679.294700000006</v>
      </c>
      <c r="K31" s="127">
        <v>91739.87000000001</v>
      </c>
      <c r="L31" s="127">
        <v>15620.14</v>
      </c>
      <c r="M31" s="127">
        <v>22119.294700000031</v>
      </c>
      <c r="N31" s="127">
        <v>79279.870000000024</v>
      </c>
      <c r="O31" s="127">
        <v>14600.14</v>
      </c>
      <c r="P31" s="128">
        <f t="shared" si="0"/>
        <v>0.48423021513946513</v>
      </c>
      <c r="Q31" s="128">
        <f t="shared" si="1"/>
        <v>0.86418118970519597</v>
      </c>
      <c r="R31" s="128">
        <f t="shared" si="2"/>
        <v>0.93469968899126388</v>
      </c>
      <c r="S31" s="129">
        <v>1</v>
      </c>
      <c r="T31" s="129">
        <v>1</v>
      </c>
      <c r="U31" s="129">
        <v>1</v>
      </c>
      <c r="V31" s="138">
        <f t="shared" si="3"/>
        <v>3</v>
      </c>
      <c r="W31" s="138">
        <f t="shared" si="4"/>
        <v>3</v>
      </c>
      <c r="X31" s="138">
        <f t="shared" si="5"/>
        <v>1</v>
      </c>
      <c r="Y31" s="138">
        <f t="shared" si="6"/>
        <v>3</v>
      </c>
      <c r="Z31" s="138">
        <f t="shared" si="7"/>
        <v>3</v>
      </c>
      <c r="AA31" s="138">
        <f t="shared" si="8"/>
        <v>1</v>
      </c>
      <c r="AB31" s="127" t="s">
        <v>32</v>
      </c>
      <c r="AC31" s="127"/>
      <c r="AD31" s="127"/>
      <c r="AE31" s="130"/>
      <c r="AF31" s="136">
        <v>12.51</v>
      </c>
      <c r="AG31" s="136">
        <v>11.33</v>
      </c>
      <c r="AH31" s="136">
        <v>39.090000000000003</v>
      </c>
      <c r="AI31" s="136">
        <v>5.99</v>
      </c>
      <c r="AJ31" s="136">
        <v>7.02</v>
      </c>
      <c r="AK31" s="136">
        <v>0.49</v>
      </c>
      <c r="AL31" s="136">
        <v>3.31</v>
      </c>
      <c r="AM31" s="136">
        <v>79.739999999999995</v>
      </c>
      <c r="AN31" s="131"/>
      <c r="AO31" s="131"/>
      <c r="AP31" s="131"/>
      <c r="AQ31" s="131"/>
      <c r="AR31" s="131"/>
      <c r="AS31" s="131"/>
      <c r="AT31" s="131"/>
      <c r="AU31" s="91"/>
      <c r="AV31" s="91"/>
      <c r="AW31" s="131"/>
      <c r="AX31" s="131"/>
      <c r="AY31" s="131"/>
    </row>
    <row r="32" spans="1:51" ht="15" x14ac:dyDescent="0.25">
      <c r="A32" s="123"/>
      <c r="B32" s="124"/>
      <c r="C32" s="125">
        <v>557148</v>
      </c>
      <c r="D32" s="89"/>
      <c r="E32" s="86" t="s">
        <v>4</v>
      </c>
      <c r="F32" s="86" t="s">
        <v>418</v>
      </c>
      <c r="H32" s="126" t="s">
        <v>51</v>
      </c>
      <c r="I32" s="89">
        <v>1</v>
      </c>
      <c r="J32" s="127">
        <v>45679.294700000006</v>
      </c>
      <c r="K32" s="127">
        <v>91739.87000000001</v>
      </c>
      <c r="L32" s="127">
        <v>15620.14</v>
      </c>
      <c r="M32" s="127">
        <v>22119.294700000031</v>
      </c>
      <c r="N32" s="127">
        <v>79279.870000000024</v>
      </c>
      <c r="O32" s="127">
        <v>14600.14</v>
      </c>
      <c r="P32" s="128">
        <f t="shared" si="0"/>
        <v>0.48423021513946513</v>
      </c>
      <c r="Q32" s="128">
        <f t="shared" si="1"/>
        <v>0.86418118970519597</v>
      </c>
      <c r="R32" s="128">
        <f t="shared" si="2"/>
        <v>0.93469968899126388</v>
      </c>
      <c r="S32" s="129">
        <v>1</v>
      </c>
      <c r="T32" s="129">
        <v>1</v>
      </c>
      <c r="U32" s="129">
        <v>1</v>
      </c>
      <c r="V32" s="138">
        <f t="shared" si="3"/>
        <v>3</v>
      </c>
      <c r="W32" s="138">
        <f t="shared" si="4"/>
        <v>3</v>
      </c>
      <c r="X32" s="138">
        <f t="shared" si="5"/>
        <v>1</v>
      </c>
      <c r="Y32" s="138">
        <f t="shared" si="6"/>
        <v>3</v>
      </c>
      <c r="Z32" s="138">
        <f t="shared" si="7"/>
        <v>3</v>
      </c>
      <c r="AA32" s="138">
        <f t="shared" si="8"/>
        <v>1</v>
      </c>
      <c r="AB32" s="127" t="s">
        <v>32</v>
      </c>
      <c r="AC32" s="127"/>
      <c r="AD32" s="127"/>
      <c r="AE32" s="130"/>
      <c r="AF32" s="136">
        <v>12.51</v>
      </c>
      <c r="AG32" s="136">
        <v>11.33</v>
      </c>
      <c r="AH32" s="136">
        <v>39.090000000000003</v>
      </c>
      <c r="AI32" s="136">
        <v>5.99</v>
      </c>
      <c r="AJ32" s="136">
        <v>7.02</v>
      </c>
      <c r="AK32" s="136">
        <v>0.49</v>
      </c>
      <c r="AL32" s="136">
        <v>3.31</v>
      </c>
      <c r="AM32" s="136">
        <v>79.739999999999995</v>
      </c>
      <c r="AN32" s="131"/>
      <c r="AO32" s="131"/>
      <c r="AP32" s="131"/>
      <c r="AQ32" s="131"/>
      <c r="AR32" s="131"/>
      <c r="AS32" s="131"/>
      <c r="AT32" s="131"/>
      <c r="AU32" s="91"/>
      <c r="AV32" s="91"/>
      <c r="AW32" s="131"/>
      <c r="AX32" s="131"/>
      <c r="AY32" s="131"/>
    </row>
    <row r="33" spans="1:51" ht="15" x14ac:dyDescent="0.25">
      <c r="A33" s="123"/>
      <c r="B33" s="124"/>
      <c r="C33" s="125">
        <v>577984</v>
      </c>
      <c r="D33" s="89"/>
      <c r="E33" s="86" t="s">
        <v>4</v>
      </c>
      <c r="F33" s="86" t="s">
        <v>418</v>
      </c>
      <c r="H33" s="126" t="s">
        <v>51</v>
      </c>
      <c r="I33" s="89">
        <v>1</v>
      </c>
      <c r="J33" s="127">
        <v>45679.294700000006</v>
      </c>
      <c r="K33" s="127">
        <v>91739.87000000001</v>
      </c>
      <c r="L33" s="127">
        <v>15620.14</v>
      </c>
      <c r="M33" s="127">
        <v>22119.294700000031</v>
      </c>
      <c r="N33" s="127">
        <v>79279.870000000024</v>
      </c>
      <c r="O33" s="127">
        <v>14600.14</v>
      </c>
      <c r="P33" s="128">
        <f t="shared" si="0"/>
        <v>0.48423021513946513</v>
      </c>
      <c r="Q33" s="128">
        <f t="shared" si="1"/>
        <v>0.86418118970519597</v>
      </c>
      <c r="R33" s="128">
        <f t="shared" si="2"/>
        <v>0.93469968899126388</v>
      </c>
      <c r="S33" s="129">
        <v>1</v>
      </c>
      <c r="T33" s="129">
        <v>1</v>
      </c>
      <c r="U33" s="129">
        <v>1</v>
      </c>
      <c r="V33" s="138">
        <f t="shared" si="3"/>
        <v>3</v>
      </c>
      <c r="W33" s="138">
        <f t="shared" si="4"/>
        <v>3</v>
      </c>
      <c r="X33" s="138">
        <f t="shared" si="5"/>
        <v>1</v>
      </c>
      <c r="Y33" s="138">
        <f t="shared" si="6"/>
        <v>3</v>
      </c>
      <c r="Z33" s="138">
        <f t="shared" si="7"/>
        <v>3</v>
      </c>
      <c r="AA33" s="138">
        <f t="shared" si="8"/>
        <v>1</v>
      </c>
      <c r="AB33" s="127" t="s">
        <v>32</v>
      </c>
      <c r="AC33" s="127"/>
      <c r="AD33" s="127"/>
      <c r="AE33" s="130"/>
      <c r="AF33" s="136">
        <v>12.51</v>
      </c>
      <c r="AG33" s="136">
        <v>11.33</v>
      </c>
      <c r="AH33" s="136">
        <v>39.090000000000003</v>
      </c>
      <c r="AI33" s="136">
        <v>5.99</v>
      </c>
      <c r="AJ33" s="136">
        <v>7.02</v>
      </c>
      <c r="AK33" s="136">
        <v>0.49</v>
      </c>
      <c r="AL33" s="136">
        <v>3.31</v>
      </c>
      <c r="AM33" s="136">
        <v>79.739999999999995</v>
      </c>
      <c r="AN33" s="131"/>
      <c r="AO33" s="131"/>
      <c r="AP33" s="131"/>
      <c r="AQ33" s="131"/>
      <c r="AR33" s="131"/>
      <c r="AS33" s="131"/>
      <c r="AT33" s="131"/>
      <c r="AU33" s="91"/>
      <c r="AV33" s="91"/>
      <c r="AW33" s="131"/>
      <c r="AX33" s="131"/>
      <c r="AY33" s="131"/>
    </row>
    <row r="34" spans="1:51" ht="15" x14ac:dyDescent="0.25">
      <c r="A34" s="123"/>
      <c r="B34" s="124"/>
      <c r="C34" s="125">
        <v>578818</v>
      </c>
      <c r="D34" s="89"/>
      <c r="E34" s="86" t="s">
        <v>4</v>
      </c>
      <c r="F34" s="86" t="s">
        <v>418</v>
      </c>
      <c r="H34" s="126" t="s">
        <v>50</v>
      </c>
      <c r="I34" s="89">
        <v>1</v>
      </c>
      <c r="J34" s="127">
        <v>45679.294700000006</v>
      </c>
      <c r="K34" s="127">
        <v>91739.87000000001</v>
      </c>
      <c r="L34" s="127">
        <v>15620.14</v>
      </c>
      <c r="M34" s="127">
        <v>22119.294700000031</v>
      </c>
      <c r="N34" s="127">
        <v>79279.870000000024</v>
      </c>
      <c r="O34" s="127">
        <v>14600.14</v>
      </c>
      <c r="P34" s="128">
        <f t="shared" si="0"/>
        <v>0.48423021513946513</v>
      </c>
      <c r="Q34" s="128">
        <f t="shared" si="1"/>
        <v>0.86418118970519597</v>
      </c>
      <c r="R34" s="128">
        <f t="shared" si="2"/>
        <v>0.93469968899126388</v>
      </c>
      <c r="S34" s="129">
        <v>0</v>
      </c>
      <c r="T34" s="129">
        <v>1</v>
      </c>
      <c r="U34" s="129">
        <v>1</v>
      </c>
      <c r="V34" s="138">
        <f t="shared" si="3"/>
        <v>3</v>
      </c>
      <c r="W34" s="138">
        <f t="shared" si="4"/>
        <v>3</v>
      </c>
      <c r="X34" s="138">
        <f t="shared" si="5"/>
        <v>1</v>
      </c>
      <c r="Y34" s="138">
        <f t="shared" si="6"/>
        <v>0</v>
      </c>
      <c r="Z34" s="138">
        <f t="shared" si="7"/>
        <v>3</v>
      </c>
      <c r="AA34" s="138">
        <f t="shared" si="8"/>
        <v>1</v>
      </c>
      <c r="AB34" s="127" t="s">
        <v>32</v>
      </c>
      <c r="AC34" s="127"/>
      <c r="AD34" s="127"/>
      <c r="AE34" s="130"/>
      <c r="AF34" s="136">
        <v>0</v>
      </c>
      <c r="AG34" s="136">
        <v>11.33</v>
      </c>
      <c r="AH34" s="136">
        <v>39.090000000000003</v>
      </c>
      <c r="AI34" s="136">
        <v>5.99</v>
      </c>
      <c r="AJ34" s="136">
        <v>7.02</v>
      </c>
      <c r="AK34" s="136">
        <v>0.49</v>
      </c>
      <c r="AL34" s="136">
        <v>3.31</v>
      </c>
      <c r="AM34" s="136">
        <v>67.23</v>
      </c>
      <c r="AN34" s="131"/>
      <c r="AO34" s="131"/>
      <c r="AP34" s="131"/>
      <c r="AQ34" s="131"/>
      <c r="AR34" s="131"/>
      <c r="AS34" s="131"/>
      <c r="AT34" s="131"/>
      <c r="AU34" s="91"/>
      <c r="AV34" s="91"/>
      <c r="AW34" s="131"/>
      <c r="AX34" s="131"/>
      <c r="AY34" s="131"/>
    </row>
    <row r="35" spans="1:51" ht="15" x14ac:dyDescent="0.25">
      <c r="A35" s="123"/>
      <c r="B35" s="124"/>
      <c r="C35" s="125">
        <v>596968</v>
      </c>
      <c r="D35" s="89"/>
      <c r="E35" s="86" t="s">
        <v>4</v>
      </c>
      <c r="F35" s="86" t="s">
        <v>418</v>
      </c>
      <c r="H35" s="126" t="s">
        <v>51</v>
      </c>
      <c r="I35" s="89">
        <v>1</v>
      </c>
      <c r="J35" s="127">
        <v>45679.294700000006</v>
      </c>
      <c r="K35" s="127">
        <v>91739.87000000001</v>
      </c>
      <c r="L35" s="127">
        <v>15620.14</v>
      </c>
      <c r="M35" s="127">
        <v>22119.294700000031</v>
      </c>
      <c r="N35" s="127">
        <v>79279.870000000024</v>
      </c>
      <c r="O35" s="127">
        <v>14600.14</v>
      </c>
      <c r="P35" s="128">
        <f t="shared" si="0"/>
        <v>0.48423021513946513</v>
      </c>
      <c r="Q35" s="128">
        <f t="shared" si="1"/>
        <v>0.86418118970519597</v>
      </c>
      <c r="R35" s="128">
        <f t="shared" si="2"/>
        <v>0.93469968899126388</v>
      </c>
      <c r="S35" s="129">
        <v>1</v>
      </c>
      <c r="T35" s="129">
        <v>1</v>
      </c>
      <c r="U35" s="129">
        <v>1</v>
      </c>
      <c r="V35" s="138">
        <f t="shared" si="3"/>
        <v>3</v>
      </c>
      <c r="W35" s="138">
        <f t="shared" si="4"/>
        <v>3</v>
      </c>
      <c r="X35" s="138">
        <f t="shared" si="5"/>
        <v>1</v>
      </c>
      <c r="Y35" s="138">
        <f t="shared" si="6"/>
        <v>3</v>
      </c>
      <c r="Z35" s="138">
        <f t="shared" si="7"/>
        <v>3</v>
      </c>
      <c r="AA35" s="138">
        <f t="shared" si="8"/>
        <v>1</v>
      </c>
      <c r="AB35" s="127" t="s">
        <v>32</v>
      </c>
      <c r="AC35" s="127"/>
      <c r="AD35" s="127"/>
      <c r="AE35" s="130"/>
      <c r="AF35" s="136">
        <v>12.51</v>
      </c>
      <c r="AG35" s="136">
        <v>11.33</v>
      </c>
      <c r="AH35" s="136">
        <v>39.090000000000003</v>
      </c>
      <c r="AI35" s="136">
        <v>5.99</v>
      </c>
      <c r="AJ35" s="136">
        <v>7.02</v>
      </c>
      <c r="AK35" s="136">
        <v>0.49</v>
      </c>
      <c r="AL35" s="136">
        <v>3.31</v>
      </c>
      <c r="AM35" s="136">
        <v>79.739999999999995</v>
      </c>
      <c r="AN35" s="131"/>
      <c r="AO35" s="131"/>
      <c r="AP35" s="131"/>
      <c r="AQ35" s="131"/>
      <c r="AR35" s="131"/>
      <c r="AS35" s="131"/>
      <c r="AT35" s="131"/>
      <c r="AU35" s="91"/>
      <c r="AV35" s="91"/>
      <c r="AW35" s="131"/>
      <c r="AX35" s="131"/>
      <c r="AY35" s="131"/>
    </row>
    <row r="36" spans="1:51" ht="15" x14ac:dyDescent="0.25">
      <c r="A36" s="123"/>
      <c r="B36" s="124"/>
      <c r="C36" s="125">
        <v>604585</v>
      </c>
      <c r="D36" s="89"/>
      <c r="E36" s="86" t="s">
        <v>4</v>
      </c>
      <c r="F36" s="86" t="s">
        <v>418</v>
      </c>
      <c r="H36" s="126" t="s">
        <v>51</v>
      </c>
      <c r="I36" s="89">
        <v>1</v>
      </c>
      <c r="J36" s="127">
        <v>45679.294700000006</v>
      </c>
      <c r="K36" s="127">
        <v>91739.87000000001</v>
      </c>
      <c r="L36" s="127">
        <v>15620.14</v>
      </c>
      <c r="M36" s="127">
        <v>22119.294700000031</v>
      </c>
      <c r="N36" s="127">
        <v>79279.870000000024</v>
      </c>
      <c r="O36" s="127">
        <v>14600.14</v>
      </c>
      <c r="P36" s="128">
        <f t="shared" si="0"/>
        <v>0.48423021513946513</v>
      </c>
      <c r="Q36" s="128">
        <f t="shared" si="1"/>
        <v>0.86418118970519597</v>
      </c>
      <c r="R36" s="128">
        <f t="shared" si="2"/>
        <v>0.93469968899126388</v>
      </c>
      <c r="S36" s="129">
        <v>1</v>
      </c>
      <c r="T36" s="129">
        <v>1</v>
      </c>
      <c r="U36" s="129">
        <v>1</v>
      </c>
      <c r="V36" s="138">
        <f t="shared" si="3"/>
        <v>3</v>
      </c>
      <c r="W36" s="138">
        <f t="shared" si="4"/>
        <v>3</v>
      </c>
      <c r="X36" s="138">
        <f t="shared" si="5"/>
        <v>1</v>
      </c>
      <c r="Y36" s="138">
        <f t="shared" si="6"/>
        <v>3</v>
      </c>
      <c r="Z36" s="138">
        <f t="shared" si="7"/>
        <v>3</v>
      </c>
      <c r="AA36" s="138">
        <f t="shared" si="8"/>
        <v>1</v>
      </c>
      <c r="AB36" s="127" t="s">
        <v>32</v>
      </c>
      <c r="AC36" s="127"/>
      <c r="AD36" s="127"/>
      <c r="AE36" s="130"/>
      <c r="AF36" s="136">
        <v>12.51</v>
      </c>
      <c r="AG36" s="136">
        <v>11.33</v>
      </c>
      <c r="AH36" s="136">
        <v>39.090000000000003</v>
      </c>
      <c r="AI36" s="136">
        <v>5.99</v>
      </c>
      <c r="AJ36" s="136">
        <v>7.02</v>
      </c>
      <c r="AK36" s="136">
        <v>0.49</v>
      </c>
      <c r="AL36" s="136">
        <v>3.31</v>
      </c>
      <c r="AM36" s="136">
        <v>79.739999999999995</v>
      </c>
      <c r="AN36" s="131"/>
      <c r="AO36" s="131"/>
      <c r="AP36" s="131"/>
      <c r="AQ36" s="131"/>
      <c r="AR36" s="131"/>
      <c r="AS36" s="131"/>
      <c r="AT36" s="131"/>
      <c r="AU36" s="91"/>
      <c r="AV36" s="91"/>
      <c r="AW36" s="131"/>
      <c r="AX36" s="131"/>
      <c r="AY36" s="131"/>
    </row>
    <row r="37" spans="1:51" ht="15" x14ac:dyDescent="0.25">
      <c r="A37" s="123"/>
      <c r="B37" s="124"/>
      <c r="C37" s="125">
        <v>611745</v>
      </c>
      <c r="D37" s="89"/>
      <c r="E37" s="86" t="s">
        <v>4</v>
      </c>
      <c r="F37" s="86" t="s">
        <v>418</v>
      </c>
      <c r="H37" s="126" t="s">
        <v>51</v>
      </c>
      <c r="I37" s="89">
        <v>1</v>
      </c>
      <c r="J37" s="127">
        <v>45679.294700000006</v>
      </c>
      <c r="K37" s="127">
        <v>91739.87000000001</v>
      </c>
      <c r="L37" s="127">
        <v>15620.14</v>
      </c>
      <c r="M37" s="127">
        <v>22119.294700000031</v>
      </c>
      <c r="N37" s="127">
        <v>79279.870000000024</v>
      </c>
      <c r="O37" s="127">
        <v>14600.14</v>
      </c>
      <c r="P37" s="128">
        <f t="shared" si="0"/>
        <v>0.48423021513946513</v>
      </c>
      <c r="Q37" s="128">
        <f t="shared" si="1"/>
        <v>0.86418118970519597</v>
      </c>
      <c r="R37" s="128">
        <f t="shared" si="2"/>
        <v>0.93469968899126388</v>
      </c>
      <c r="S37" s="129">
        <v>1</v>
      </c>
      <c r="T37" s="129">
        <v>1</v>
      </c>
      <c r="U37" s="129">
        <v>1</v>
      </c>
      <c r="V37" s="138">
        <f t="shared" si="3"/>
        <v>3</v>
      </c>
      <c r="W37" s="138">
        <f t="shared" si="4"/>
        <v>3</v>
      </c>
      <c r="X37" s="138">
        <f t="shared" si="5"/>
        <v>1</v>
      </c>
      <c r="Y37" s="138">
        <f t="shared" si="6"/>
        <v>3</v>
      </c>
      <c r="Z37" s="138">
        <f t="shared" si="7"/>
        <v>3</v>
      </c>
      <c r="AA37" s="138">
        <f t="shared" si="8"/>
        <v>1</v>
      </c>
      <c r="AB37" s="127" t="s">
        <v>32</v>
      </c>
      <c r="AC37" s="127"/>
      <c r="AD37" s="127"/>
      <c r="AE37" s="130"/>
      <c r="AF37" s="136">
        <v>12.51</v>
      </c>
      <c r="AG37" s="136">
        <v>11.33</v>
      </c>
      <c r="AH37" s="136">
        <v>39.090000000000003</v>
      </c>
      <c r="AI37" s="136">
        <v>5.99</v>
      </c>
      <c r="AJ37" s="136">
        <v>7.02</v>
      </c>
      <c r="AK37" s="136">
        <v>0.49</v>
      </c>
      <c r="AL37" s="136">
        <v>3.31</v>
      </c>
      <c r="AM37" s="136">
        <v>79.739999999999995</v>
      </c>
      <c r="AN37" s="131"/>
      <c r="AO37" s="131"/>
      <c r="AP37" s="131"/>
      <c r="AQ37" s="131"/>
      <c r="AR37" s="131"/>
      <c r="AS37" s="131"/>
      <c r="AT37" s="131"/>
      <c r="AU37" s="91"/>
      <c r="AV37" s="91"/>
      <c r="AW37" s="131"/>
      <c r="AX37" s="131"/>
      <c r="AY37" s="131"/>
    </row>
    <row r="38" spans="1:51" ht="15" x14ac:dyDescent="0.25">
      <c r="A38" s="123"/>
      <c r="B38" s="124"/>
      <c r="C38" s="125">
        <v>759797</v>
      </c>
      <c r="D38" s="89"/>
      <c r="E38" s="86" t="s">
        <v>4</v>
      </c>
      <c r="F38" s="86" t="s">
        <v>418</v>
      </c>
      <c r="H38" s="126" t="s">
        <v>51</v>
      </c>
      <c r="I38" s="89">
        <v>1</v>
      </c>
      <c r="J38" s="127">
        <v>45679.294700000006</v>
      </c>
      <c r="K38" s="127">
        <v>91739.87000000001</v>
      </c>
      <c r="L38" s="127">
        <v>15620.14</v>
      </c>
      <c r="M38" s="127">
        <v>22119.294700000031</v>
      </c>
      <c r="N38" s="127">
        <v>79279.870000000024</v>
      </c>
      <c r="O38" s="127">
        <v>14600.14</v>
      </c>
      <c r="P38" s="128">
        <f t="shared" si="0"/>
        <v>0.48423021513946513</v>
      </c>
      <c r="Q38" s="128">
        <f t="shared" si="1"/>
        <v>0.86418118970519597</v>
      </c>
      <c r="R38" s="128">
        <f t="shared" si="2"/>
        <v>0.93469968899126388</v>
      </c>
      <c r="S38" s="129">
        <v>1</v>
      </c>
      <c r="T38" s="129">
        <v>1</v>
      </c>
      <c r="U38" s="129">
        <v>1</v>
      </c>
      <c r="V38" s="138">
        <f t="shared" si="3"/>
        <v>3</v>
      </c>
      <c r="W38" s="138">
        <f t="shared" si="4"/>
        <v>3</v>
      </c>
      <c r="X38" s="138">
        <f t="shared" si="5"/>
        <v>1</v>
      </c>
      <c r="Y38" s="138">
        <f t="shared" si="6"/>
        <v>3</v>
      </c>
      <c r="Z38" s="138">
        <f t="shared" si="7"/>
        <v>3</v>
      </c>
      <c r="AA38" s="138">
        <f t="shared" si="8"/>
        <v>1</v>
      </c>
      <c r="AB38" s="127" t="s">
        <v>32</v>
      </c>
      <c r="AC38" s="127"/>
      <c r="AD38" s="127"/>
      <c r="AE38" s="130"/>
      <c r="AF38" s="136">
        <v>12.51</v>
      </c>
      <c r="AG38" s="136">
        <v>11.33</v>
      </c>
      <c r="AH38" s="136">
        <v>39.090000000000003</v>
      </c>
      <c r="AI38" s="136">
        <v>5.99</v>
      </c>
      <c r="AJ38" s="136">
        <v>7.02</v>
      </c>
      <c r="AK38" s="136">
        <v>0.49</v>
      </c>
      <c r="AL38" s="136">
        <v>3.31</v>
      </c>
      <c r="AM38" s="136">
        <v>79.739999999999995</v>
      </c>
      <c r="AN38" s="131"/>
      <c r="AO38" s="131"/>
      <c r="AP38" s="131"/>
      <c r="AQ38" s="131"/>
      <c r="AR38" s="131"/>
      <c r="AS38" s="131"/>
      <c r="AT38" s="131"/>
      <c r="AU38" s="91"/>
      <c r="AV38" s="91"/>
      <c r="AW38" s="131"/>
      <c r="AX38" s="131"/>
      <c r="AY38" s="131"/>
    </row>
    <row r="39" spans="1:51" ht="15" x14ac:dyDescent="0.25">
      <c r="A39" s="123"/>
      <c r="B39" s="124"/>
      <c r="C39" s="125">
        <v>768633</v>
      </c>
      <c r="D39" s="89"/>
      <c r="E39" s="86" t="s">
        <v>4</v>
      </c>
      <c r="F39" s="86" t="s">
        <v>418</v>
      </c>
      <c r="H39" s="126" t="s">
        <v>50</v>
      </c>
      <c r="I39" s="89">
        <v>1</v>
      </c>
      <c r="J39" s="127">
        <v>45679.294700000006</v>
      </c>
      <c r="K39" s="127">
        <v>91739.87000000001</v>
      </c>
      <c r="L39" s="127">
        <v>15620.14</v>
      </c>
      <c r="M39" s="127">
        <v>22119.294700000031</v>
      </c>
      <c r="N39" s="127">
        <v>79279.870000000024</v>
      </c>
      <c r="O39" s="127">
        <v>14600.14</v>
      </c>
      <c r="P39" s="128">
        <f t="shared" si="0"/>
        <v>0.48423021513946513</v>
      </c>
      <c r="Q39" s="128">
        <f t="shared" si="1"/>
        <v>0.86418118970519597</v>
      </c>
      <c r="R39" s="128">
        <f t="shared" si="2"/>
        <v>0.93469968899126388</v>
      </c>
      <c r="S39" s="129">
        <v>0</v>
      </c>
      <c r="T39" s="129">
        <v>1</v>
      </c>
      <c r="U39" s="129">
        <v>1</v>
      </c>
      <c r="V39" s="138">
        <f t="shared" si="3"/>
        <v>3</v>
      </c>
      <c r="W39" s="138">
        <f t="shared" si="4"/>
        <v>3</v>
      </c>
      <c r="X39" s="138">
        <f t="shared" si="5"/>
        <v>1</v>
      </c>
      <c r="Y39" s="138">
        <f t="shared" si="6"/>
        <v>0</v>
      </c>
      <c r="Z39" s="138">
        <f t="shared" si="7"/>
        <v>3</v>
      </c>
      <c r="AA39" s="138">
        <f t="shared" si="8"/>
        <v>1</v>
      </c>
      <c r="AB39" s="127" t="s">
        <v>32</v>
      </c>
      <c r="AC39" s="127"/>
      <c r="AD39" s="127"/>
      <c r="AE39" s="130"/>
      <c r="AF39" s="136">
        <v>0</v>
      </c>
      <c r="AG39" s="136">
        <v>11.33</v>
      </c>
      <c r="AH39" s="136">
        <v>39.090000000000003</v>
      </c>
      <c r="AI39" s="136">
        <v>5.99</v>
      </c>
      <c r="AJ39" s="136">
        <v>7.02</v>
      </c>
      <c r="AK39" s="136">
        <v>0.49</v>
      </c>
      <c r="AL39" s="136">
        <v>3.31</v>
      </c>
      <c r="AM39" s="136">
        <v>67.23</v>
      </c>
      <c r="AN39" s="131"/>
      <c r="AO39" s="131"/>
      <c r="AP39" s="131"/>
      <c r="AQ39" s="131"/>
      <c r="AR39" s="131"/>
      <c r="AS39" s="131"/>
      <c r="AT39" s="131"/>
      <c r="AU39" s="91"/>
      <c r="AV39" s="91"/>
      <c r="AW39" s="131"/>
      <c r="AX39" s="131"/>
      <c r="AY39" s="131"/>
    </row>
    <row r="40" spans="1:51" ht="15" x14ac:dyDescent="0.25">
      <c r="A40" s="123"/>
      <c r="B40" s="124"/>
      <c r="C40" s="125">
        <v>803157</v>
      </c>
      <c r="D40" s="89"/>
      <c r="E40" s="86" t="s">
        <v>4</v>
      </c>
      <c r="F40" s="86" t="s">
        <v>418</v>
      </c>
      <c r="H40" s="126" t="s">
        <v>51</v>
      </c>
      <c r="I40" s="89">
        <v>1</v>
      </c>
      <c r="J40" s="127">
        <v>45679.294700000006</v>
      </c>
      <c r="K40" s="127">
        <v>91739.87000000001</v>
      </c>
      <c r="L40" s="127">
        <v>15620.14</v>
      </c>
      <c r="M40" s="127">
        <v>22119.294700000031</v>
      </c>
      <c r="N40" s="127">
        <v>79279.870000000024</v>
      </c>
      <c r="O40" s="127">
        <v>14600.14</v>
      </c>
      <c r="P40" s="128">
        <f t="shared" si="0"/>
        <v>0.48423021513946513</v>
      </c>
      <c r="Q40" s="128">
        <f t="shared" si="1"/>
        <v>0.86418118970519597</v>
      </c>
      <c r="R40" s="128">
        <f t="shared" si="2"/>
        <v>0.93469968899126388</v>
      </c>
      <c r="S40" s="129">
        <v>1</v>
      </c>
      <c r="T40" s="129">
        <v>1</v>
      </c>
      <c r="U40" s="129">
        <v>1</v>
      </c>
      <c r="V40" s="138">
        <f t="shared" si="3"/>
        <v>3</v>
      </c>
      <c r="W40" s="138">
        <f t="shared" si="4"/>
        <v>3</v>
      </c>
      <c r="X40" s="138">
        <f t="shared" si="5"/>
        <v>1</v>
      </c>
      <c r="Y40" s="138">
        <f t="shared" si="6"/>
        <v>3</v>
      </c>
      <c r="Z40" s="138">
        <f t="shared" si="7"/>
        <v>3</v>
      </c>
      <c r="AA40" s="138">
        <f t="shared" si="8"/>
        <v>1</v>
      </c>
      <c r="AB40" s="127" t="s">
        <v>32</v>
      </c>
      <c r="AC40" s="127"/>
      <c r="AD40" s="127"/>
      <c r="AE40" s="130"/>
      <c r="AF40" s="136">
        <v>12.51</v>
      </c>
      <c r="AG40" s="136">
        <v>11.33</v>
      </c>
      <c r="AH40" s="136">
        <v>39.090000000000003</v>
      </c>
      <c r="AI40" s="136">
        <v>5.99</v>
      </c>
      <c r="AJ40" s="136">
        <v>7.02</v>
      </c>
      <c r="AK40" s="136">
        <v>0.49</v>
      </c>
      <c r="AL40" s="136">
        <v>3.31</v>
      </c>
      <c r="AM40" s="136">
        <v>79.739999999999995</v>
      </c>
      <c r="AN40" s="131"/>
      <c r="AO40" s="131"/>
      <c r="AP40" s="131"/>
      <c r="AQ40" s="131"/>
      <c r="AR40" s="131"/>
      <c r="AS40" s="131"/>
      <c r="AT40" s="131"/>
      <c r="AU40" s="91"/>
      <c r="AV40" s="91"/>
      <c r="AW40" s="131"/>
      <c r="AX40" s="131"/>
      <c r="AY40" s="131"/>
    </row>
    <row r="41" spans="1:51" ht="15" x14ac:dyDescent="0.25">
      <c r="A41" s="123"/>
      <c r="B41" s="124"/>
      <c r="C41" s="125">
        <v>850465</v>
      </c>
      <c r="D41" s="89"/>
      <c r="E41" s="86" t="s">
        <v>4</v>
      </c>
      <c r="F41" s="86" t="s">
        <v>418</v>
      </c>
      <c r="H41" s="126" t="s">
        <v>50</v>
      </c>
      <c r="I41" s="89">
        <v>1</v>
      </c>
      <c r="J41" s="127">
        <v>45679.294700000006</v>
      </c>
      <c r="K41" s="127">
        <v>91739.87000000001</v>
      </c>
      <c r="L41" s="127">
        <v>15620.14</v>
      </c>
      <c r="M41" s="127">
        <v>22119.294700000031</v>
      </c>
      <c r="N41" s="127">
        <v>79279.870000000024</v>
      </c>
      <c r="O41" s="127">
        <v>14600.14</v>
      </c>
      <c r="P41" s="128">
        <f t="shared" si="0"/>
        <v>0.48423021513946513</v>
      </c>
      <c r="Q41" s="128">
        <f t="shared" si="1"/>
        <v>0.86418118970519597</v>
      </c>
      <c r="R41" s="128">
        <f t="shared" si="2"/>
        <v>0.93469968899126388</v>
      </c>
      <c r="S41" s="129">
        <v>0</v>
      </c>
      <c r="T41" s="129">
        <v>1</v>
      </c>
      <c r="U41" s="129">
        <v>1</v>
      </c>
      <c r="V41" s="138">
        <f t="shared" si="3"/>
        <v>3</v>
      </c>
      <c r="W41" s="138">
        <f t="shared" si="4"/>
        <v>3</v>
      </c>
      <c r="X41" s="138">
        <f t="shared" si="5"/>
        <v>1</v>
      </c>
      <c r="Y41" s="138">
        <f t="shared" si="6"/>
        <v>0</v>
      </c>
      <c r="Z41" s="138">
        <f t="shared" si="7"/>
        <v>3</v>
      </c>
      <c r="AA41" s="138">
        <f t="shared" si="8"/>
        <v>1</v>
      </c>
      <c r="AB41" s="127" t="s">
        <v>32</v>
      </c>
      <c r="AC41" s="127"/>
      <c r="AD41" s="127"/>
      <c r="AE41" s="130"/>
      <c r="AF41" s="136">
        <v>0</v>
      </c>
      <c r="AG41" s="136">
        <v>11.33</v>
      </c>
      <c r="AH41" s="136">
        <v>39.090000000000003</v>
      </c>
      <c r="AI41" s="136">
        <v>5.99</v>
      </c>
      <c r="AJ41" s="136">
        <v>7.02</v>
      </c>
      <c r="AK41" s="136">
        <v>0.49</v>
      </c>
      <c r="AL41" s="136">
        <v>3.31</v>
      </c>
      <c r="AM41" s="136">
        <v>67.23</v>
      </c>
      <c r="AN41" s="131"/>
      <c r="AO41" s="131"/>
      <c r="AP41" s="131"/>
      <c r="AQ41" s="131"/>
      <c r="AR41" s="131"/>
      <c r="AS41" s="131"/>
      <c r="AT41" s="131"/>
      <c r="AU41" s="91"/>
      <c r="AV41" s="91"/>
      <c r="AW41" s="131"/>
      <c r="AX41" s="131"/>
      <c r="AY41" s="131"/>
    </row>
    <row r="42" spans="1:51" ht="15" x14ac:dyDescent="0.25">
      <c r="A42" s="123"/>
      <c r="B42" s="124"/>
      <c r="C42" s="125">
        <v>871838</v>
      </c>
      <c r="D42" s="89"/>
      <c r="E42" s="86" t="s">
        <v>4</v>
      </c>
      <c r="F42" s="86" t="s">
        <v>418</v>
      </c>
      <c r="H42" s="126" t="s">
        <v>51</v>
      </c>
      <c r="I42" s="89">
        <v>1</v>
      </c>
      <c r="J42" s="127">
        <v>45679.294700000006</v>
      </c>
      <c r="K42" s="127">
        <v>91739.87000000001</v>
      </c>
      <c r="L42" s="127">
        <v>15620.14</v>
      </c>
      <c r="M42" s="127">
        <v>22119.294700000031</v>
      </c>
      <c r="N42" s="127">
        <v>79279.870000000024</v>
      </c>
      <c r="O42" s="127">
        <v>14600.14</v>
      </c>
      <c r="P42" s="128">
        <f t="shared" si="0"/>
        <v>0.48423021513946513</v>
      </c>
      <c r="Q42" s="128">
        <f t="shared" si="1"/>
        <v>0.86418118970519597</v>
      </c>
      <c r="R42" s="128">
        <f t="shared" si="2"/>
        <v>0.93469968899126388</v>
      </c>
      <c r="S42" s="129">
        <v>1</v>
      </c>
      <c r="T42" s="129">
        <v>1</v>
      </c>
      <c r="U42" s="129">
        <v>1</v>
      </c>
      <c r="V42" s="138">
        <f t="shared" si="3"/>
        <v>3</v>
      </c>
      <c r="W42" s="138">
        <f t="shared" si="4"/>
        <v>3</v>
      </c>
      <c r="X42" s="138">
        <f t="shared" si="5"/>
        <v>1</v>
      </c>
      <c r="Y42" s="138">
        <f t="shared" si="6"/>
        <v>3</v>
      </c>
      <c r="Z42" s="138">
        <f t="shared" si="7"/>
        <v>3</v>
      </c>
      <c r="AA42" s="138">
        <f t="shared" si="8"/>
        <v>1</v>
      </c>
      <c r="AB42" s="127" t="s">
        <v>32</v>
      </c>
      <c r="AC42" s="127"/>
      <c r="AD42" s="127"/>
      <c r="AE42" s="130"/>
      <c r="AF42" s="136">
        <v>12.51</v>
      </c>
      <c r="AG42" s="136">
        <v>11.33</v>
      </c>
      <c r="AH42" s="136">
        <v>39.090000000000003</v>
      </c>
      <c r="AI42" s="136">
        <v>5.99</v>
      </c>
      <c r="AJ42" s="136">
        <v>7.02</v>
      </c>
      <c r="AK42" s="136">
        <v>0.49</v>
      </c>
      <c r="AL42" s="136">
        <v>3.31</v>
      </c>
      <c r="AM42" s="136">
        <v>79.739999999999995</v>
      </c>
      <c r="AN42" s="131"/>
      <c r="AO42" s="131"/>
      <c r="AP42" s="131"/>
      <c r="AQ42" s="131"/>
      <c r="AR42" s="131"/>
      <c r="AS42" s="131"/>
      <c r="AT42" s="131"/>
      <c r="AU42" s="91"/>
      <c r="AV42" s="91"/>
      <c r="AW42" s="131"/>
      <c r="AX42" s="131"/>
      <c r="AY42" s="131"/>
    </row>
    <row r="43" spans="1:51" ht="15" x14ac:dyDescent="0.25">
      <c r="A43" s="123"/>
      <c r="B43" s="124"/>
      <c r="C43" s="125">
        <v>915944</v>
      </c>
      <c r="D43" s="89"/>
      <c r="E43" s="86" t="s">
        <v>4</v>
      </c>
      <c r="F43" s="86" t="s">
        <v>418</v>
      </c>
      <c r="H43" s="126" t="s">
        <v>51</v>
      </c>
      <c r="I43" s="89">
        <v>1</v>
      </c>
      <c r="J43" s="127">
        <v>45679.294700000006</v>
      </c>
      <c r="K43" s="127">
        <v>91739.87000000001</v>
      </c>
      <c r="L43" s="127">
        <v>15620.14</v>
      </c>
      <c r="M43" s="127">
        <v>22119.294700000031</v>
      </c>
      <c r="N43" s="127">
        <v>79279.870000000024</v>
      </c>
      <c r="O43" s="127">
        <v>14600.14</v>
      </c>
      <c r="P43" s="128">
        <f t="shared" si="0"/>
        <v>0.48423021513946513</v>
      </c>
      <c r="Q43" s="128">
        <f t="shared" si="1"/>
        <v>0.86418118970519597</v>
      </c>
      <c r="R43" s="128">
        <f t="shared" si="2"/>
        <v>0.93469968899126388</v>
      </c>
      <c r="S43" s="129">
        <v>1</v>
      </c>
      <c r="T43" s="129">
        <v>1</v>
      </c>
      <c r="U43" s="129">
        <v>1</v>
      </c>
      <c r="V43" s="138">
        <f t="shared" si="3"/>
        <v>3</v>
      </c>
      <c r="W43" s="138">
        <f t="shared" si="4"/>
        <v>3</v>
      </c>
      <c r="X43" s="138">
        <f t="shared" si="5"/>
        <v>1</v>
      </c>
      <c r="Y43" s="138">
        <f t="shared" si="6"/>
        <v>3</v>
      </c>
      <c r="Z43" s="138">
        <f t="shared" si="7"/>
        <v>3</v>
      </c>
      <c r="AA43" s="138">
        <f t="shared" si="8"/>
        <v>1</v>
      </c>
      <c r="AB43" s="127" t="s">
        <v>32</v>
      </c>
      <c r="AC43" s="127"/>
      <c r="AD43" s="127"/>
      <c r="AE43" s="130"/>
      <c r="AF43" s="136">
        <v>12.51</v>
      </c>
      <c r="AG43" s="136">
        <v>11.33</v>
      </c>
      <c r="AH43" s="136">
        <v>39.090000000000003</v>
      </c>
      <c r="AI43" s="136">
        <v>5.99</v>
      </c>
      <c r="AJ43" s="136">
        <v>7.02</v>
      </c>
      <c r="AK43" s="136">
        <v>0.49</v>
      </c>
      <c r="AL43" s="136">
        <v>3.31</v>
      </c>
      <c r="AM43" s="136">
        <v>79.739999999999995</v>
      </c>
      <c r="AN43" s="131"/>
      <c r="AO43" s="131"/>
      <c r="AP43" s="131"/>
      <c r="AQ43" s="131"/>
      <c r="AR43" s="131"/>
      <c r="AS43" s="131"/>
      <c r="AT43" s="131"/>
      <c r="AU43" s="91"/>
      <c r="AV43" s="91"/>
      <c r="AW43" s="131"/>
      <c r="AX43" s="131"/>
      <c r="AY43" s="131"/>
    </row>
    <row r="44" spans="1:51" ht="15" x14ac:dyDescent="0.25">
      <c r="A44" s="123"/>
      <c r="B44" s="124"/>
      <c r="C44" s="125">
        <v>918628</v>
      </c>
      <c r="D44" s="89"/>
      <c r="E44" s="86" t="s">
        <v>4</v>
      </c>
      <c r="F44" s="86" t="s">
        <v>418</v>
      </c>
      <c r="H44" s="126" t="s">
        <v>50</v>
      </c>
      <c r="I44" s="89">
        <v>1</v>
      </c>
      <c r="J44" s="127">
        <v>45679.294700000006</v>
      </c>
      <c r="K44" s="127">
        <v>91739.87000000001</v>
      </c>
      <c r="L44" s="127">
        <v>15620.14</v>
      </c>
      <c r="M44" s="127">
        <v>22119.294700000031</v>
      </c>
      <c r="N44" s="127">
        <v>79279.870000000024</v>
      </c>
      <c r="O44" s="127">
        <v>14600.14</v>
      </c>
      <c r="P44" s="128">
        <f t="shared" si="0"/>
        <v>0.48423021513946513</v>
      </c>
      <c r="Q44" s="128">
        <f t="shared" si="1"/>
        <v>0.86418118970519597</v>
      </c>
      <c r="R44" s="128">
        <f t="shared" si="2"/>
        <v>0.93469968899126388</v>
      </c>
      <c r="S44" s="129">
        <v>0</v>
      </c>
      <c r="T44" s="129">
        <v>1</v>
      </c>
      <c r="U44" s="129">
        <v>1</v>
      </c>
      <c r="V44" s="138">
        <f t="shared" si="3"/>
        <v>3</v>
      </c>
      <c r="W44" s="138">
        <f t="shared" si="4"/>
        <v>3</v>
      </c>
      <c r="X44" s="138">
        <f t="shared" si="5"/>
        <v>1</v>
      </c>
      <c r="Y44" s="138">
        <f t="shared" si="6"/>
        <v>0</v>
      </c>
      <c r="Z44" s="138">
        <f t="shared" si="7"/>
        <v>3</v>
      </c>
      <c r="AA44" s="138">
        <f t="shared" si="8"/>
        <v>1</v>
      </c>
      <c r="AB44" s="127" t="s">
        <v>32</v>
      </c>
      <c r="AC44" s="127"/>
      <c r="AD44" s="127"/>
      <c r="AE44" s="130"/>
      <c r="AF44" s="136">
        <v>0</v>
      </c>
      <c r="AG44" s="136">
        <v>11.33</v>
      </c>
      <c r="AH44" s="136">
        <v>39.090000000000003</v>
      </c>
      <c r="AI44" s="136">
        <v>5.99</v>
      </c>
      <c r="AJ44" s="136">
        <v>7.02</v>
      </c>
      <c r="AK44" s="136">
        <v>0.49</v>
      </c>
      <c r="AL44" s="136">
        <v>3.31</v>
      </c>
      <c r="AM44" s="136">
        <v>67.23</v>
      </c>
      <c r="AN44" s="131"/>
      <c r="AO44" s="131"/>
      <c r="AP44" s="131"/>
      <c r="AQ44" s="131"/>
      <c r="AR44" s="131"/>
      <c r="AS44" s="131"/>
      <c r="AT44" s="131"/>
      <c r="AU44" s="91"/>
      <c r="AV44" s="91"/>
      <c r="AW44" s="131"/>
      <c r="AX44" s="131"/>
      <c r="AY44" s="131"/>
    </row>
    <row r="45" spans="1:51" ht="15" x14ac:dyDescent="0.25">
      <c r="A45" s="123"/>
      <c r="B45" s="124"/>
      <c r="C45" s="125">
        <v>976732</v>
      </c>
      <c r="D45" s="89"/>
      <c r="E45" s="86" t="s">
        <v>4</v>
      </c>
      <c r="F45" s="86" t="s">
        <v>418</v>
      </c>
      <c r="H45" s="126" t="s">
        <v>51</v>
      </c>
      <c r="I45" s="89">
        <v>1</v>
      </c>
      <c r="J45" s="127">
        <v>45679.294700000006</v>
      </c>
      <c r="K45" s="127">
        <v>91739.87000000001</v>
      </c>
      <c r="L45" s="127">
        <v>15620.14</v>
      </c>
      <c r="M45" s="127">
        <v>22119.294700000031</v>
      </c>
      <c r="N45" s="127">
        <v>79279.870000000024</v>
      </c>
      <c r="O45" s="127">
        <v>14600.14</v>
      </c>
      <c r="P45" s="128">
        <f t="shared" si="0"/>
        <v>0.48423021513946513</v>
      </c>
      <c r="Q45" s="128">
        <f t="shared" si="1"/>
        <v>0.86418118970519597</v>
      </c>
      <c r="R45" s="128">
        <f t="shared" si="2"/>
        <v>0.93469968899126388</v>
      </c>
      <c r="S45" s="129">
        <v>1</v>
      </c>
      <c r="T45" s="129">
        <v>1</v>
      </c>
      <c r="U45" s="129">
        <v>1</v>
      </c>
      <c r="V45" s="138">
        <f t="shared" si="3"/>
        <v>3</v>
      </c>
      <c r="W45" s="138">
        <f t="shared" si="4"/>
        <v>3</v>
      </c>
      <c r="X45" s="138">
        <f t="shared" si="5"/>
        <v>1</v>
      </c>
      <c r="Y45" s="138">
        <f t="shared" si="6"/>
        <v>3</v>
      </c>
      <c r="Z45" s="138">
        <f t="shared" si="7"/>
        <v>3</v>
      </c>
      <c r="AA45" s="138">
        <f t="shared" si="8"/>
        <v>1</v>
      </c>
      <c r="AB45" s="127" t="s">
        <v>32</v>
      </c>
      <c r="AC45" s="127"/>
      <c r="AD45" s="127"/>
      <c r="AE45" s="130"/>
      <c r="AF45" s="136">
        <v>12.51</v>
      </c>
      <c r="AG45" s="136">
        <v>11.33</v>
      </c>
      <c r="AH45" s="136">
        <v>39.090000000000003</v>
      </c>
      <c r="AI45" s="136">
        <v>5.99</v>
      </c>
      <c r="AJ45" s="136">
        <v>7.02</v>
      </c>
      <c r="AK45" s="136">
        <v>0.49</v>
      </c>
      <c r="AL45" s="136">
        <v>3.31</v>
      </c>
      <c r="AM45" s="136">
        <v>79.739999999999995</v>
      </c>
      <c r="AN45" s="131"/>
      <c r="AO45" s="131"/>
      <c r="AP45" s="131"/>
      <c r="AQ45" s="131"/>
      <c r="AR45" s="131"/>
      <c r="AS45" s="131"/>
      <c r="AT45" s="131"/>
      <c r="AU45" s="91"/>
      <c r="AV45" s="91"/>
      <c r="AW45" s="131"/>
      <c r="AX45" s="131"/>
      <c r="AY45" s="131"/>
    </row>
    <row r="46" spans="1:51" ht="15" x14ac:dyDescent="0.25">
      <c r="A46" s="123"/>
      <c r="B46" s="124"/>
      <c r="C46" s="125">
        <v>26838</v>
      </c>
      <c r="D46" s="89"/>
      <c r="E46" s="86" t="s">
        <v>9</v>
      </c>
      <c r="F46" s="86" t="s">
        <v>418</v>
      </c>
      <c r="H46" s="126" t="s">
        <v>51</v>
      </c>
      <c r="I46" s="89">
        <v>1</v>
      </c>
      <c r="J46" s="127">
        <v>27631.7199</v>
      </c>
      <c r="K46" s="127">
        <v>66643.789999999994</v>
      </c>
      <c r="L46" s="127">
        <v>7299.3099999999995</v>
      </c>
      <c r="M46" s="127">
        <v>13495.719900000004</v>
      </c>
      <c r="N46" s="127">
        <v>59167.789999999994</v>
      </c>
      <c r="O46" s="127">
        <v>6687.3099999999995</v>
      </c>
      <c r="P46" s="128">
        <f t="shared" si="0"/>
        <v>0.4884140382445033</v>
      </c>
      <c r="Q46" s="128">
        <f t="shared" si="1"/>
        <v>0.88782150594976661</v>
      </c>
      <c r="R46" s="128">
        <f t="shared" si="2"/>
        <v>0.91615645862417128</v>
      </c>
      <c r="S46" s="129">
        <v>1</v>
      </c>
      <c r="T46" s="129">
        <v>1</v>
      </c>
      <c r="U46" s="129">
        <v>1</v>
      </c>
      <c r="V46" s="138">
        <f t="shared" si="3"/>
        <v>3</v>
      </c>
      <c r="W46" s="138">
        <f t="shared" si="4"/>
        <v>3</v>
      </c>
      <c r="X46" s="138">
        <f t="shared" si="5"/>
        <v>1</v>
      </c>
      <c r="Y46" s="138">
        <f t="shared" si="6"/>
        <v>3</v>
      </c>
      <c r="Z46" s="138">
        <f t="shared" si="7"/>
        <v>3</v>
      </c>
      <c r="AA46" s="138">
        <f t="shared" si="8"/>
        <v>1</v>
      </c>
      <c r="AB46" s="127" t="s">
        <v>32</v>
      </c>
      <c r="AC46" s="127"/>
      <c r="AD46" s="127"/>
      <c r="AE46" s="130"/>
      <c r="AF46" s="136">
        <v>10.81</v>
      </c>
      <c r="AG46" s="136">
        <v>11.33</v>
      </c>
      <c r="AH46" s="136">
        <v>44.33</v>
      </c>
      <c r="AI46" s="136">
        <v>5.99</v>
      </c>
      <c r="AJ46" s="136">
        <v>5.14</v>
      </c>
      <c r="AK46" s="136">
        <v>0.49</v>
      </c>
      <c r="AL46" s="136">
        <v>3.31</v>
      </c>
      <c r="AM46" s="136">
        <v>81.399999999999991</v>
      </c>
      <c r="AN46" s="131"/>
      <c r="AO46" s="131"/>
      <c r="AP46" s="131"/>
      <c r="AQ46" s="131"/>
      <c r="AR46" s="131"/>
      <c r="AS46" s="131"/>
      <c r="AT46" s="131"/>
      <c r="AU46" s="91"/>
      <c r="AV46" s="91"/>
      <c r="AW46" s="131"/>
      <c r="AX46" s="131"/>
      <c r="AY46" s="131"/>
    </row>
    <row r="47" spans="1:51" ht="15" x14ac:dyDescent="0.25">
      <c r="A47" s="123"/>
      <c r="B47" s="124"/>
      <c r="C47" s="125">
        <v>34931</v>
      </c>
      <c r="D47" s="89"/>
      <c r="E47" s="86" t="s">
        <v>9</v>
      </c>
      <c r="F47" s="86" t="s">
        <v>418</v>
      </c>
      <c r="H47" s="126" t="s">
        <v>51</v>
      </c>
      <c r="I47" s="89">
        <v>1</v>
      </c>
      <c r="J47" s="127">
        <v>27631.7199</v>
      </c>
      <c r="K47" s="127">
        <v>66643.789999999994</v>
      </c>
      <c r="L47" s="127">
        <v>7299.3099999999995</v>
      </c>
      <c r="M47" s="127">
        <v>13495.719900000004</v>
      </c>
      <c r="N47" s="127">
        <v>59167.789999999994</v>
      </c>
      <c r="O47" s="127">
        <v>6687.3099999999995</v>
      </c>
      <c r="P47" s="128">
        <f t="shared" si="0"/>
        <v>0.4884140382445033</v>
      </c>
      <c r="Q47" s="128">
        <f t="shared" si="1"/>
        <v>0.88782150594976661</v>
      </c>
      <c r="R47" s="128">
        <f t="shared" si="2"/>
        <v>0.91615645862417128</v>
      </c>
      <c r="S47" s="129">
        <v>1</v>
      </c>
      <c r="T47" s="129">
        <v>1</v>
      </c>
      <c r="U47" s="129">
        <v>1</v>
      </c>
      <c r="V47" s="138">
        <f t="shared" si="3"/>
        <v>3</v>
      </c>
      <c r="W47" s="138">
        <f t="shared" si="4"/>
        <v>3</v>
      </c>
      <c r="X47" s="138">
        <f t="shared" si="5"/>
        <v>1</v>
      </c>
      <c r="Y47" s="138">
        <f t="shared" si="6"/>
        <v>3</v>
      </c>
      <c r="Z47" s="138">
        <f t="shared" si="7"/>
        <v>3</v>
      </c>
      <c r="AA47" s="138">
        <f t="shared" si="8"/>
        <v>1</v>
      </c>
      <c r="AB47" s="127" t="s">
        <v>32</v>
      </c>
      <c r="AC47" s="127"/>
      <c r="AD47" s="127"/>
      <c r="AE47" s="130"/>
      <c r="AF47" s="136">
        <v>10.81</v>
      </c>
      <c r="AG47" s="136">
        <v>11.33</v>
      </c>
      <c r="AH47" s="136">
        <v>44.33</v>
      </c>
      <c r="AI47" s="136">
        <v>5.99</v>
      </c>
      <c r="AJ47" s="136">
        <v>5.14</v>
      </c>
      <c r="AK47" s="136">
        <v>0.49</v>
      </c>
      <c r="AL47" s="136">
        <v>3.31</v>
      </c>
      <c r="AM47" s="136">
        <v>81.399999999999991</v>
      </c>
      <c r="AN47" s="131"/>
      <c r="AO47" s="131"/>
      <c r="AP47" s="131"/>
      <c r="AQ47" s="131"/>
      <c r="AR47" s="131"/>
      <c r="AS47" s="131"/>
      <c r="AT47" s="131"/>
      <c r="AU47" s="91"/>
      <c r="AV47" s="91"/>
      <c r="AW47" s="131"/>
      <c r="AX47" s="131"/>
      <c r="AY47" s="131"/>
    </row>
    <row r="48" spans="1:51" ht="15" x14ac:dyDescent="0.25">
      <c r="A48" s="123"/>
      <c r="B48" s="124"/>
      <c r="C48" s="125">
        <v>117557</v>
      </c>
      <c r="D48" s="89"/>
      <c r="E48" s="86" t="s">
        <v>9</v>
      </c>
      <c r="F48" s="86" t="s">
        <v>418</v>
      </c>
      <c r="H48" s="126" t="s">
        <v>51</v>
      </c>
      <c r="I48" s="89">
        <v>1</v>
      </c>
      <c r="J48" s="127">
        <v>27631.7199</v>
      </c>
      <c r="K48" s="127">
        <v>66643.789999999994</v>
      </c>
      <c r="L48" s="127">
        <v>7299.3099999999995</v>
      </c>
      <c r="M48" s="127">
        <v>13495.719900000004</v>
      </c>
      <c r="N48" s="127">
        <v>59167.789999999994</v>
      </c>
      <c r="O48" s="127">
        <v>6687.3099999999995</v>
      </c>
      <c r="P48" s="128">
        <f t="shared" si="0"/>
        <v>0.4884140382445033</v>
      </c>
      <c r="Q48" s="128">
        <f t="shared" si="1"/>
        <v>0.88782150594976661</v>
      </c>
      <c r="R48" s="128">
        <f t="shared" si="2"/>
        <v>0.91615645862417128</v>
      </c>
      <c r="S48" s="129">
        <v>1</v>
      </c>
      <c r="T48" s="129">
        <v>1</v>
      </c>
      <c r="U48" s="129">
        <v>1</v>
      </c>
      <c r="V48" s="138">
        <f t="shared" si="3"/>
        <v>3</v>
      </c>
      <c r="W48" s="138">
        <f t="shared" si="4"/>
        <v>3</v>
      </c>
      <c r="X48" s="138">
        <f t="shared" si="5"/>
        <v>1</v>
      </c>
      <c r="Y48" s="138">
        <f t="shared" si="6"/>
        <v>3</v>
      </c>
      <c r="Z48" s="138">
        <f t="shared" si="7"/>
        <v>3</v>
      </c>
      <c r="AA48" s="138">
        <f t="shared" si="8"/>
        <v>1</v>
      </c>
      <c r="AB48" s="127" t="s">
        <v>32</v>
      </c>
      <c r="AC48" s="127"/>
      <c r="AD48" s="127"/>
      <c r="AE48" s="130"/>
      <c r="AF48" s="136">
        <v>10.81</v>
      </c>
      <c r="AG48" s="136">
        <v>11.33</v>
      </c>
      <c r="AH48" s="136">
        <v>44.33</v>
      </c>
      <c r="AI48" s="136">
        <v>5.99</v>
      </c>
      <c r="AJ48" s="136">
        <v>5.14</v>
      </c>
      <c r="AK48" s="136">
        <v>0.49</v>
      </c>
      <c r="AL48" s="136">
        <v>3.31</v>
      </c>
      <c r="AM48" s="136">
        <v>81.399999999999991</v>
      </c>
      <c r="AN48" s="131"/>
      <c r="AO48" s="131"/>
      <c r="AP48" s="131"/>
      <c r="AQ48" s="131"/>
      <c r="AR48" s="131"/>
      <c r="AS48" s="131"/>
      <c r="AT48" s="131"/>
      <c r="AU48" s="91"/>
      <c r="AV48" s="91"/>
      <c r="AW48" s="131"/>
      <c r="AX48" s="131"/>
      <c r="AY48" s="131"/>
    </row>
    <row r="49" spans="1:51" ht="15" x14ac:dyDescent="0.25">
      <c r="A49" s="123"/>
      <c r="B49" s="124"/>
      <c r="C49" s="125">
        <v>129315.99999999999</v>
      </c>
      <c r="D49" s="89"/>
      <c r="E49" s="86" t="s">
        <v>9</v>
      </c>
      <c r="F49" s="86" t="s">
        <v>418</v>
      </c>
      <c r="H49" s="126" t="s">
        <v>51</v>
      </c>
      <c r="I49" s="89">
        <v>1</v>
      </c>
      <c r="J49" s="127">
        <v>27631.7199</v>
      </c>
      <c r="K49" s="127">
        <v>66643.789999999994</v>
      </c>
      <c r="L49" s="127">
        <v>7299.3099999999995</v>
      </c>
      <c r="M49" s="127">
        <v>13495.719900000004</v>
      </c>
      <c r="N49" s="127">
        <v>59167.789999999994</v>
      </c>
      <c r="O49" s="127">
        <v>6687.3099999999995</v>
      </c>
      <c r="P49" s="128">
        <f t="shared" si="0"/>
        <v>0.4884140382445033</v>
      </c>
      <c r="Q49" s="128">
        <f t="shared" si="1"/>
        <v>0.88782150594976661</v>
      </c>
      <c r="R49" s="128">
        <f t="shared" si="2"/>
        <v>0.91615645862417128</v>
      </c>
      <c r="S49" s="129">
        <v>1</v>
      </c>
      <c r="T49" s="129">
        <v>1</v>
      </c>
      <c r="U49" s="129">
        <v>1</v>
      </c>
      <c r="V49" s="138">
        <f t="shared" si="3"/>
        <v>3</v>
      </c>
      <c r="W49" s="138">
        <f t="shared" si="4"/>
        <v>3</v>
      </c>
      <c r="X49" s="138">
        <f t="shared" si="5"/>
        <v>1</v>
      </c>
      <c r="Y49" s="138">
        <f t="shared" si="6"/>
        <v>3</v>
      </c>
      <c r="Z49" s="138">
        <f t="shared" si="7"/>
        <v>3</v>
      </c>
      <c r="AA49" s="138">
        <f t="shared" si="8"/>
        <v>1</v>
      </c>
      <c r="AB49" s="127" t="s">
        <v>32</v>
      </c>
      <c r="AC49" s="127"/>
      <c r="AD49" s="127"/>
      <c r="AE49" s="130"/>
      <c r="AF49" s="136">
        <v>10.81</v>
      </c>
      <c r="AG49" s="136">
        <v>11.33</v>
      </c>
      <c r="AH49" s="136">
        <v>44.33</v>
      </c>
      <c r="AI49" s="136">
        <v>5.99</v>
      </c>
      <c r="AJ49" s="136">
        <v>5.14</v>
      </c>
      <c r="AK49" s="136">
        <v>0.49</v>
      </c>
      <c r="AL49" s="136">
        <v>3.31</v>
      </c>
      <c r="AM49" s="136">
        <v>81.399999999999991</v>
      </c>
      <c r="AN49" s="131"/>
      <c r="AO49" s="131"/>
      <c r="AP49" s="131"/>
      <c r="AQ49" s="131"/>
      <c r="AR49" s="131"/>
      <c r="AS49" s="131"/>
      <c r="AT49" s="131"/>
      <c r="AU49" s="91"/>
      <c r="AV49" s="91"/>
      <c r="AW49" s="131"/>
      <c r="AX49" s="131"/>
      <c r="AY49" s="131"/>
    </row>
    <row r="50" spans="1:51" ht="15" x14ac:dyDescent="0.25">
      <c r="A50" s="123"/>
      <c r="B50" s="124"/>
      <c r="C50" s="125">
        <v>222000</v>
      </c>
      <c r="D50" s="89"/>
      <c r="E50" s="86" t="s">
        <v>9</v>
      </c>
      <c r="F50" s="86" t="s">
        <v>418</v>
      </c>
      <c r="H50" s="126" t="s">
        <v>51</v>
      </c>
      <c r="I50" s="89">
        <v>1</v>
      </c>
      <c r="J50" s="127">
        <v>27631.7199</v>
      </c>
      <c r="K50" s="127">
        <v>66643.789999999994</v>
      </c>
      <c r="L50" s="127">
        <v>7299.3099999999995</v>
      </c>
      <c r="M50" s="127">
        <v>13495.719900000004</v>
      </c>
      <c r="N50" s="127">
        <v>59167.789999999994</v>
      </c>
      <c r="O50" s="127">
        <v>6687.3099999999995</v>
      </c>
      <c r="P50" s="128">
        <f t="shared" si="0"/>
        <v>0.4884140382445033</v>
      </c>
      <c r="Q50" s="128">
        <f t="shared" si="1"/>
        <v>0.88782150594976661</v>
      </c>
      <c r="R50" s="128">
        <f t="shared" si="2"/>
        <v>0.91615645862417128</v>
      </c>
      <c r="S50" s="129">
        <v>1</v>
      </c>
      <c r="T50" s="129">
        <v>1</v>
      </c>
      <c r="U50" s="129">
        <v>1</v>
      </c>
      <c r="V50" s="138">
        <f t="shared" si="3"/>
        <v>3</v>
      </c>
      <c r="W50" s="138">
        <f t="shared" si="4"/>
        <v>3</v>
      </c>
      <c r="X50" s="138">
        <f t="shared" si="5"/>
        <v>1</v>
      </c>
      <c r="Y50" s="138">
        <f t="shared" si="6"/>
        <v>3</v>
      </c>
      <c r="Z50" s="138">
        <f t="shared" si="7"/>
        <v>3</v>
      </c>
      <c r="AA50" s="138">
        <f t="shared" si="8"/>
        <v>1</v>
      </c>
      <c r="AB50" s="127" t="s">
        <v>32</v>
      </c>
      <c r="AC50" s="127"/>
      <c r="AD50" s="127"/>
      <c r="AE50" s="130"/>
      <c r="AF50" s="136">
        <v>10.81</v>
      </c>
      <c r="AG50" s="136">
        <v>11.33</v>
      </c>
      <c r="AH50" s="136">
        <v>44.33</v>
      </c>
      <c r="AI50" s="136">
        <v>5.99</v>
      </c>
      <c r="AJ50" s="136">
        <v>5.14</v>
      </c>
      <c r="AK50" s="136">
        <v>0.49</v>
      </c>
      <c r="AL50" s="136">
        <v>3.31</v>
      </c>
      <c r="AM50" s="136">
        <v>81.399999999999991</v>
      </c>
      <c r="AN50" s="131"/>
      <c r="AO50" s="131"/>
      <c r="AP50" s="131"/>
      <c r="AQ50" s="131"/>
      <c r="AR50" s="131"/>
      <c r="AS50" s="131"/>
      <c r="AT50" s="131"/>
      <c r="AU50" s="91"/>
      <c r="AV50" s="91"/>
      <c r="AW50" s="131"/>
      <c r="AX50" s="131"/>
      <c r="AY50" s="131"/>
    </row>
    <row r="51" spans="1:51" ht="15" x14ac:dyDescent="0.25">
      <c r="A51" s="123"/>
      <c r="B51" s="124"/>
      <c r="C51" s="125">
        <v>277562</v>
      </c>
      <c r="D51" s="89"/>
      <c r="E51" s="86" t="s">
        <v>9</v>
      </c>
      <c r="F51" s="86" t="s">
        <v>418</v>
      </c>
      <c r="H51" s="126" t="s">
        <v>51</v>
      </c>
      <c r="I51" s="89">
        <v>1</v>
      </c>
      <c r="J51" s="127">
        <v>27631.7199</v>
      </c>
      <c r="K51" s="127">
        <v>66643.789999999994</v>
      </c>
      <c r="L51" s="127">
        <v>7299.3099999999995</v>
      </c>
      <c r="M51" s="127">
        <v>13495.719900000004</v>
      </c>
      <c r="N51" s="127">
        <v>59167.789999999994</v>
      </c>
      <c r="O51" s="127">
        <v>6687.3099999999995</v>
      </c>
      <c r="P51" s="128">
        <f t="shared" si="0"/>
        <v>0.4884140382445033</v>
      </c>
      <c r="Q51" s="128">
        <f t="shared" si="1"/>
        <v>0.88782150594976661</v>
      </c>
      <c r="R51" s="128">
        <f t="shared" si="2"/>
        <v>0.91615645862417128</v>
      </c>
      <c r="S51" s="129">
        <v>1</v>
      </c>
      <c r="T51" s="129">
        <v>1</v>
      </c>
      <c r="U51" s="129">
        <v>1</v>
      </c>
      <c r="V51" s="138">
        <f t="shared" si="3"/>
        <v>3</v>
      </c>
      <c r="W51" s="138">
        <f t="shared" si="4"/>
        <v>3</v>
      </c>
      <c r="X51" s="138">
        <f t="shared" si="5"/>
        <v>1</v>
      </c>
      <c r="Y51" s="138">
        <f t="shared" si="6"/>
        <v>3</v>
      </c>
      <c r="Z51" s="138">
        <f t="shared" si="7"/>
        <v>3</v>
      </c>
      <c r="AA51" s="138">
        <f t="shared" si="8"/>
        <v>1</v>
      </c>
      <c r="AB51" s="127" t="s">
        <v>32</v>
      </c>
      <c r="AC51" s="127"/>
      <c r="AD51" s="127"/>
      <c r="AE51" s="130"/>
      <c r="AF51" s="136">
        <v>10.81</v>
      </c>
      <c r="AG51" s="136">
        <v>11.33</v>
      </c>
      <c r="AH51" s="136">
        <v>44.33</v>
      </c>
      <c r="AI51" s="136">
        <v>5.99</v>
      </c>
      <c r="AJ51" s="136">
        <v>5.14</v>
      </c>
      <c r="AK51" s="136">
        <v>0.49</v>
      </c>
      <c r="AL51" s="136">
        <v>3.31</v>
      </c>
      <c r="AM51" s="136">
        <v>81.399999999999991</v>
      </c>
      <c r="AN51" s="131"/>
      <c r="AO51" s="131"/>
      <c r="AP51" s="131"/>
      <c r="AQ51" s="131"/>
      <c r="AR51" s="131"/>
      <c r="AS51" s="131"/>
      <c r="AT51" s="131"/>
      <c r="AU51" s="91"/>
      <c r="AV51" s="91"/>
      <c r="AW51" s="131"/>
      <c r="AX51" s="131"/>
      <c r="AY51" s="131"/>
    </row>
    <row r="52" spans="1:51" ht="15" x14ac:dyDescent="0.25">
      <c r="A52" s="123"/>
      <c r="B52" s="124"/>
      <c r="C52" s="125">
        <v>294200</v>
      </c>
      <c r="D52" s="89"/>
      <c r="E52" s="86" t="s">
        <v>9</v>
      </c>
      <c r="F52" s="86" t="s">
        <v>418</v>
      </c>
      <c r="H52" s="126" t="s">
        <v>51</v>
      </c>
      <c r="I52" s="89">
        <v>1</v>
      </c>
      <c r="J52" s="127">
        <v>27631.7199</v>
      </c>
      <c r="K52" s="127">
        <v>66643.789999999994</v>
      </c>
      <c r="L52" s="127">
        <v>7299.3099999999995</v>
      </c>
      <c r="M52" s="127">
        <v>13495.719900000004</v>
      </c>
      <c r="N52" s="127">
        <v>59167.789999999994</v>
      </c>
      <c r="O52" s="127">
        <v>6687.3099999999995</v>
      </c>
      <c r="P52" s="128">
        <f t="shared" si="0"/>
        <v>0.4884140382445033</v>
      </c>
      <c r="Q52" s="128">
        <f t="shared" si="1"/>
        <v>0.88782150594976661</v>
      </c>
      <c r="R52" s="128">
        <f t="shared" si="2"/>
        <v>0.91615645862417128</v>
      </c>
      <c r="S52" s="129">
        <v>1</v>
      </c>
      <c r="T52" s="129">
        <v>1</v>
      </c>
      <c r="U52" s="129">
        <v>1</v>
      </c>
      <c r="V52" s="138">
        <f t="shared" si="3"/>
        <v>3</v>
      </c>
      <c r="W52" s="138">
        <f t="shared" si="4"/>
        <v>3</v>
      </c>
      <c r="X52" s="138">
        <f t="shared" si="5"/>
        <v>1</v>
      </c>
      <c r="Y52" s="138">
        <f t="shared" si="6"/>
        <v>3</v>
      </c>
      <c r="Z52" s="138">
        <f t="shared" si="7"/>
        <v>3</v>
      </c>
      <c r="AA52" s="138">
        <f t="shared" si="8"/>
        <v>1</v>
      </c>
      <c r="AB52" s="127" t="s">
        <v>32</v>
      </c>
      <c r="AC52" s="127"/>
      <c r="AD52" s="127"/>
      <c r="AE52" s="130"/>
      <c r="AF52" s="136">
        <v>10.81</v>
      </c>
      <c r="AG52" s="136">
        <v>11.33</v>
      </c>
      <c r="AH52" s="136">
        <v>44.33</v>
      </c>
      <c r="AI52" s="136">
        <v>5.99</v>
      </c>
      <c r="AJ52" s="136">
        <v>5.14</v>
      </c>
      <c r="AK52" s="136">
        <v>0.49</v>
      </c>
      <c r="AL52" s="136">
        <v>3.31</v>
      </c>
      <c r="AM52" s="136">
        <v>81.399999999999991</v>
      </c>
      <c r="AN52" s="131"/>
      <c r="AO52" s="131"/>
      <c r="AP52" s="131"/>
      <c r="AQ52" s="131"/>
      <c r="AR52" s="131"/>
      <c r="AS52" s="131"/>
      <c r="AT52" s="131"/>
      <c r="AU52" s="91"/>
      <c r="AV52" s="91"/>
      <c r="AW52" s="131"/>
      <c r="AX52" s="131"/>
      <c r="AY52" s="131"/>
    </row>
    <row r="53" spans="1:51" ht="15" x14ac:dyDescent="0.25">
      <c r="A53" s="123"/>
      <c r="B53" s="124"/>
      <c r="C53" s="125">
        <v>299803</v>
      </c>
      <c r="D53" s="89"/>
      <c r="E53" s="86" t="s">
        <v>9</v>
      </c>
      <c r="F53" s="86" t="s">
        <v>418</v>
      </c>
      <c r="H53" s="126" t="s">
        <v>51</v>
      </c>
      <c r="I53" s="89">
        <v>1</v>
      </c>
      <c r="J53" s="127">
        <v>27631.7199</v>
      </c>
      <c r="K53" s="127">
        <v>66643.789999999994</v>
      </c>
      <c r="L53" s="127">
        <v>7299.3099999999995</v>
      </c>
      <c r="M53" s="127">
        <v>13495.719900000004</v>
      </c>
      <c r="N53" s="127">
        <v>59167.789999999994</v>
      </c>
      <c r="O53" s="127">
        <v>6687.3099999999995</v>
      </c>
      <c r="P53" s="128">
        <f t="shared" si="0"/>
        <v>0.4884140382445033</v>
      </c>
      <c r="Q53" s="128">
        <f t="shared" si="1"/>
        <v>0.88782150594976661</v>
      </c>
      <c r="R53" s="128">
        <f t="shared" si="2"/>
        <v>0.91615645862417128</v>
      </c>
      <c r="S53" s="129">
        <v>1</v>
      </c>
      <c r="T53" s="129">
        <v>1</v>
      </c>
      <c r="U53" s="129">
        <v>1</v>
      </c>
      <c r="V53" s="138">
        <f t="shared" si="3"/>
        <v>3</v>
      </c>
      <c r="W53" s="138">
        <f t="shared" si="4"/>
        <v>3</v>
      </c>
      <c r="X53" s="138">
        <f t="shared" si="5"/>
        <v>1</v>
      </c>
      <c r="Y53" s="138">
        <f t="shared" si="6"/>
        <v>3</v>
      </c>
      <c r="Z53" s="138">
        <f t="shared" si="7"/>
        <v>3</v>
      </c>
      <c r="AA53" s="138">
        <f t="shared" si="8"/>
        <v>1</v>
      </c>
      <c r="AB53" s="127" t="s">
        <v>32</v>
      </c>
      <c r="AC53" s="127"/>
      <c r="AD53" s="127"/>
      <c r="AE53" s="130"/>
      <c r="AF53" s="136">
        <v>10.81</v>
      </c>
      <c r="AG53" s="136">
        <v>11.33</v>
      </c>
      <c r="AH53" s="136">
        <v>44.33</v>
      </c>
      <c r="AI53" s="136">
        <v>5.99</v>
      </c>
      <c r="AJ53" s="136">
        <v>5.14</v>
      </c>
      <c r="AK53" s="136">
        <v>0.49</v>
      </c>
      <c r="AL53" s="136">
        <v>3.31</v>
      </c>
      <c r="AM53" s="136">
        <v>81.399999999999991</v>
      </c>
      <c r="AN53" s="131"/>
      <c r="AO53" s="131"/>
      <c r="AP53" s="131"/>
      <c r="AQ53" s="131"/>
      <c r="AR53" s="131"/>
      <c r="AS53" s="131"/>
      <c r="AT53" s="131"/>
      <c r="AU53" s="91"/>
      <c r="AV53" s="91"/>
      <c r="AW53" s="131"/>
      <c r="AX53" s="131"/>
      <c r="AY53" s="131"/>
    </row>
    <row r="54" spans="1:51" ht="15" x14ac:dyDescent="0.25">
      <c r="A54" s="123"/>
      <c r="B54" s="124"/>
      <c r="C54" s="125">
        <v>337469</v>
      </c>
      <c r="D54" s="89"/>
      <c r="E54" s="86" t="s">
        <v>9</v>
      </c>
      <c r="F54" s="86" t="s">
        <v>418</v>
      </c>
      <c r="H54" s="126" t="s">
        <v>51</v>
      </c>
      <c r="I54" s="89">
        <v>1</v>
      </c>
      <c r="J54" s="127">
        <v>27631.7199</v>
      </c>
      <c r="K54" s="127">
        <v>66643.789999999994</v>
      </c>
      <c r="L54" s="127">
        <v>7299.3099999999995</v>
      </c>
      <c r="M54" s="127">
        <v>13495.719900000004</v>
      </c>
      <c r="N54" s="127">
        <v>59167.789999999994</v>
      </c>
      <c r="O54" s="127">
        <v>6687.3099999999995</v>
      </c>
      <c r="P54" s="128">
        <f t="shared" si="0"/>
        <v>0.4884140382445033</v>
      </c>
      <c r="Q54" s="128">
        <f t="shared" si="1"/>
        <v>0.88782150594976661</v>
      </c>
      <c r="R54" s="128">
        <f t="shared" si="2"/>
        <v>0.91615645862417128</v>
      </c>
      <c r="S54" s="129">
        <v>1</v>
      </c>
      <c r="T54" s="129">
        <v>1</v>
      </c>
      <c r="U54" s="129">
        <v>1</v>
      </c>
      <c r="V54" s="138">
        <f t="shared" si="3"/>
        <v>3</v>
      </c>
      <c r="W54" s="138">
        <f t="shared" si="4"/>
        <v>3</v>
      </c>
      <c r="X54" s="138">
        <f t="shared" si="5"/>
        <v>1</v>
      </c>
      <c r="Y54" s="138">
        <f t="shared" si="6"/>
        <v>3</v>
      </c>
      <c r="Z54" s="138">
        <f t="shared" si="7"/>
        <v>3</v>
      </c>
      <c r="AA54" s="138">
        <f t="shared" si="8"/>
        <v>1</v>
      </c>
      <c r="AB54" s="127" t="s">
        <v>32</v>
      </c>
      <c r="AC54" s="127"/>
      <c r="AD54" s="127"/>
      <c r="AE54" s="130"/>
      <c r="AF54" s="136">
        <v>10.81</v>
      </c>
      <c r="AG54" s="136">
        <v>11.33</v>
      </c>
      <c r="AH54" s="136">
        <v>44.33</v>
      </c>
      <c r="AI54" s="136">
        <v>5.99</v>
      </c>
      <c r="AJ54" s="136">
        <v>5.14</v>
      </c>
      <c r="AK54" s="136">
        <v>0.49</v>
      </c>
      <c r="AL54" s="136">
        <v>3.31</v>
      </c>
      <c r="AM54" s="136">
        <v>81.399999999999991</v>
      </c>
      <c r="AN54" s="131"/>
      <c r="AO54" s="131"/>
      <c r="AP54" s="131"/>
      <c r="AQ54" s="131"/>
      <c r="AR54" s="131"/>
      <c r="AS54" s="131"/>
      <c r="AT54" s="131"/>
      <c r="AU54" s="91"/>
      <c r="AV54" s="91"/>
      <c r="AW54" s="131"/>
      <c r="AX54" s="131"/>
      <c r="AY54" s="131"/>
    </row>
    <row r="55" spans="1:51" ht="15" x14ac:dyDescent="0.25">
      <c r="A55" s="123"/>
      <c r="B55" s="124"/>
      <c r="C55" s="125">
        <v>455621</v>
      </c>
      <c r="D55" s="89"/>
      <c r="E55" s="86" t="s">
        <v>9</v>
      </c>
      <c r="F55" s="86" t="s">
        <v>418</v>
      </c>
      <c r="H55" s="126" t="s">
        <v>51</v>
      </c>
      <c r="I55" s="89">
        <v>1</v>
      </c>
      <c r="J55" s="127">
        <v>27631.7199</v>
      </c>
      <c r="K55" s="127">
        <v>66643.789999999994</v>
      </c>
      <c r="L55" s="127">
        <v>7299.3099999999995</v>
      </c>
      <c r="M55" s="127">
        <v>13495.719900000004</v>
      </c>
      <c r="N55" s="127">
        <v>59167.789999999994</v>
      </c>
      <c r="O55" s="127">
        <v>6687.3099999999995</v>
      </c>
      <c r="P55" s="128">
        <f t="shared" si="0"/>
        <v>0.4884140382445033</v>
      </c>
      <c r="Q55" s="128">
        <f t="shared" si="1"/>
        <v>0.88782150594976661</v>
      </c>
      <c r="R55" s="128">
        <f t="shared" si="2"/>
        <v>0.91615645862417128</v>
      </c>
      <c r="S55" s="129">
        <v>1</v>
      </c>
      <c r="T55" s="129">
        <v>1</v>
      </c>
      <c r="U55" s="129">
        <v>1</v>
      </c>
      <c r="V55" s="138">
        <f t="shared" si="3"/>
        <v>3</v>
      </c>
      <c r="W55" s="138">
        <f t="shared" si="4"/>
        <v>3</v>
      </c>
      <c r="X55" s="138">
        <f t="shared" si="5"/>
        <v>1</v>
      </c>
      <c r="Y55" s="138">
        <f t="shared" si="6"/>
        <v>3</v>
      </c>
      <c r="Z55" s="138">
        <f t="shared" si="7"/>
        <v>3</v>
      </c>
      <c r="AA55" s="138">
        <f t="shared" si="8"/>
        <v>1</v>
      </c>
      <c r="AB55" s="127" t="s">
        <v>32</v>
      </c>
      <c r="AC55" s="127"/>
      <c r="AD55" s="127"/>
      <c r="AE55" s="130"/>
      <c r="AF55" s="136">
        <v>10.81</v>
      </c>
      <c r="AG55" s="136">
        <v>11.33</v>
      </c>
      <c r="AH55" s="136">
        <v>44.33</v>
      </c>
      <c r="AI55" s="136">
        <v>5.99</v>
      </c>
      <c r="AJ55" s="136">
        <v>5.14</v>
      </c>
      <c r="AK55" s="136">
        <v>0.49</v>
      </c>
      <c r="AL55" s="136">
        <v>3.31</v>
      </c>
      <c r="AM55" s="136">
        <v>81.399999999999991</v>
      </c>
      <c r="AN55" s="131"/>
      <c r="AO55" s="131"/>
      <c r="AP55" s="131"/>
      <c r="AQ55" s="131"/>
      <c r="AR55" s="131"/>
      <c r="AS55" s="131"/>
      <c r="AT55" s="131"/>
      <c r="AU55" s="91"/>
      <c r="AV55" s="91"/>
      <c r="AW55" s="131"/>
      <c r="AX55" s="131"/>
      <c r="AY55" s="131"/>
    </row>
    <row r="56" spans="1:51" ht="15" x14ac:dyDescent="0.25">
      <c r="A56" s="123"/>
      <c r="B56" s="124"/>
      <c r="C56" s="125">
        <v>493071</v>
      </c>
      <c r="D56" s="89"/>
      <c r="E56" s="86" t="s">
        <v>9</v>
      </c>
      <c r="F56" s="86" t="s">
        <v>418</v>
      </c>
      <c r="H56" s="126" t="s">
        <v>51</v>
      </c>
      <c r="I56" s="89">
        <v>1</v>
      </c>
      <c r="J56" s="127">
        <v>27631.7199</v>
      </c>
      <c r="K56" s="127">
        <v>66643.789999999994</v>
      </c>
      <c r="L56" s="127">
        <v>7299.3099999999995</v>
      </c>
      <c r="M56" s="127">
        <v>13495.719900000004</v>
      </c>
      <c r="N56" s="127">
        <v>59167.789999999994</v>
      </c>
      <c r="O56" s="127">
        <v>6687.3099999999995</v>
      </c>
      <c r="P56" s="128">
        <f t="shared" si="0"/>
        <v>0.4884140382445033</v>
      </c>
      <c r="Q56" s="128">
        <f t="shared" si="1"/>
        <v>0.88782150594976661</v>
      </c>
      <c r="R56" s="128">
        <f t="shared" si="2"/>
        <v>0.91615645862417128</v>
      </c>
      <c r="S56" s="129">
        <v>1</v>
      </c>
      <c r="T56" s="129">
        <v>1</v>
      </c>
      <c r="U56" s="129">
        <v>1</v>
      </c>
      <c r="V56" s="138">
        <f t="shared" si="3"/>
        <v>3</v>
      </c>
      <c r="W56" s="138">
        <f t="shared" si="4"/>
        <v>3</v>
      </c>
      <c r="X56" s="138">
        <f t="shared" si="5"/>
        <v>1</v>
      </c>
      <c r="Y56" s="138">
        <f t="shared" si="6"/>
        <v>3</v>
      </c>
      <c r="Z56" s="138">
        <f t="shared" si="7"/>
        <v>3</v>
      </c>
      <c r="AA56" s="138">
        <f t="shared" si="8"/>
        <v>1</v>
      </c>
      <c r="AB56" s="127" t="s">
        <v>32</v>
      </c>
      <c r="AC56" s="127"/>
      <c r="AD56" s="127"/>
      <c r="AE56" s="130"/>
      <c r="AF56" s="136">
        <v>10.81</v>
      </c>
      <c r="AG56" s="136">
        <v>11.33</v>
      </c>
      <c r="AH56" s="136">
        <v>44.33</v>
      </c>
      <c r="AI56" s="136">
        <v>5.99</v>
      </c>
      <c r="AJ56" s="136">
        <v>5.14</v>
      </c>
      <c r="AK56" s="136">
        <v>0.49</v>
      </c>
      <c r="AL56" s="136">
        <v>3.31</v>
      </c>
      <c r="AM56" s="136">
        <v>81.399999999999991</v>
      </c>
      <c r="AN56" s="131"/>
      <c r="AO56" s="131"/>
      <c r="AP56" s="131"/>
      <c r="AQ56" s="131"/>
      <c r="AR56" s="131"/>
      <c r="AS56" s="131"/>
      <c r="AT56" s="131"/>
      <c r="AU56" s="91"/>
      <c r="AV56" s="91"/>
      <c r="AW56" s="131"/>
      <c r="AX56" s="131"/>
      <c r="AY56" s="131"/>
    </row>
    <row r="57" spans="1:51" ht="15" x14ac:dyDescent="0.25">
      <c r="A57" s="123"/>
      <c r="B57" s="124"/>
      <c r="C57" s="125">
        <v>503895</v>
      </c>
      <c r="D57" s="89"/>
      <c r="E57" s="86" t="s">
        <v>9</v>
      </c>
      <c r="F57" s="86" t="s">
        <v>418</v>
      </c>
      <c r="H57" s="126" t="s">
        <v>51</v>
      </c>
      <c r="I57" s="89">
        <v>3</v>
      </c>
      <c r="J57" s="127">
        <v>27631.7199</v>
      </c>
      <c r="K57" s="127">
        <v>66643.789999999994</v>
      </c>
      <c r="L57" s="127">
        <v>7299.3099999999995</v>
      </c>
      <c r="M57" s="127">
        <v>13495.719900000004</v>
      </c>
      <c r="N57" s="127">
        <v>59167.789999999994</v>
      </c>
      <c r="O57" s="127">
        <v>6687.3099999999995</v>
      </c>
      <c r="P57" s="128">
        <f t="shared" si="0"/>
        <v>0.4884140382445033</v>
      </c>
      <c r="Q57" s="128">
        <f t="shared" si="1"/>
        <v>0.88782150594976661</v>
      </c>
      <c r="R57" s="128">
        <f t="shared" si="2"/>
        <v>0.91615645862417128</v>
      </c>
      <c r="S57" s="129">
        <v>0</v>
      </c>
      <c r="T57" s="129">
        <v>1</v>
      </c>
      <c r="U57" s="129">
        <v>1</v>
      </c>
      <c r="V57" s="138">
        <f t="shared" si="3"/>
        <v>5</v>
      </c>
      <c r="W57" s="138">
        <f t="shared" si="4"/>
        <v>5</v>
      </c>
      <c r="X57" s="138">
        <f t="shared" si="5"/>
        <v>3</v>
      </c>
      <c r="Y57" s="138">
        <f t="shared" si="6"/>
        <v>0</v>
      </c>
      <c r="Z57" s="138">
        <f t="shared" si="7"/>
        <v>5</v>
      </c>
      <c r="AA57" s="138">
        <f t="shared" si="8"/>
        <v>1</v>
      </c>
      <c r="AB57" s="127" t="s">
        <v>32</v>
      </c>
      <c r="AC57" s="127"/>
      <c r="AD57" s="127"/>
      <c r="AE57" s="130"/>
      <c r="AF57" s="136">
        <v>0</v>
      </c>
      <c r="AG57" s="136">
        <v>0</v>
      </c>
      <c r="AH57" s="136">
        <v>73.89</v>
      </c>
      <c r="AI57" s="136">
        <v>0</v>
      </c>
      <c r="AJ57" s="136">
        <v>5.14</v>
      </c>
      <c r="AK57" s="136">
        <v>0</v>
      </c>
      <c r="AL57" s="136">
        <v>0</v>
      </c>
      <c r="AM57" s="136">
        <v>79.03</v>
      </c>
      <c r="AN57" s="131"/>
      <c r="AO57" s="131"/>
      <c r="AP57" s="131"/>
      <c r="AQ57" s="131"/>
      <c r="AR57" s="131"/>
      <c r="AS57" s="131"/>
      <c r="AT57" s="131"/>
      <c r="AU57" s="91"/>
      <c r="AV57" s="91"/>
      <c r="AW57" s="131"/>
      <c r="AX57" s="131"/>
      <c r="AY57" s="131"/>
    </row>
    <row r="58" spans="1:51" ht="15" x14ac:dyDescent="0.25">
      <c r="A58" s="123"/>
      <c r="B58" s="124"/>
      <c r="C58" s="125">
        <v>537432</v>
      </c>
      <c r="D58" s="89"/>
      <c r="E58" s="86" t="s">
        <v>9</v>
      </c>
      <c r="F58" s="86" t="s">
        <v>418</v>
      </c>
      <c r="H58" s="126" t="s">
        <v>51</v>
      </c>
      <c r="I58" s="89">
        <v>1</v>
      </c>
      <c r="J58" s="127">
        <v>27631.7199</v>
      </c>
      <c r="K58" s="127">
        <v>66643.789999999994</v>
      </c>
      <c r="L58" s="127">
        <v>7299.3099999999995</v>
      </c>
      <c r="M58" s="127">
        <v>13495.719900000004</v>
      </c>
      <c r="N58" s="127">
        <v>59167.789999999994</v>
      </c>
      <c r="O58" s="127">
        <v>6687.3099999999995</v>
      </c>
      <c r="P58" s="128">
        <f t="shared" si="0"/>
        <v>0.4884140382445033</v>
      </c>
      <c r="Q58" s="128">
        <f t="shared" si="1"/>
        <v>0.88782150594976661</v>
      </c>
      <c r="R58" s="128">
        <f t="shared" si="2"/>
        <v>0.91615645862417128</v>
      </c>
      <c r="S58" s="129">
        <v>1</v>
      </c>
      <c r="T58" s="129">
        <v>1</v>
      </c>
      <c r="U58" s="129">
        <v>1</v>
      </c>
      <c r="V58" s="138">
        <f t="shared" si="3"/>
        <v>3</v>
      </c>
      <c r="W58" s="138">
        <f t="shared" si="4"/>
        <v>3</v>
      </c>
      <c r="X58" s="138">
        <f t="shared" si="5"/>
        <v>1</v>
      </c>
      <c r="Y58" s="138">
        <f t="shared" si="6"/>
        <v>3</v>
      </c>
      <c r="Z58" s="138">
        <f t="shared" si="7"/>
        <v>3</v>
      </c>
      <c r="AA58" s="138">
        <f t="shared" si="8"/>
        <v>1</v>
      </c>
      <c r="AB58" s="127" t="s">
        <v>32</v>
      </c>
      <c r="AC58" s="127"/>
      <c r="AD58" s="127"/>
      <c r="AE58" s="130"/>
      <c r="AF58" s="136">
        <v>10.81</v>
      </c>
      <c r="AG58" s="136">
        <v>11.33</v>
      </c>
      <c r="AH58" s="136">
        <v>44.33</v>
      </c>
      <c r="AI58" s="136">
        <v>5.99</v>
      </c>
      <c r="AJ58" s="136">
        <v>5.14</v>
      </c>
      <c r="AK58" s="136">
        <v>0.49</v>
      </c>
      <c r="AL58" s="136">
        <v>3.31</v>
      </c>
      <c r="AM58" s="136">
        <v>81.399999999999991</v>
      </c>
      <c r="AN58" s="131"/>
      <c r="AO58" s="131"/>
      <c r="AP58" s="131"/>
      <c r="AQ58" s="131"/>
      <c r="AR58" s="131"/>
      <c r="AS58" s="131"/>
      <c r="AT58" s="131"/>
      <c r="AU58" s="91"/>
      <c r="AV58" s="91"/>
      <c r="AW58" s="131"/>
      <c r="AX58" s="131"/>
      <c r="AY58" s="131"/>
    </row>
    <row r="59" spans="1:51" ht="15" x14ac:dyDescent="0.25">
      <c r="A59" s="123"/>
      <c r="B59" s="124"/>
      <c r="C59" s="125">
        <v>539022</v>
      </c>
      <c r="D59" s="89"/>
      <c r="E59" s="86" t="s">
        <v>9</v>
      </c>
      <c r="F59" s="86" t="s">
        <v>418</v>
      </c>
      <c r="H59" s="126" t="s">
        <v>51</v>
      </c>
      <c r="I59" s="89">
        <v>1</v>
      </c>
      <c r="J59" s="127">
        <v>27631.7199</v>
      </c>
      <c r="K59" s="127">
        <v>66643.789999999994</v>
      </c>
      <c r="L59" s="127">
        <v>7299.3099999999995</v>
      </c>
      <c r="M59" s="127">
        <v>13495.719900000004</v>
      </c>
      <c r="N59" s="127">
        <v>59167.789999999994</v>
      </c>
      <c r="O59" s="127">
        <v>6687.3099999999995</v>
      </c>
      <c r="P59" s="128">
        <f t="shared" si="0"/>
        <v>0.4884140382445033</v>
      </c>
      <c r="Q59" s="128">
        <f t="shared" si="1"/>
        <v>0.88782150594976661</v>
      </c>
      <c r="R59" s="128">
        <f t="shared" si="2"/>
        <v>0.91615645862417128</v>
      </c>
      <c r="S59" s="129">
        <v>1</v>
      </c>
      <c r="T59" s="129">
        <v>1</v>
      </c>
      <c r="U59" s="129">
        <v>1</v>
      </c>
      <c r="V59" s="138">
        <f t="shared" si="3"/>
        <v>3</v>
      </c>
      <c r="W59" s="138">
        <f t="shared" si="4"/>
        <v>3</v>
      </c>
      <c r="X59" s="138">
        <f t="shared" si="5"/>
        <v>1</v>
      </c>
      <c r="Y59" s="138">
        <f t="shared" si="6"/>
        <v>3</v>
      </c>
      <c r="Z59" s="138">
        <f t="shared" si="7"/>
        <v>3</v>
      </c>
      <c r="AA59" s="138">
        <f t="shared" si="8"/>
        <v>1</v>
      </c>
      <c r="AB59" s="127" t="s">
        <v>32</v>
      </c>
      <c r="AC59" s="127"/>
      <c r="AD59" s="127"/>
      <c r="AE59" s="130"/>
      <c r="AF59" s="136">
        <v>10.81</v>
      </c>
      <c r="AG59" s="136">
        <v>11.33</v>
      </c>
      <c r="AH59" s="136">
        <v>44.33</v>
      </c>
      <c r="AI59" s="136">
        <v>5.99</v>
      </c>
      <c r="AJ59" s="136">
        <v>5.14</v>
      </c>
      <c r="AK59" s="136">
        <v>0.49</v>
      </c>
      <c r="AL59" s="136">
        <v>3.31</v>
      </c>
      <c r="AM59" s="136">
        <v>81.399999999999991</v>
      </c>
      <c r="AN59" s="131"/>
      <c r="AO59" s="131"/>
      <c r="AP59" s="131"/>
      <c r="AQ59" s="131"/>
      <c r="AR59" s="131"/>
      <c r="AS59" s="131"/>
      <c r="AT59" s="131"/>
      <c r="AU59" s="91"/>
      <c r="AV59" s="91"/>
      <c r="AW59" s="131"/>
      <c r="AX59" s="131"/>
      <c r="AY59" s="131"/>
    </row>
    <row r="60" spans="1:51" ht="15" x14ac:dyDescent="0.25">
      <c r="A60" s="123"/>
      <c r="B60" s="124"/>
      <c r="C60" s="125">
        <v>567818</v>
      </c>
      <c r="D60" s="89"/>
      <c r="E60" s="86" t="s">
        <v>9</v>
      </c>
      <c r="F60" s="86" t="s">
        <v>418</v>
      </c>
      <c r="H60" s="126" t="s">
        <v>51</v>
      </c>
      <c r="I60" s="89">
        <v>1</v>
      </c>
      <c r="J60" s="127">
        <v>27631.7199</v>
      </c>
      <c r="K60" s="127">
        <v>66643.789999999994</v>
      </c>
      <c r="L60" s="127">
        <v>7299.3099999999995</v>
      </c>
      <c r="M60" s="127">
        <v>13495.719900000004</v>
      </c>
      <c r="N60" s="127">
        <v>59167.789999999994</v>
      </c>
      <c r="O60" s="127">
        <v>6687.3099999999995</v>
      </c>
      <c r="P60" s="128">
        <f t="shared" si="0"/>
        <v>0.4884140382445033</v>
      </c>
      <c r="Q60" s="128">
        <f t="shared" si="1"/>
        <v>0.88782150594976661</v>
      </c>
      <c r="R60" s="128">
        <f t="shared" si="2"/>
        <v>0.91615645862417128</v>
      </c>
      <c r="S60" s="129">
        <v>1</v>
      </c>
      <c r="T60" s="129">
        <v>1</v>
      </c>
      <c r="U60" s="129">
        <v>1</v>
      </c>
      <c r="V60" s="138">
        <f t="shared" si="3"/>
        <v>3</v>
      </c>
      <c r="W60" s="138">
        <f t="shared" si="4"/>
        <v>3</v>
      </c>
      <c r="X60" s="138">
        <f t="shared" si="5"/>
        <v>1</v>
      </c>
      <c r="Y60" s="138">
        <f t="shared" si="6"/>
        <v>3</v>
      </c>
      <c r="Z60" s="138">
        <f t="shared" si="7"/>
        <v>3</v>
      </c>
      <c r="AA60" s="138">
        <f t="shared" si="8"/>
        <v>1</v>
      </c>
      <c r="AB60" s="127" t="s">
        <v>32</v>
      </c>
      <c r="AC60" s="127"/>
      <c r="AD60" s="127"/>
      <c r="AE60" s="130"/>
      <c r="AF60" s="136">
        <v>10.81</v>
      </c>
      <c r="AG60" s="136">
        <v>11.33</v>
      </c>
      <c r="AH60" s="136">
        <v>44.33</v>
      </c>
      <c r="AI60" s="136">
        <v>5.99</v>
      </c>
      <c r="AJ60" s="136">
        <v>5.14</v>
      </c>
      <c r="AK60" s="136">
        <v>0.49</v>
      </c>
      <c r="AL60" s="136">
        <v>3.31</v>
      </c>
      <c r="AM60" s="136">
        <v>81.399999999999991</v>
      </c>
      <c r="AN60" s="131"/>
      <c r="AO60" s="131"/>
      <c r="AP60" s="131"/>
      <c r="AQ60" s="131"/>
      <c r="AR60" s="131"/>
      <c r="AS60" s="131"/>
      <c r="AT60" s="131"/>
      <c r="AU60" s="91"/>
      <c r="AV60" s="91"/>
      <c r="AW60" s="131"/>
      <c r="AX60" s="131"/>
      <c r="AY60" s="131"/>
    </row>
    <row r="61" spans="1:51" ht="15" x14ac:dyDescent="0.25">
      <c r="A61" s="123"/>
      <c r="B61" s="124"/>
      <c r="C61" s="125">
        <v>676767</v>
      </c>
      <c r="D61" s="89"/>
      <c r="E61" s="86" t="s">
        <v>9</v>
      </c>
      <c r="F61" s="86" t="s">
        <v>418</v>
      </c>
      <c r="H61" s="126" t="s">
        <v>51</v>
      </c>
      <c r="I61" s="89">
        <v>1</v>
      </c>
      <c r="J61" s="127">
        <v>27631.7199</v>
      </c>
      <c r="K61" s="127">
        <v>66643.789999999994</v>
      </c>
      <c r="L61" s="127">
        <v>7299.3099999999995</v>
      </c>
      <c r="M61" s="127">
        <v>13495.719900000004</v>
      </c>
      <c r="N61" s="127">
        <v>59167.789999999994</v>
      </c>
      <c r="O61" s="127">
        <v>6687.3099999999995</v>
      </c>
      <c r="P61" s="128">
        <f t="shared" si="0"/>
        <v>0.4884140382445033</v>
      </c>
      <c r="Q61" s="128">
        <f t="shared" si="1"/>
        <v>0.88782150594976661</v>
      </c>
      <c r="R61" s="128">
        <f t="shared" si="2"/>
        <v>0.91615645862417128</v>
      </c>
      <c r="S61" s="129">
        <v>1</v>
      </c>
      <c r="T61" s="129">
        <v>1</v>
      </c>
      <c r="U61" s="129">
        <v>1</v>
      </c>
      <c r="V61" s="138">
        <f t="shared" si="3"/>
        <v>3</v>
      </c>
      <c r="W61" s="138">
        <f t="shared" si="4"/>
        <v>3</v>
      </c>
      <c r="X61" s="138">
        <f t="shared" si="5"/>
        <v>1</v>
      </c>
      <c r="Y61" s="138">
        <f t="shared" si="6"/>
        <v>3</v>
      </c>
      <c r="Z61" s="138">
        <f t="shared" si="7"/>
        <v>3</v>
      </c>
      <c r="AA61" s="138">
        <f t="shared" si="8"/>
        <v>1</v>
      </c>
      <c r="AB61" s="127" t="s">
        <v>32</v>
      </c>
      <c r="AC61" s="127"/>
      <c r="AD61" s="127"/>
      <c r="AE61" s="130"/>
      <c r="AF61" s="136">
        <v>10.81</v>
      </c>
      <c r="AG61" s="136">
        <v>11.33</v>
      </c>
      <c r="AH61" s="136">
        <v>44.33</v>
      </c>
      <c r="AI61" s="136">
        <v>5.99</v>
      </c>
      <c r="AJ61" s="136">
        <v>5.14</v>
      </c>
      <c r="AK61" s="136">
        <v>0.49</v>
      </c>
      <c r="AL61" s="136">
        <v>3.31</v>
      </c>
      <c r="AM61" s="136">
        <v>81.399999999999991</v>
      </c>
      <c r="AN61" s="131"/>
      <c r="AO61" s="131"/>
      <c r="AP61" s="131"/>
      <c r="AQ61" s="131"/>
      <c r="AR61" s="131"/>
      <c r="AS61" s="131"/>
      <c r="AT61" s="131"/>
      <c r="AU61" s="91"/>
      <c r="AV61" s="91"/>
      <c r="AW61" s="131"/>
      <c r="AX61" s="131"/>
      <c r="AY61" s="131"/>
    </row>
    <row r="62" spans="1:51" ht="15" x14ac:dyDescent="0.25">
      <c r="A62" s="123"/>
      <c r="B62" s="124"/>
      <c r="C62" s="125">
        <v>739436</v>
      </c>
      <c r="D62" s="89"/>
      <c r="E62" s="86" t="s">
        <v>9</v>
      </c>
      <c r="F62" s="86" t="s">
        <v>418</v>
      </c>
      <c r="H62" s="126" t="s">
        <v>51</v>
      </c>
      <c r="I62" s="89">
        <v>1</v>
      </c>
      <c r="J62" s="127">
        <v>27631.7199</v>
      </c>
      <c r="K62" s="127">
        <v>66643.789999999994</v>
      </c>
      <c r="L62" s="127">
        <v>7299.3099999999995</v>
      </c>
      <c r="M62" s="127">
        <v>13495.719900000004</v>
      </c>
      <c r="N62" s="127">
        <v>59167.789999999994</v>
      </c>
      <c r="O62" s="127">
        <v>6687.3099999999995</v>
      </c>
      <c r="P62" s="128">
        <f t="shared" si="0"/>
        <v>0.4884140382445033</v>
      </c>
      <c r="Q62" s="128">
        <f t="shared" si="1"/>
        <v>0.88782150594976661</v>
      </c>
      <c r="R62" s="128">
        <f t="shared" si="2"/>
        <v>0.91615645862417128</v>
      </c>
      <c r="S62" s="129">
        <v>1</v>
      </c>
      <c r="T62" s="129">
        <v>1</v>
      </c>
      <c r="U62" s="129">
        <v>1</v>
      </c>
      <c r="V62" s="138">
        <f t="shared" si="3"/>
        <v>3</v>
      </c>
      <c r="W62" s="138">
        <f t="shared" si="4"/>
        <v>3</v>
      </c>
      <c r="X62" s="138">
        <f t="shared" si="5"/>
        <v>1</v>
      </c>
      <c r="Y62" s="138">
        <f t="shared" si="6"/>
        <v>3</v>
      </c>
      <c r="Z62" s="138">
        <f t="shared" si="7"/>
        <v>3</v>
      </c>
      <c r="AA62" s="138">
        <f t="shared" si="8"/>
        <v>1</v>
      </c>
      <c r="AB62" s="127" t="s">
        <v>32</v>
      </c>
      <c r="AC62" s="127"/>
      <c r="AD62" s="127"/>
      <c r="AE62" s="130"/>
      <c r="AF62" s="136">
        <v>10.81</v>
      </c>
      <c r="AG62" s="136">
        <v>11.33</v>
      </c>
      <c r="AH62" s="136">
        <v>44.33</v>
      </c>
      <c r="AI62" s="136">
        <v>5.99</v>
      </c>
      <c r="AJ62" s="136">
        <v>5.14</v>
      </c>
      <c r="AK62" s="136">
        <v>0.49</v>
      </c>
      <c r="AL62" s="136">
        <v>3.31</v>
      </c>
      <c r="AM62" s="136">
        <v>81.399999999999991</v>
      </c>
      <c r="AN62" s="131"/>
      <c r="AO62" s="131"/>
      <c r="AP62" s="131"/>
      <c r="AQ62" s="131"/>
      <c r="AR62" s="131"/>
      <c r="AS62" s="131"/>
      <c r="AT62" s="131"/>
      <c r="AU62" s="91"/>
      <c r="AV62" s="91"/>
      <c r="AW62" s="131"/>
      <c r="AX62" s="131"/>
      <c r="AY62" s="131"/>
    </row>
    <row r="63" spans="1:51" ht="15" x14ac:dyDescent="0.25">
      <c r="A63" s="123"/>
      <c r="B63" s="124"/>
      <c r="C63" s="125">
        <v>758056</v>
      </c>
      <c r="D63" s="89"/>
      <c r="E63" s="86" t="s">
        <v>9</v>
      </c>
      <c r="F63" s="86" t="s">
        <v>418</v>
      </c>
      <c r="H63" s="126" t="s">
        <v>51</v>
      </c>
      <c r="I63" s="89">
        <v>1</v>
      </c>
      <c r="J63" s="127">
        <v>27631.7199</v>
      </c>
      <c r="K63" s="127">
        <v>66643.789999999994</v>
      </c>
      <c r="L63" s="127">
        <v>7299.3099999999995</v>
      </c>
      <c r="M63" s="127">
        <v>13495.719900000004</v>
      </c>
      <c r="N63" s="127">
        <v>59167.789999999994</v>
      </c>
      <c r="O63" s="127">
        <v>6687.3099999999995</v>
      </c>
      <c r="P63" s="128">
        <f t="shared" si="0"/>
        <v>0.4884140382445033</v>
      </c>
      <c r="Q63" s="128">
        <f t="shared" si="1"/>
        <v>0.88782150594976661</v>
      </c>
      <c r="R63" s="128">
        <f t="shared" si="2"/>
        <v>0.91615645862417128</v>
      </c>
      <c r="S63" s="129">
        <v>1</v>
      </c>
      <c r="T63" s="129">
        <v>1</v>
      </c>
      <c r="U63" s="129">
        <v>1</v>
      </c>
      <c r="V63" s="138">
        <f t="shared" si="3"/>
        <v>3</v>
      </c>
      <c r="W63" s="138">
        <f t="shared" si="4"/>
        <v>3</v>
      </c>
      <c r="X63" s="138">
        <f t="shared" si="5"/>
        <v>1</v>
      </c>
      <c r="Y63" s="138">
        <f t="shared" si="6"/>
        <v>3</v>
      </c>
      <c r="Z63" s="138">
        <f t="shared" si="7"/>
        <v>3</v>
      </c>
      <c r="AA63" s="138">
        <f t="shared" si="8"/>
        <v>1</v>
      </c>
      <c r="AB63" s="127" t="s">
        <v>32</v>
      </c>
      <c r="AC63" s="127"/>
      <c r="AD63" s="127"/>
      <c r="AE63" s="130"/>
      <c r="AF63" s="136">
        <v>10.81</v>
      </c>
      <c r="AG63" s="136">
        <v>11.33</v>
      </c>
      <c r="AH63" s="136">
        <v>44.33</v>
      </c>
      <c r="AI63" s="136">
        <v>5.99</v>
      </c>
      <c r="AJ63" s="136">
        <v>5.14</v>
      </c>
      <c r="AK63" s="136">
        <v>0.49</v>
      </c>
      <c r="AL63" s="136">
        <v>3.31</v>
      </c>
      <c r="AM63" s="136">
        <v>81.399999999999991</v>
      </c>
      <c r="AN63" s="131"/>
      <c r="AO63" s="131"/>
      <c r="AP63" s="131"/>
      <c r="AQ63" s="131"/>
      <c r="AR63" s="131"/>
      <c r="AS63" s="131"/>
      <c r="AT63" s="131"/>
      <c r="AU63" s="91"/>
      <c r="AV63" s="91"/>
      <c r="AW63" s="131"/>
      <c r="AX63" s="131"/>
      <c r="AY63" s="131"/>
    </row>
    <row r="64" spans="1:51" ht="15" x14ac:dyDescent="0.25">
      <c r="A64" s="123"/>
      <c r="B64" s="124"/>
      <c r="C64" s="125">
        <v>774968</v>
      </c>
      <c r="D64" s="89"/>
      <c r="E64" s="86" t="s">
        <v>9</v>
      </c>
      <c r="F64" s="86" t="s">
        <v>418</v>
      </c>
      <c r="H64" s="126" t="s">
        <v>51</v>
      </c>
      <c r="I64" s="89">
        <v>1</v>
      </c>
      <c r="J64" s="127">
        <v>27631.7199</v>
      </c>
      <c r="K64" s="127">
        <v>66643.789999999994</v>
      </c>
      <c r="L64" s="127">
        <v>7299.3099999999995</v>
      </c>
      <c r="M64" s="127">
        <v>13495.719900000004</v>
      </c>
      <c r="N64" s="127">
        <v>59167.789999999994</v>
      </c>
      <c r="O64" s="127">
        <v>6687.3099999999995</v>
      </c>
      <c r="P64" s="128">
        <f t="shared" si="0"/>
        <v>0.4884140382445033</v>
      </c>
      <c r="Q64" s="128">
        <f t="shared" si="1"/>
        <v>0.88782150594976661</v>
      </c>
      <c r="R64" s="128">
        <f t="shared" si="2"/>
        <v>0.91615645862417128</v>
      </c>
      <c r="S64" s="129">
        <v>1</v>
      </c>
      <c r="T64" s="129">
        <v>1</v>
      </c>
      <c r="U64" s="129">
        <v>1</v>
      </c>
      <c r="V64" s="138">
        <f t="shared" si="3"/>
        <v>3</v>
      </c>
      <c r="W64" s="138">
        <f t="shared" si="4"/>
        <v>3</v>
      </c>
      <c r="X64" s="138">
        <f t="shared" si="5"/>
        <v>1</v>
      </c>
      <c r="Y64" s="138">
        <f t="shared" si="6"/>
        <v>3</v>
      </c>
      <c r="Z64" s="138">
        <f t="shared" si="7"/>
        <v>3</v>
      </c>
      <c r="AA64" s="138">
        <f t="shared" si="8"/>
        <v>1</v>
      </c>
      <c r="AB64" s="127" t="s">
        <v>32</v>
      </c>
      <c r="AC64" s="127"/>
      <c r="AD64" s="127"/>
      <c r="AE64" s="130"/>
      <c r="AF64" s="136">
        <v>10.81</v>
      </c>
      <c r="AG64" s="136">
        <v>11.33</v>
      </c>
      <c r="AH64" s="136">
        <v>44.33</v>
      </c>
      <c r="AI64" s="136">
        <v>5.99</v>
      </c>
      <c r="AJ64" s="136">
        <v>5.14</v>
      </c>
      <c r="AK64" s="136">
        <v>0.49</v>
      </c>
      <c r="AL64" s="136">
        <v>3.31</v>
      </c>
      <c r="AM64" s="136">
        <v>81.399999999999991</v>
      </c>
      <c r="AN64" s="131"/>
      <c r="AO64" s="131"/>
      <c r="AP64" s="131"/>
      <c r="AQ64" s="131"/>
      <c r="AR64" s="131"/>
      <c r="AS64" s="131"/>
      <c r="AT64" s="131"/>
      <c r="AU64" s="91"/>
      <c r="AV64" s="91"/>
      <c r="AW64" s="131"/>
      <c r="AX64" s="131"/>
      <c r="AY64" s="131"/>
    </row>
    <row r="65" spans="1:51" ht="15" x14ac:dyDescent="0.25">
      <c r="A65" s="123"/>
      <c r="B65" s="124"/>
      <c r="C65" s="125">
        <v>783178</v>
      </c>
      <c r="D65" s="89"/>
      <c r="E65" s="86" t="s">
        <v>9</v>
      </c>
      <c r="F65" s="86" t="s">
        <v>418</v>
      </c>
      <c r="H65" s="126" t="s">
        <v>51</v>
      </c>
      <c r="I65" s="89">
        <v>1</v>
      </c>
      <c r="J65" s="127">
        <v>27631.7199</v>
      </c>
      <c r="K65" s="127">
        <v>66643.789999999994</v>
      </c>
      <c r="L65" s="127">
        <v>7299.3099999999995</v>
      </c>
      <c r="M65" s="127">
        <v>13495.719900000004</v>
      </c>
      <c r="N65" s="127">
        <v>59167.789999999994</v>
      </c>
      <c r="O65" s="127">
        <v>6687.3099999999995</v>
      </c>
      <c r="P65" s="128">
        <f t="shared" si="0"/>
        <v>0.4884140382445033</v>
      </c>
      <c r="Q65" s="128">
        <f t="shared" si="1"/>
        <v>0.88782150594976661</v>
      </c>
      <c r="R65" s="128">
        <f t="shared" si="2"/>
        <v>0.91615645862417128</v>
      </c>
      <c r="S65" s="129">
        <v>1</v>
      </c>
      <c r="T65" s="129">
        <v>1</v>
      </c>
      <c r="U65" s="129">
        <v>1</v>
      </c>
      <c r="V65" s="138">
        <f t="shared" si="3"/>
        <v>3</v>
      </c>
      <c r="W65" s="138">
        <f t="shared" si="4"/>
        <v>3</v>
      </c>
      <c r="X65" s="138">
        <f t="shared" si="5"/>
        <v>1</v>
      </c>
      <c r="Y65" s="138">
        <f t="shared" si="6"/>
        <v>3</v>
      </c>
      <c r="Z65" s="138">
        <f t="shared" si="7"/>
        <v>3</v>
      </c>
      <c r="AA65" s="138">
        <f t="shared" si="8"/>
        <v>1</v>
      </c>
      <c r="AB65" s="127" t="s">
        <v>32</v>
      </c>
      <c r="AC65" s="127"/>
      <c r="AD65" s="127"/>
      <c r="AE65" s="130"/>
      <c r="AF65" s="136">
        <v>10.81</v>
      </c>
      <c r="AG65" s="136">
        <v>11.33</v>
      </c>
      <c r="AH65" s="136">
        <v>44.33</v>
      </c>
      <c r="AI65" s="136">
        <v>5.99</v>
      </c>
      <c r="AJ65" s="136">
        <v>5.14</v>
      </c>
      <c r="AK65" s="136">
        <v>0.49</v>
      </c>
      <c r="AL65" s="136">
        <v>3.31</v>
      </c>
      <c r="AM65" s="136">
        <v>81.399999999999991</v>
      </c>
      <c r="AN65" s="131"/>
      <c r="AO65" s="131"/>
      <c r="AP65" s="131"/>
      <c r="AQ65" s="131"/>
      <c r="AR65" s="131"/>
      <c r="AS65" s="131"/>
      <c r="AT65" s="131"/>
      <c r="AU65" s="91"/>
      <c r="AV65" s="91"/>
      <c r="AW65" s="131"/>
      <c r="AX65" s="131"/>
      <c r="AY65" s="131"/>
    </row>
    <row r="66" spans="1:51" ht="15" x14ac:dyDescent="0.25">
      <c r="A66" s="123"/>
      <c r="B66" s="124"/>
      <c r="C66" s="125">
        <v>793481</v>
      </c>
      <c r="D66" s="89"/>
      <c r="E66" s="86" t="s">
        <v>9</v>
      </c>
      <c r="F66" s="86" t="s">
        <v>418</v>
      </c>
      <c r="H66" s="126" t="s">
        <v>51</v>
      </c>
      <c r="I66" s="89">
        <v>1</v>
      </c>
      <c r="J66" s="127">
        <v>27631.7199</v>
      </c>
      <c r="K66" s="127">
        <v>66643.789999999994</v>
      </c>
      <c r="L66" s="127">
        <v>7299.3099999999995</v>
      </c>
      <c r="M66" s="127">
        <v>13495.719900000004</v>
      </c>
      <c r="N66" s="127">
        <v>59167.789999999994</v>
      </c>
      <c r="O66" s="127">
        <v>6687.3099999999995</v>
      </c>
      <c r="P66" s="128">
        <f t="shared" si="0"/>
        <v>0.4884140382445033</v>
      </c>
      <c r="Q66" s="128">
        <f t="shared" si="1"/>
        <v>0.88782150594976661</v>
      </c>
      <c r="R66" s="128">
        <f t="shared" si="2"/>
        <v>0.91615645862417128</v>
      </c>
      <c r="S66" s="129">
        <v>1</v>
      </c>
      <c r="T66" s="129">
        <v>1</v>
      </c>
      <c r="U66" s="129">
        <v>1</v>
      </c>
      <c r="V66" s="138">
        <f t="shared" si="3"/>
        <v>3</v>
      </c>
      <c r="W66" s="138">
        <f t="shared" si="4"/>
        <v>3</v>
      </c>
      <c r="X66" s="138">
        <f t="shared" si="5"/>
        <v>1</v>
      </c>
      <c r="Y66" s="138">
        <f t="shared" si="6"/>
        <v>3</v>
      </c>
      <c r="Z66" s="138">
        <f t="shared" si="7"/>
        <v>3</v>
      </c>
      <c r="AA66" s="138">
        <f t="shared" si="8"/>
        <v>1</v>
      </c>
      <c r="AB66" s="127" t="s">
        <v>32</v>
      </c>
      <c r="AC66" s="127"/>
      <c r="AD66" s="127"/>
      <c r="AE66" s="130"/>
      <c r="AF66" s="136">
        <v>10.81</v>
      </c>
      <c r="AG66" s="136">
        <v>11.33</v>
      </c>
      <c r="AH66" s="136">
        <v>44.33</v>
      </c>
      <c r="AI66" s="136">
        <v>5.99</v>
      </c>
      <c r="AJ66" s="136">
        <v>5.14</v>
      </c>
      <c r="AK66" s="136">
        <v>0.49</v>
      </c>
      <c r="AL66" s="136">
        <v>3.31</v>
      </c>
      <c r="AM66" s="136">
        <v>81.399999999999991</v>
      </c>
      <c r="AN66" s="131"/>
      <c r="AO66" s="131"/>
      <c r="AP66" s="131"/>
      <c r="AQ66" s="131"/>
      <c r="AR66" s="131"/>
      <c r="AS66" s="131"/>
      <c r="AT66" s="131"/>
      <c r="AU66" s="91"/>
      <c r="AV66" s="91"/>
      <c r="AW66" s="131"/>
      <c r="AX66" s="131"/>
      <c r="AY66" s="131"/>
    </row>
    <row r="67" spans="1:51" ht="15" x14ac:dyDescent="0.25">
      <c r="A67" s="123"/>
      <c r="B67" s="124"/>
      <c r="C67" s="125">
        <v>811790</v>
      </c>
      <c r="D67" s="89"/>
      <c r="E67" s="86" t="s">
        <v>9</v>
      </c>
      <c r="F67" s="86" t="s">
        <v>418</v>
      </c>
      <c r="H67" s="126" t="s">
        <v>51</v>
      </c>
      <c r="I67" s="89">
        <v>1</v>
      </c>
      <c r="J67" s="127">
        <v>27631.7199</v>
      </c>
      <c r="K67" s="127">
        <v>66643.789999999994</v>
      </c>
      <c r="L67" s="127">
        <v>7299.3099999999995</v>
      </c>
      <c r="M67" s="127">
        <v>13495.719900000004</v>
      </c>
      <c r="N67" s="127">
        <v>59167.789999999994</v>
      </c>
      <c r="O67" s="127">
        <v>6687.3099999999995</v>
      </c>
      <c r="P67" s="128">
        <f t="shared" si="0"/>
        <v>0.4884140382445033</v>
      </c>
      <c r="Q67" s="128">
        <f t="shared" si="1"/>
        <v>0.88782150594976661</v>
      </c>
      <c r="R67" s="128">
        <f t="shared" si="2"/>
        <v>0.91615645862417128</v>
      </c>
      <c r="S67" s="129">
        <v>1</v>
      </c>
      <c r="T67" s="129">
        <v>1</v>
      </c>
      <c r="U67" s="129">
        <v>1</v>
      </c>
      <c r="V67" s="138">
        <f t="shared" si="3"/>
        <v>3</v>
      </c>
      <c r="W67" s="138">
        <f t="shared" si="4"/>
        <v>3</v>
      </c>
      <c r="X67" s="138">
        <f t="shared" si="5"/>
        <v>1</v>
      </c>
      <c r="Y67" s="138">
        <f t="shared" si="6"/>
        <v>3</v>
      </c>
      <c r="Z67" s="138">
        <f t="shared" si="7"/>
        <v>3</v>
      </c>
      <c r="AA67" s="138">
        <f t="shared" si="8"/>
        <v>1</v>
      </c>
      <c r="AB67" s="127" t="s">
        <v>32</v>
      </c>
      <c r="AC67" s="127"/>
      <c r="AD67" s="127"/>
      <c r="AE67" s="130"/>
      <c r="AF67" s="136">
        <v>10.81</v>
      </c>
      <c r="AG67" s="136">
        <v>11.33</v>
      </c>
      <c r="AH67" s="136">
        <v>44.33</v>
      </c>
      <c r="AI67" s="136">
        <v>5.99</v>
      </c>
      <c r="AJ67" s="136">
        <v>5.14</v>
      </c>
      <c r="AK67" s="136">
        <v>0.49</v>
      </c>
      <c r="AL67" s="136">
        <v>3.31</v>
      </c>
      <c r="AM67" s="136">
        <v>81.399999999999991</v>
      </c>
      <c r="AN67" s="131"/>
      <c r="AO67" s="131"/>
      <c r="AP67" s="131"/>
      <c r="AQ67" s="131"/>
      <c r="AR67" s="131"/>
      <c r="AS67" s="131"/>
      <c r="AT67" s="131"/>
      <c r="AU67" s="91"/>
      <c r="AV67" s="91"/>
      <c r="AW67" s="131"/>
      <c r="AX67" s="131"/>
      <c r="AY67" s="131"/>
    </row>
    <row r="68" spans="1:51" ht="15" x14ac:dyDescent="0.25">
      <c r="A68" s="123"/>
      <c r="B68" s="124"/>
      <c r="C68" s="125">
        <v>819128</v>
      </c>
      <c r="D68" s="89"/>
      <c r="E68" s="86" t="s">
        <v>9</v>
      </c>
      <c r="F68" s="86" t="s">
        <v>418</v>
      </c>
      <c r="H68" s="126" t="s">
        <v>51</v>
      </c>
      <c r="I68" s="89">
        <v>1</v>
      </c>
      <c r="J68" s="127">
        <v>27631.7199</v>
      </c>
      <c r="K68" s="127">
        <v>66643.789999999994</v>
      </c>
      <c r="L68" s="127">
        <v>7299.3099999999995</v>
      </c>
      <c r="M68" s="127">
        <v>13495.719900000004</v>
      </c>
      <c r="N68" s="127">
        <v>59167.789999999994</v>
      </c>
      <c r="O68" s="127">
        <v>6687.3099999999995</v>
      </c>
      <c r="P68" s="128">
        <f t="shared" si="0"/>
        <v>0.4884140382445033</v>
      </c>
      <c r="Q68" s="128">
        <f t="shared" si="1"/>
        <v>0.88782150594976661</v>
      </c>
      <c r="R68" s="128">
        <f t="shared" si="2"/>
        <v>0.91615645862417128</v>
      </c>
      <c r="S68" s="129">
        <v>1</v>
      </c>
      <c r="T68" s="129">
        <v>1</v>
      </c>
      <c r="U68" s="129">
        <v>1</v>
      </c>
      <c r="V68" s="138">
        <f t="shared" si="3"/>
        <v>3</v>
      </c>
      <c r="W68" s="138">
        <f t="shared" si="4"/>
        <v>3</v>
      </c>
      <c r="X68" s="138">
        <f t="shared" si="5"/>
        <v>1</v>
      </c>
      <c r="Y68" s="138">
        <f t="shared" si="6"/>
        <v>3</v>
      </c>
      <c r="Z68" s="138">
        <f t="shared" si="7"/>
        <v>3</v>
      </c>
      <c r="AA68" s="138">
        <f t="shared" si="8"/>
        <v>1</v>
      </c>
      <c r="AB68" s="127" t="s">
        <v>32</v>
      </c>
      <c r="AC68" s="127"/>
      <c r="AD68" s="127"/>
      <c r="AE68" s="130"/>
      <c r="AF68" s="136">
        <v>10.81</v>
      </c>
      <c r="AG68" s="136">
        <v>11.33</v>
      </c>
      <c r="AH68" s="136">
        <v>44.33</v>
      </c>
      <c r="AI68" s="136">
        <v>5.99</v>
      </c>
      <c r="AJ68" s="136">
        <v>5.14</v>
      </c>
      <c r="AK68" s="136">
        <v>0.49</v>
      </c>
      <c r="AL68" s="136">
        <v>3.31</v>
      </c>
      <c r="AM68" s="136">
        <v>81.399999999999991</v>
      </c>
      <c r="AN68" s="131"/>
      <c r="AO68" s="131"/>
      <c r="AP68" s="131"/>
      <c r="AQ68" s="131"/>
      <c r="AR68" s="131"/>
      <c r="AS68" s="131"/>
      <c r="AT68" s="131"/>
      <c r="AU68" s="91"/>
      <c r="AV68" s="91"/>
      <c r="AW68" s="131"/>
      <c r="AX68" s="131"/>
      <c r="AY68" s="131"/>
    </row>
    <row r="69" spans="1:51" ht="15" x14ac:dyDescent="0.25">
      <c r="A69" s="123"/>
      <c r="B69" s="124"/>
      <c r="C69" s="125">
        <v>886480</v>
      </c>
      <c r="D69" s="89"/>
      <c r="E69" s="86" t="s">
        <v>9</v>
      </c>
      <c r="F69" s="86" t="s">
        <v>418</v>
      </c>
      <c r="H69" s="126" t="s">
        <v>51</v>
      </c>
      <c r="I69" s="89">
        <v>1</v>
      </c>
      <c r="J69" s="127">
        <v>27631.7199</v>
      </c>
      <c r="K69" s="127">
        <v>66643.789999999994</v>
      </c>
      <c r="L69" s="127">
        <v>7299.3099999999995</v>
      </c>
      <c r="M69" s="127">
        <v>13495.719900000004</v>
      </c>
      <c r="N69" s="127">
        <v>59167.789999999994</v>
      </c>
      <c r="O69" s="127">
        <v>6687.3099999999995</v>
      </c>
      <c r="P69" s="128">
        <f t="shared" si="0"/>
        <v>0.4884140382445033</v>
      </c>
      <c r="Q69" s="128">
        <f t="shared" si="1"/>
        <v>0.88782150594976661</v>
      </c>
      <c r="R69" s="128">
        <f t="shared" si="2"/>
        <v>0.91615645862417128</v>
      </c>
      <c r="S69" s="129">
        <v>1</v>
      </c>
      <c r="T69" s="129">
        <v>1</v>
      </c>
      <c r="U69" s="129">
        <v>1</v>
      </c>
      <c r="V69" s="138">
        <f t="shared" si="3"/>
        <v>3</v>
      </c>
      <c r="W69" s="138">
        <f t="shared" si="4"/>
        <v>3</v>
      </c>
      <c r="X69" s="138">
        <f t="shared" si="5"/>
        <v>1</v>
      </c>
      <c r="Y69" s="138">
        <f t="shared" si="6"/>
        <v>3</v>
      </c>
      <c r="Z69" s="138">
        <f t="shared" si="7"/>
        <v>3</v>
      </c>
      <c r="AA69" s="138">
        <f t="shared" si="8"/>
        <v>1</v>
      </c>
      <c r="AB69" s="127" t="s">
        <v>32</v>
      </c>
      <c r="AC69" s="127"/>
      <c r="AD69" s="127"/>
      <c r="AE69" s="130"/>
      <c r="AF69" s="136">
        <v>10.81</v>
      </c>
      <c r="AG69" s="136">
        <v>11.33</v>
      </c>
      <c r="AH69" s="136">
        <v>44.33</v>
      </c>
      <c r="AI69" s="136">
        <v>5.99</v>
      </c>
      <c r="AJ69" s="136">
        <v>5.14</v>
      </c>
      <c r="AK69" s="136">
        <v>0.49</v>
      </c>
      <c r="AL69" s="136">
        <v>3.31</v>
      </c>
      <c r="AM69" s="136">
        <v>81.399999999999991</v>
      </c>
      <c r="AN69" s="131"/>
      <c r="AO69" s="131"/>
      <c r="AP69" s="131"/>
      <c r="AQ69" s="131"/>
      <c r="AR69" s="131"/>
      <c r="AS69" s="131"/>
      <c r="AT69" s="131"/>
      <c r="AU69" s="91"/>
      <c r="AV69" s="91"/>
      <c r="AW69" s="131"/>
      <c r="AX69" s="131"/>
      <c r="AY69" s="131"/>
    </row>
    <row r="70" spans="1:51" ht="15" x14ac:dyDescent="0.25">
      <c r="A70" s="123"/>
      <c r="B70" s="124"/>
      <c r="C70" s="125">
        <v>918418</v>
      </c>
      <c r="D70" s="89"/>
      <c r="E70" s="86" t="s">
        <v>9</v>
      </c>
      <c r="F70" s="86" t="s">
        <v>418</v>
      </c>
      <c r="H70" s="126" t="s">
        <v>51</v>
      </c>
      <c r="I70" s="89">
        <v>1</v>
      </c>
      <c r="J70" s="127">
        <v>27631.7199</v>
      </c>
      <c r="K70" s="127">
        <v>66643.789999999994</v>
      </c>
      <c r="L70" s="127">
        <v>7299.3099999999995</v>
      </c>
      <c r="M70" s="127">
        <v>13495.719900000004</v>
      </c>
      <c r="N70" s="127">
        <v>59167.789999999994</v>
      </c>
      <c r="O70" s="127">
        <v>6687.3099999999995</v>
      </c>
      <c r="P70" s="128">
        <f t="shared" ref="P70:P133" si="9">M70/J70</f>
        <v>0.4884140382445033</v>
      </c>
      <c r="Q70" s="128">
        <f t="shared" ref="Q70:Q133" si="10">N70/K70</f>
        <v>0.88782150594976661</v>
      </c>
      <c r="R70" s="128">
        <f t="shared" ref="R70:R133" si="11">O70/L70</f>
        <v>0.91615645862417128</v>
      </c>
      <c r="S70" s="129">
        <v>1</v>
      </c>
      <c r="T70" s="129">
        <v>1</v>
      </c>
      <c r="U70" s="129">
        <v>1</v>
      </c>
      <c r="V70" s="138">
        <f t="shared" ref="V70:V133" si="12">I70+2</f>
        <v>3</v>
      </c>
      <c r="W70" s="138">
        <f t="shared" ref="W70:W133" si="13">I70+2</f>
        <v>3</v>
      </c>
      <c r="X70" s="138">
        <f t="shared" ref="X70:X133" si="14">I70</f>
        <v>1</v>
      </c>
      <c r="Y70" s="138">
        <f t="shared" ref="Y70:Y133" si="15">IF(S70=0,0,V70)</f>
        <v>3</v>
      </c>
      <c r="Z70" s="138">
        <f t="shared" ref="Z70:Z133" si="16">IF(T70=0,0,W70)</f>
        <v>3</v>
      </c>
      <c r="AA70" s="138">
        <f t="shared" ref="AA70:AA133" si="17">IF(U70=0,0,1)</f>
        <v>1</v>
      </c>
      <c r="AB70" s="127" t="s">
        <v>32</v>
      </c>
      <c r="AC70" s="127"/>
      <c r="AD70" s="127"/>
      <c r="AE70" s="130"/>
      <c r="AF70" s="136">
        <v>10.81</v>
      </c>
      <c r="AG70" s="136">
        <v>11.33</v>
      </c>
      <c r="AH70" s="136">
        <v>44.33</v>
      </c>
      <c r="AI70" s="136">
        <v>5.99</v>
      </c>
      <c r="AJ70" s="136">
        <v>5.14</v>
      </c>
      <c r="AK70" s="136">
        <v>0.49</v>
      </c>
      <c r="AL70" s="136">
        <v>3.31</v>
      </c>
      <c r="AM70" s="136">
        <v>81.399999999999991</v>
      </c>
      <c r="AN70" s="131"/>
      <c r="AO70" s="131"/>
      <c r="AP70" s="131"/>
      <c r="AQ70" s="131"/>
      <c r="AR70" s="131"/>
      <c r="AS70" s="131"/>
      <c r="AT70" s="131"/>
      <c r="AU70" s="91"/>
      <c r="AV70" s="91"/>
      <c r="AW70" s="131"/>
      <c r="AX70" s="131"/>
      <c r="AY70" s="131"/>
    </row>
    <row r="71" spans="1:51" ht="15" x14ac:dyDescent="0.25">
      <c r="A71" s="123"/>
      <c r="B71" s="124"/>
      <c r="C71" s="125">
        <v>147</v>
      </c>
      <c r="D71" s="89"/>
      <c r="E71" s="86" t="s">
        <v>19</v>
      </c>
      <c r="F71" s="86" t="s">
        <v>418</v>
      </c>
      <c r="H71" s="126" t="s">
        <v>51</v>
      </c>
      <c r="I71" s="89">
        <v>1</v>
      </c>
      <c r="J71" s="127">
        <v>13251.3999</v>
      </c>
      <c r="K71" s="127">
        <v>65777.34</v>
      </c>
      <c r="L71" s="127">
        <v>821.81999999999994</v>
      </c>
      <c r="M71" s="127">
        <v>0</v>
      </c>
      <c r="N71" s="127">
        <v>56743.839999999997</v>
      </c>
      <c r="O71" s="127">
        <v>0</v>
      </c>
      <c r="P71" s="128">
        <f t="shared" si="9"/>
        <v>0</v>
      </c>
      <c r="Q71" s="128">
        <f t="shared" si="10"/>
        <v>0.86266547111816927</v>
      </c>
      <c r="R71" s="128">
        <f t="shared" si="11"/>
        <v>0</v>
      </c>
      <c r="S71" s="129">
        <v>0</v>
      </c>
      <c r="T71" s="129">
        <v>1</v>
      </c>
      <c r="U71" s="129">
        <v>0</v>
      </c>
      <c r="V71" s="138">
        <f t="shared" si="12"/>
        <v>3</v>
      </c>
      <c r="W71" s="138">
        <f t="shared" si="13"/>
        <v>3</v>
      </c>
      <c r="X71" s="138">
        <f t="shared" si="14"/>
        <v>1</v>
      </c>
      <c r="Y71" s="138">
        <f t="shared" si="15"/>
        <v>0</v>
      </c>
      <c r="Z71" s="138">
        <f t="shared" si="16"/>
        <v>3</v>
      </c>
      <c r="AA71" s="138">
        <f t="shared" si="17"/>
        <v>0</v>
      </c>
      <c r="AB71" s="127" t="s">
        <v>32</v>
      </c>
      <c r="AC71" s="127"/>
      <c r="AD71" s="127"/>
      <c r="AE71" s="130"/>
      <c r="AF71" s="136">
        <v>0</v>
      </c>
      <c r="AG71" s="136">
        <v>11.33</v>
      </c>
      <c r="AH71" s="136">
        <v>37.630000000000003</v>
      </c>
      <c r="AI71" s="136">
        <v>5.99</v>
      </c>
      <c r="AJ71" s="136">
        <v>0</v>
      </c>
      <c r="AK71" s="136">
        <v>0.49</v>
      </c>
      <c r="AL71" s="136">
        <v>3.31</v>
      </c>
      <c r="AM71" s="136">
        <v>58.750000000000007</v>
      </c>
      <c r="AN71" s="131"/>
      <c r="AO71" s="131"/>
      <c r="AP71" s="131"/>
      <c r="AQ71" s="131"/>
      <c r="AR71" s="131"/>
      <c r="AS71" s="131"/>
      <c r="AT71" s="131"/>
      <c r="AU71" s="91"/>
      <c r="AV71" s="91"/>
      <c r="AW71" s="131"/>
      <c r="AX71" s="131"/>
      <c r="AY71" s="131"/>
    </row>
    <row r="72" spans="1:51" ht="15" x14ac:dyDescent="0.25">
      <c r="A72" s="123"/>
      <c r="B72" s="124"/>
      <c r="C72" s="125">
        <v>14685</v>
      </c>
      <c r="D72" s="89"/>
      <c r="E72" s="86" t="s">
        <v>19</v>
      </c>
      <c r="F72" s="86" t="s">
        <v>418</v>
      </c>
      <c r="H72" s="126" t="s">
        <v>51</v>
      </c>
      <c r="I72" s="89">
        <v>1</v>
      </c>
      <c r="J72" s="127">
        <v>13251.3999</v>
      </c>
      <c r="K72" s="127">
        <v>65777.34</v>
      </c>
      <c r="L72" s="127">
        <v>821.81999999999994</v>
      </c>
      <c r="M72" s="127">
        <v>0</v>
      </c>
      <c r="N72" s="127">
        <v>56743.839999999997</v>
      </c>
      <c r="O72" s="127">
        <v>0</v>
      </c>
      <c r="P72" s="128">
        <f t="shared" si="9"/>
        <v>0</v>
      </c>
      <c r="Q72" s="128">
        <f t="shared" si="10"/>
        <v>0.86266547111816927</v>
      </c>
      <c r="R72" s="128">
        <f t="shared" si="11"/>
        <v>0</v>
      </c>
      <c r="S72" s="129">
        <v>0</v>
      </c>
      <c r="T72" s="129">
        <v>1</v>
      </c>
      <c r="U72" s="129">
        <v>0</v>
      </c>
      <c r="V72" s="138">
        <f t="shared" si="12"/>
        <v>3</v>
      </c>
      <c r="W72" s="138">
        <f t="shared" si="13"/>
        <v>3</v>
      </c>
      <c r="X72" s="138">
        <f t="shared" si="14"/>
        <v>1</v>
      </c>
      <c r="Y72" s="138">
        <f t="shared" si="15"/>
        <v>0</v>
      </c>
      <c r="Z72" s="138">
        <f t="shared" si="16"/>
        <v>3</v>
      </c>
      <c r="AA72" s="138">
        <f t="shared" si="17"/>
        <v>0</v>
      </c>
      <c r="AB72" s="127" t="s">
        <v>32</v>
      </c>
      <c r="AC72" s="127"/>
      <c r="AD72" s="127"/>
      <c r="AE72" s="130"/>
      <c r="AF72" s="136">
        <v>0</v>
      </c>
      <c r="AG72" s="136">
        <v>11.33</v>
      </c>
      <c r="AH72" s="136">
        <v>37.630000000000003</v>
      </c>
      <c r="AI72" s="136">
        <v>5.99</v>
      </c>
      <c r="AJ72" s="136">
        <v>0</v>
      </c>
      <c r="AK72" s="136">
        <v>0.49</v>
      </c>
      <c r="AL72" s="136">
        <v>3.31</v>
      </c>
      <c r="AM72" s="136">
        <v>58.750000000000007</v>
      </c>
      <c r="AN72" s="131"/>
      <c r="AO72" s="131"/>
      <c r="AP72" s="131"/>
      <c r="AQ72" s="131"/>
      <c r="AR72" s="131"/>
      <c r="AS72" s="131"/>
      <c r="AT72" s="131"/>
      <c r="AU72" s="91"/>
      <c r="AV72" s="91"/>
      <c r="AW72" s="131"/>
      <c r="AX72" s="131"/>
      <c r="AY72" s="131"/>
    </row>
    <row r="73" spans="1:51" ht="15" x14ac:dyDescent="0.25">
      <c r="A73" s="123"/>
      <c r="B73" s="124"/>
      <c r="C73" s="125">
        <v>176030</v>
      </c>
      <c r="D73" s="89"/>
      <c r="E73" s="86" t="s">
        <v>19</v>
      </c>
      <c r="F73" s="86" t="s">
        <v>418</v>
      </c>
      <c r="H73" s="126" t="s">
        <v>51</v>
      </c>
      <c r="I73" s="89">
        <v>1</v>
      </c>
      <c r="J73" s="127">
        <v>13251.3999</v>
      </c>
      <c r="K73" s="127">
        <v>65777.34</v>
      </c>
      <c r="L73" s="127">
        <v>821.81999999999994</v>
      </c>
      <c r="M73" s="127">
        <v>0</v>
      </c>
      <c r="N73" s="127">
        <v>56743.839999999997</v>
      </c>
      <c r="O73" s="127">
        <v>0</v>
      </c>
      <c r="P73" s="128">
        <f t="shared" si="9"/>
        <v>0</v>
      </c>
      <c r="Q73" s="128">
        <f t="shared" si="10"/>
        <v>0.86266547111816927</v>
      </c>
      <c r="R73" s="128">
        <f t="shared" si="11"/>
        <v>0</v>
      </c>
      <c r="S73" s="129">
        <v>0</v>
      </c>
      <c r="T73" s="129">
        <v>1</v>
      </c>
      <c r="U73" s="129">
        <v>0</v>
      </c>
      <c r="V73" s="138">
        <f t="shared" si="12"/>
        <v>3</v>
      </c>
      <c r="W73" s="138">
        <f t="shared" si="13"/>
        <v>3</v>
      </c>
      <c r="X73" s="138">
        <f t="shared" si="14"/>
        <v>1</v>
      </c>
      <c r="Y73" s="138">
        <f t="shared" si="15"/>
        <v>0</v>
      </c>
      <c r="Z73" s="138">
        <f t="shared" si="16"/>
        <v>3</v>
      </c>
      <c r="AA73" s="138">
        <f t="shared" si="17"/>
        <v>0</v>
      </c>
      <c r="AB73" s="127" t="s">
        <v>32</v>
      </c>
      <c r="AC73" s="127"/>
      <c r="AD73" s="127"/>
      <c r="AE73" s="130"/>
      <c r="AF73" s="136">
        <v>0</v>
      </c>
      <c r="AG73" s="136">
        <v>11.33</v>
      </c>
      <c r="AH73" s="136">
        <v>37.630000000000003</v>
      </c>
      <c r="AI73" s="136">
        <v>5.99</v>
      </c>
      <c r="AJ73" s="136">
        <v>0</v>
      </c>
      <c r="AK73" s="136">
        <v>0.49</v>
      </c>
      <c r="AL73" s="136">
        <v>3.31</v>
      </c>
      <c r="AM73" s="136">
        <v>58.750000000000007</v>
      </c>
      <c r="AN73" s="131"/>
      <c r="AO73" s="131"/>
      <c r="AP73" s="131"/>
      <c r="AQ73" s="131"/>
      <c r="AR73" s="131"/>
      <c r="AS73" s="131"/>
      <c r="AT73" s="131"/>
      <c r="AU73" s="91"/>
      <c r="AV73" s="91"/>
      <c r="AW73" s="131"/>
      <c r="AX73" s="131"/>
      <c r="AY73" s="131"/>
    </row>
    <row r="74" spans="1:51" ht="15" x14ac:dyDescent="0.25">
      <c r="A74" s="123"/>
      <c r="B74" s="124"/>
      <c r="C74" s="125">
        <v>179028</v>
      </c>
      <c r="D74" s="89"/>
      <c r="E74" s="86" t="s">
        <v>19</v>
      </c>
      <c r="F74" s="86" t="s">
        <v>418</v>
      </c>
      <c r="H74" s="126" t="s">
        <v>51</v>
      </c>
      <c r="I74" s="89">
        <v>1</v>
      </c>
      <c r="J74" s="127">
        <v>13251.3999</v>
      </c>
      <c r="K74" s="127">
        <v>65777.34</v>
      </c>
      <c r="L74" s="127">
        <v>821.81999999999994</v>
      </c>
      <c r="M74" s="127">
        <v>0</v>
      </c>
      <c r="N74" s="127">
        <v>56743.839999999997</v>
      </c>
      <c r="O74" s="127">
        <v>0</v>
      </c>
      <c r="P74" s="128">
        <f t="shared" si="9"/>
        <v>0</v>
      </c>
      <c r="Q74" s="128">
        <f t="shared" si="10"/>
        <v>0.86266547111816927</v>
      </c>
      <c r="R74" s="128">
        <f t="shared" si="11"/>
        <v>0</v>
      </c>
      <c r="S74" s="129">
        <v>0</v>
      </c>
      <c r="T74" s="129">
        <v>1</v>
      </c>
      <c r="U74" s="129">
        <v>0</v>
      </c>
      <c r="V74" s="138">
        <f t="shared" si="12"/>
        <v>3</v>
      </c>
      <c r="W74" s="138">
        <f t="shared" si="13"/>
        <v>3</v>
      </c>
      <c r="X74" s="138">
        <f t="shared" si="14"/>
        <v>1</v>
      </c>
      <c r="Y74" s="138">
        <f t="shared" si="15"/>
        <v>0</v>
      </c>
      <c r="Z74" s="138">
        <f t="shared" si="16"/>
        <v>3</v>
      </c>
      <c r="AA74" s="138">
        <f t="shared" si="17"/>
        <v>0</v>
      </c>
      <c r="AB74" s="127" t="s">
        <v>32</v>
      </c>
      <c r="AC74" s="127"/>
      <c r="AD74" s="127"/>
      <c r="AE74" s="130"/>
      <c r="AF74" s="136">
        <v>0</v>
      </c>
      <c r="AG74" s="136">
        <v>11.33</v>
      </c>
      <c r="AH74" s="136">
        <v>37.630000000000003</v>
      </c>
      <c r="AI74" s="136">
        <v>5.99</v>
      </c>
      <c r="AJ74" s="136">
        <v>0</v>
      </c>
      <c r="AK74" s="136">
        <v>0.49</v>
      </c>
      <c r="AL74" s="136">
        <v>3.31</v>
      </c>
      <c r="AM74" s="136">
        <v>58.750000000000007</v>
      </c>
      <c r="AN74" s="131"/>
      <c r="AO74" s="131"/>
      <c r="AP74" s="131"/>
      <c r="AQ74" s="131"/>
      <c r="AR74" s="131"/>
      <c r="AS74" s="131"/>
      <c r="AT74" s="131"/>
      <c r="AU74" s="91"/>
      <c r="AV74" s="91"/>
      <c r="AW74" s="131"/>
      <c r="AX74" s="131"/>
      <c r="AY74" s="131"/>
    </row>
    <row r="75" spans="1:51" ht="15" x14ac:dyDescent="0.25">
      <c r="A75" s="123"/>
      <c r="B75" s="124"/>
      <c r="C75" s="125">
        <v>223263</v>
      </c>
      <c r="D75" s="89"/>
      <c r="E75" s="86" t="s">
        <v>19</v>
      </c>
      <c r="F75" s="86" t="s">
        <v>418</v>
      </c>
      <c r="H75" s="126" t="s">
        <v>51</v>
      </c>
      <c r="I75" s="89">
        <v>1</v>
      </c>
      <c r="J75" s="127">
        <v>13251.3999</v>
      </c>
      <c r="K75" s="127">
        <v>65777.34</v>
      </c>
      <c r="L75" s="127">
        <v>821.81999999999994</v>
      </c>
      <c r="M75" s="127">
        <v>0</v>
      </c>
      <c r="N75" s="127">
        <v>56743.839999999997</v>
      </c>
      <c r="O75" s="127">
        <v>0</v>
      </c>
      <c r="P75" s="128">
        <f t="shared" si="9"/>
        <v>0</v>
      </c>
      <c r="Q75" s="128">
        <f t="shared" si="10"/>
        <v>0.86266547111816927</v>
      </c>
      <c r="R75" s="128">
        <f t="shared" si="11"/>
        <v>0</v>
      </c>
      <c r="S75" s="129">
        <v>0</v>
      </c>
      <c r="T75" s="129">
        <v>1</v>
      </c>
      <c r="U75" s="129">
        <v>0</v>
      </c>
      <c r="V75" s="138">
        <f t="shared" si="12"/>
        <v>3</v>
      </c>
      <c r="W75" s="138">
        <f t="shared" si="13"/>
        <v>3</v>
      </c>
      <c r="X75" s="138">
        <f t="shared" si="14"/>
        <v>1</v>
      </c>
      <c r="Y75" s="138">
        <f t="shared" si="15"/>
        <v>0</v>
      </c>
      <c r="Z75" s="138">
        <f t="shared" si="16"/>
        <v>3</v>
      </c>
      <c r="AA75" s="138">
        <f t="shared" si="17"/>
        <v>0</v>
      </c>
      <c r="AB75" s="127" t="s">
        <v>32</v>
      </c>
      <c r="AC75" s="127"/>
      <c r="AD75" s="127"/>
      <c r="AE75" s="130"/>
      <c r="AF75" s="136">
        <v>0</v>
      </c>
      <c r="AG75" s="136">
        <v>11.33</v>
      </c>
      <c r="AH75" s="136">
        <v>37.630000000000003</v>
      </c>
      <c r="AI75" s="136">
        <v>5.99</v>
      </c>
      <c r="AJ75" s="136">
        <v>0</v>
      </c>
      <c r="AK75" s="136">
        <v>0.49</v>
      </c>
      <c r="AL75" s="136">
        <v>3.31</v>
      </c>
      <c r="AM75" s="136">
        <v>58.750000000000007</v>
      </c>
      <c r="AN75" s="131"/>
      <c r="AO75" s="131"/>
      <c r="AP75" s="131"/>
      <c r="AQ75" s="131"/>
      <c r="AR75" s="131"/>
      <c r="AS75" s="131"/>
      <c r="AT75" s="131"/>
      <c r="AU75" s="91"/>
      <c r="AV75" s="91"/>
      <c r="AW75" s="131"/>
      <c r="AX75" s="131"/>
      <c r="AY75" s="131"/>
    </row>
    <row r="76" spans="1:51" ht="15" x14ac:dyDescent="0.25">
      <c r="A76" s="123"/>
      <c r="B76" s="124"/>
      <c r="C76" s="125">
        <v>234780</v>
      </c>
      <c r="D76" s="89"/>
      <c r="E76" s="86" t="s">
        <v>19</v>
      </c>
      <c r="F76" s="86" t="s">
        <v>418</v>
      </c>
      <c r="H76" s="126" t="s">
        <v>51</v>
      </c>
      <c r="I76" s="89">
        <v>1</v>
      </c>
      <c r="J76" s="127">
        <v>13251.3999</v>
      </c>
      <c r="K76" s="127">
        <v>65777.34</v>
      </c>
      <c r="L76" s="127">
        <v>821.81999999999994</v>
      </c>
      <c r="M76" s="127">
        <v>0</v>
      </c>
      <c r="N76" s="127">
        <v>56743.839999999997</v>
      </c>
      <c r="O76" s="127">
        <v>0</v>
      </c>
      <c r="P76" s="128">
        <f t="shared" si="9"/>
        <v>0</v>
      </c>
      <c r="Q76" s="128">
        <f t="shared" si="10"/>
        <v>0.86266547111816927</v>
      </c>
      <c r="R76" s="128">
        <f t="shared" si="11"/>
        <v>0</v>
      </c>
      <c r="S76" s="129">
        <v>0</v>
      </c>
      <c r="T76" s="129">
        <v>1</v>
      </c>
      <c r="U76" s="129">
        <v>0</v>
      </c>
      <c r="V76" s="138">
        <f t="shared" si="12"/>
        <v>3</v>
      </c>
      <c r="W76" s="138">
        <f t="shared" si="13"/>
        <v>3</v>
      </c>
      <c r="X76" s="138">
        <f t="shared" si="14"/>
        <v>1</v>
      </c>
      <c r="Y76" s="138">
        <f t="shared" si="15"/>
        <v>0</v>
      </c>
      <c r="Z76" s="138">
        <f t="shared" si="16"/>
        <v>3</v>
      </c>
      <c r="AA76" s="138">
        <f t="shared" si="17"/>
        <v>0</v>
      </c>
      <c r="AB76" s="127" t="s">
        <v>32</v>
      </c>
      <c r="AC76" s="127"/>
      <c r="AD76" s="127"/>
      <c r="AE76" s="130"/>
      <c r="AF76" s="136">
        <v>0</v>
      </c>
      <c r="AG76" s="136">
        <v>11.33</v>
      </c>
      <c r="AH76" s="136">
        <v>37.630000000000003</v>
      </c>
      <c r="AI76" s="136">
        <v>5.99</v>
      </c>
      <c r="AJ76" s="136">
        <v>0</v>
      </c>
      <c r="AK76" s="136">
        <v>0.49</v>
      </c>
      <c r="AL76" s="136">
        <v>3.31</v>
      </c>
      <c r="AM76" s="136">
        <v>58.750000000000007</v>
      </c>
      <c r="AN76" s="131"/>
      <c r="AO76" s="131"/>
      <c r="AP76" s="131"/>
      <c r="AQ76" s="131"/>
      <c r="AR76" s="131"/>
      <c r="AS76" s="131"/>
      <c r="AT76" s="131"/>
      <c r="AU76" s="91"/>
      <c r="AV76" s="91"/>
      <c r="AW76" s="131"/>
      <c r="AX76" s="131"/>
      <c r="AY76" s="131"/>
    </row>
    <row r="77" spans="1:51" ht="15" x14ac:dyDescent="0.25">
      <c r="A77" s="123"/>
      <c r="B77" s="124"/>
      <c r="C77" s="125">
        <v>246119</v>
      </c>
      <c r="D77" s="89"/>
      <c r="E77" s="86" t="s">
        <v>19</v>
      </c>
      <c r="F77" s="86" t="s">
        <v>418</v>
      </c>
      <c r="H77" s="126" t="s">
        <v>51</v>
      </c>
      <c r="I77" s="89">
        <v>1</v>
      </c>
      <c r="J77" s="127">
        <v>13251.3999</v>
      </c>
      <c r="K77" s="127">
        <v>65777.34</v>
      </c>
      <c r="L77" s="127">
        <v>821.81999999999994</v>
      </c>
      <c r="M77" s="127">
        <v>0</v>
      </c>
      <c r="N77" s="127">
        <v>56743.839999999997</v>
      </c>
      <c r="O77" s="127">
        <v>0</v>
      </c>
      <c r="P77" s="128">
        <f t="shared" si="9"/>
        <v>0</v>
      </c>
      <c r="Q77" s="128">
        <f t="shared" si="10"/>
        <v>0.86266547111816927</v>
      </c>
      <c r="R77" s="128">
        <f t="shared" si="11"/>
        <v>0</v>
      </c>
      <c r="S77" s="129">
        <v>0</v>
      </c>
      <c r="T77" s="129">
        <v>1</v>
      </c>
      <c r="U77" s="129">
        <v>0</v>
      </c>
      <c r="V77" s="138">
        <f t="shared" si="12"/>
        <v>3</v>
      </c>
      <c r="W77" s="138">
        <f t="shared" si="13"/>
        <v>3</v>
      </c>
      <c r="X77" s="138">
        <f t="shared" si="14"/>
        <v>1</v>
      </c>
      <c r="Y77" s="138">
        <f t="shared" si="15"/>
        <v>0</v>
      </c>
      <c r="Z77" s="138">
        <f t="shared" si="16"/>
        <v>3</v>
      </c>
      <c r="AA77" s="138">
        <f t="shared" si="17"/>
        <v>0</v>
      </c>
      <c r="AB77" s="127" t="s">
        <v>32</v>
      </c>
      <c r="AC77" s="127"/>
      <c r="AD77" s="127"/>
      <c r="AE77" s="130"/>
      <c r="AF77" s="136">
        <v>0</v>
      </c>
      <c r="AG77" s="136">
        <v>11.33</v>
      </c>
      <c r="AH77" s="136">
        <v>37.630000000000003</v>
      </c>
      <c r="AI77" s="136">
        <v>5.99</v>
      </c>
      <c r="AJ77" s="136">
        <v>0</v>
      </c>
      <c r="AK77" s="136">
        <v>0.49</v>
      </c>
      <c r="AL77" s="136">
        <v>3.31</v>
      </c>
      <c r="AM77" s="136">
        <v>58.750000000000007</v>
      </c>
      <c r="AN77" s="131"/>
      <c r="AO77" s="131"/>
      <c r="AP77" s="131"/>
      <c r="AQ77" s="131"/>
      <c r="AR77" s="131"/>
      <c r="AS77" s="131"/>
      <c r="AT77" s="131"/>
      <c r="AU77" s="91"/>
      <c r="AV77" s="91"/>
      <c r="AW77" s="131"/>
      <c r="AX77" s="131"/>
      <c r="AY77" s="131"/>
    </row>
    <row r="78" spans="1:51" ht="15" x14ac:dyDescent="0.25">
      <c r="A78" s="123"/>
      <c r="B78" s="124"/>
      <c r="C78" s="125">
        <v>358219</v>
      </c>
      <c r="D78" s="89"/>
      <c r="E78" s="86" t="s">
        <v>19</v>
      </c>
      <c r="F78" s="86" t="s">
        <v>418</v>
      </c>
      <c r="H78" s="126" t="s">
        <v>51</v>
      </c>
      <c r="I78" s="89">
        <v>1</v>
      </c>
      <c r="J78" s="127">
        <v>13251.3999</v>
      </c>
      <c r="K78" s="127">
        <v>65777.34</v>
      </c>
      <c r="L78" s="127">
        <v>821.81999999999994</v>
      </c>
      <c r="M78" s="127">
        <v>0</v>
      </c>
      <c r="N78" s="127">
        <v>56743.839999999997</v>
      </c>
      <c r="O78" s="127">
        <v>0</v>
      </c>
      <c r="P78" s="128">
        <f t="shared" si="9"/>
        <v>0</v>
      </c>
      <c r="Q78" s="128">
        <f t="shared" si="10"/>
        <v>0.86266547111816927</v>
      </c>
      <c r="R78" s="128">
        <f t="shared" si="11"/>
        <v>0</v>
      </c>
      <c r="S78" s="129">
        <v>0</v>
      </c>
      <c r="T78" s="129">
        <v>1</v>
      </c>
      <c r="U78" s="129">
        <v>0</v>
      </c>
      <c r="V78" s="138">
        <f t="shared" si="12"/>
        <v>3</v>
      </c>
      <c r="W78" s="138">
        <f t="shared" si="13"/>
        <v>3</v>
      </c>
      <c r="X78" s="138">
        <f t="shared" si="14"/>
        <v>1</v>
      </c>
      <c r="Y78" s="138">
        <f t="shared" si="15"/>
        <v>0</v>
      </c>
      <c r="Z78" s="138">
        <f t="shared" si="16"/>
        <v>3</v>
      </c>
      <c r="AA78" s="138">
        <f t="shared" si="17"/>
        <v>0</v>
      </c>
      <c r="AB78" s="127" t="s">
        <v>32</v>
      </c>
      <c r="AC78" s="127"/>
      <c r="AD78" s="127"/>
      <c r="AE78" s="130"/>
      <c r="AF78" s="136">
        <v>0</v>
      </c>
      <c r="AG78" s="136">
        <v>11.33</v>
      </c>
      <c r="AH78" s="136">
        <v>37.630000000000003</v>
      </c>
      <c r="AI78" s="136">
        <v>5.99</v>
      </c>
      <c r="AJ78" s="136">
        <v>0</v>
      </c>
      <c r="AK78" s="136">
        <v>0.49</v>
      </c>
      <c r="AL78" s="136">
        <v>3.31</v>
      </c>
      <c r="AM78" s="136">
        <v>58.750000000000007</v>
      </c>
      <c r="AN78" s="131"/>
      <c r="AO78" s="131"/>
      <c r="AP78" s="131"/>
      <c r="AQ78" s="131"/>
      <c r="AR78" s="131"/>
      <c r="AS78" s="131"/>
      <c r="AT78" s="131"/>
      <c r="AU78" s="91"/>
      <c r="AV78" s="91"/>
      <c r="AW78" s="131"/>
      <c r="AX78" s="131"/>
      <c r="AY78" s="131"/>
    </row>
    <row r="79" spans="1:51" ht="15" x14ac:dyDescent="0.25">
      <c r="A79" s="123"/>
      <c r="B79" s="124"/>
      <c r="C79" s="125">
        <v>388754</v>
      </c>
      <c r="D79" s="89"/>
      <c r="E79" s="86" t="s">
        <v>19</v>
      </c>
      <c r="F79" s="86" t="s">
        <v>418</v>
      </c>
      <c r="H79" s="126" t="s">
        <v>51</v>
      </c>
      <c r="I79" s="89">
        <v>1</v>
      </c>
      <c r="J79" s="127">
        <v>13251.3999</v>
      </c>
      <c r="K79" s="127">
        <v>65777.34</v>
      </c>
      <c r="L79" s="127">
        <v>821.81999999999994</v>
      </c>
      <c r="M79" s="127">
        <v>0</v>
      </c>
      <c r="N79" s="127">
        <v>56743.839999999997</v>
      </c>
      <c r="O79" s="127">
        <v>0</v>
      </c>
      <c r="P79" s="128">
        <f t="shared" si="9"/>
        <v>0</v>
      </c>
      <c r="Q79" s="128">
        <f t="shared" si="10"/>
        <v>0.86266547111816927</v>
      </c>
      <c r="R79" s="128">
        <f t="shared" si="11"/>
        <v>0</v>
      </c>
      <c r="S79" s="129">
        <v>0</v>
      </c>
      <c r="T79" s="129">
        <v>1</v>
      </c>
      <c r="U79" s="129">
        <v>0</v>
      </c>
      <c r="V79" s="138">
        <f t="shared" si="12"/>
        <v>3</v>
      </c>
      <c r="W79" s="138">
        <f t="shared" si="13"/>
        <v>3</v>
      </c>
      <c r="X79" s="138">
        <f t="shared" si="14"/>
        <v>1</v>
      </c>
      <c r="Y79" s="138">
        <f t="shared" si="15"/>
        <v>0</v>
      </c>
      <c r="Z79" s="138">
        <f t="shared" si="16"/>
        <v>3</v>
      </c>
      <c r="AA79" s="138">
        <f t="shared" si="17"/>
        <v>0</v>
      </c>
      <c r="AB79" s="127" t="s">
        <v>32</v>
      </c>
      <c r="AC79" s="127"/>
      <c r="AD79" s="127"/>
      <c r="AE79" s="130"/>
      <c r="AF79" s="136">
        <v>0</v>
      </c>
      <c r="AG79" s="136">
        <v>11.33</v>
      </c>
      <c r="AH79" s="136">
        <v>37.630000000000003</v>
      </c>
      <c r="AI79" s="136">
        <v>5.99</v>
      </c>
      <c r="AJ79" s="136">
        <v>0</v>
      </c>
      <c r="AK79" s="136">
        <v>0.49</v>
      </c>
      <c r="AL79" s="136">
        <v>3.31</v>
      </c>
      <c r="AM79" s="136">
        <v>58.750000000000007</v>
      </c>
      <c r="AN79" s="131"/>
      <c r="AO79" s="131"/>
      <c r="AP79" s="131"/>
      <c r="AQ79" s="131"/>
      <c r="AR79" s="131"/>
      <c r="AS79" s="131"/>
      <c r="AT79" s="131"/>
      <c r="AU79" s="91"/>
      <c r="AV79" s="91"/>
      <c r="AW79" s="131"/>
      <c r="AX79" s="131"/>
      <c r="AY79" s="131"/>
    </row>
    <row r="80" spans="1:51" ht="15" x14ac:dyDescent="0.25">
      <c r="A80" s="123"/>
      <c r="B80" s="124"/>
      <c r="C80" s="125">
        <v>415482</v>
      </c>
      <c r="D80" s="89"/>
      <c r="E80" s="86" t="s">
        <v>19</v>
      </c>
      <c r="F80" s="86" t="s">
        <v>418</v>
      </c>
      <c r="H80" s="126" t="s">
        <v>51</v>
      </c>
      <c r="I80" s="89">
        <v>1</v>
      </c>
      <c r="J80" s="127">
        <v>13251.3999</v>
      </c>
      <c r="K80" s="127">
        <v>65777.34</v>
      </c>
      <c r="L80" s="127">
        <v>821.81999999999994</v>
      </c>
      <c r="M80" s="127">
        <v>0</v>
      </c>
      <c r="N80" s="127">
        <v>56743.839999999997</v>
      </c>
      <c r="O80" s="127">
        <v>0</v>
      </c>
      <c r="P80" s="128">
        <f t="shared" si="9"/>
        <v>0</v>
      </c>
      <c r="Q80" s="128">
        <f t="shared" si="10"/>
        <v>0.86266547111816927</v>
      </c>
      <c r="R80" s="128">
        <f t="shared" si="11"/>
        <v>0</v>
      </c>
      <c r="S80" s="129">
        <v>0</v>
      </c>
      <c r="T80" s="129">
        <v>1</v>
      </c>
      <c r="U80" s="129">
        <v>0</v>
      </c>
      <c r="V80" s="138">
        <f t="shared" si="12"/>
        <v>3</v>
      </c>
      <c r="W80" s="138">
        <f t="shared" si="13"/>
        <v>3</v>
      </c>
      <c r="X80" s="138">
        <f t="shared" si="14"/>
        <v>1</v>
      </c>
      <c r="Y80" s="138">
        <f t="shared" si="15"/>
        <v>0</v>
      </c>
      <c r="Z80" s="138">
        <f t="shared" si="16"/>
        <v>3</v>
      </c>
      <c r="AA80" s="138">
        <f t="shared" si="17"/>
        <v>0</v>
      </c>
      <c r="AB80" s="127" t="s">
        <v>32</v>
      </c>
      <c r="AC80" s="127"/>
      <c r="AD80" s="127"/>
      <c r="AE80" s="130"/>
      <c r="AF80" s="136">
        <v>0</v>
      </c>
      <c r="AG80" s="136">
        <v>11.33</v>
      </c>
      <c r="AH80" s="136">
        <v>37.630000000000003</v>
      </c>
      <c r="AI80" s="136">
        <v>5.99</v>
      </c>
      <c r="AJ80" s="136">
        <v>0</v>
      </c>
      <c r="AK80" s="136">
        <v>0.49</v>
      </c>
      <c r="AL80" s="136">
        <v>3.31</v>
      </c>
      <c r="AM80" s="136">
        <v>58.750000000000007</v>
      </c>
      <c r="AN80" s="131"/>
      <c r="AO80" s="131"/>
      <c r="AP80" s="131"/>
      <c r="AQ80" s="131"/>
      <c r="AR80" s="131"/>
      <c r="AS80" s="131"/>
      <c r="AT80" s="131"/>
      <c r="AU80" s="91"/>
      <c r="AV80" s="91"/>
      <c r="AW80" s="131"/>
      <c r="AX80" s="131"/>
      <c r="AY80" s="131"/>
    </row>
    <row r="81" spans="1:51" ht="15" x14ac:dyDescent="0.25">
      <c r="A81" s="123"/>
      <c r="B81" s="124"/>
      <c r="C81" s="125">
        <v>418888</v>
      </c>
      <c r="D81" s="89"/>
      <c r="E81" s="86" t="s">
        <v>19</v>
      </c>
      <c r="F81" s="86" t="s">
        <v>418</v>
      </c>
      <c r="H81" s="126" t="s">
        <v>51</v>
      </c>
      <c r="I81" s="89">
        <v>1</v>
      </c>
      <c r="J81" s="127">
        <v>13251.3999</v>
      </c>
      <c r="K81" s="127">
        <v>65777.34</v>
      </c>
      <c r="L81" s="127">
        <v>821.81999999999994</v>
      </c>
      <c r="M81" s="127">
        <v>0</v>
      </c>
      <c r="N81" s="127">
        <v>56743.839999999997</v>
      </c>
      <c r="O81" s="127">
        <v>0</v>
      </c>
      <c r="P81" s="128">
        <f t="shared" si="9"/>
        <v>0</v>
      </c>
      <c r="Q81" s="128">
        <f t="shared" si="10"/>
        <v>0.86266547111816927</v>
      </c>
      <c r="R81" s="128">
        <f t="shared" si="11"/>
        <v>0</v>
      </c>
      <c r="S81" s="129">
        <v>0</v>
      </c>
      <c r="T81" s="129">
        <v>1</v>
      </c>
      <c r="U81" s="129">
        <v>0</v>
      </c>
      <c r="V81" s="138">
        <f t="shared" si="12"/>
        <v>3</v>
      </c>
      <c r="W81" s="138">
        <f t="shared" si="13"/>
        <v>3</v>
      </c>
      <c r="X81" s="138">
        <f t="shared" si="14"/>
        <v>1</v>
      </c>
      <c r="Y81" s="138">
        <f t="shared" si="15"/>
        <v>0</v>
      </c>
      <c r="Z81" s="138">
        <f t="shared" si="16"/>
        <v>3</v>
      </c>
      <c r="AA81" s="138">
        <f t="shared" si="17"/>
        <v>0</v>
      </c>
      <c r="AB81" s="127" t="s">
        <v>32</v>
      </c>
      <c r="AC81" s="127"/>
      <c r="AD81" s="127"/>
      <c r="AE81" s="130"/>
      <c r="AF81" s="136">
        <v>0</v>
      </c>
      <c r="AG81" s="136">
        <v>11.33</v>
      </c>
      <c r="AH81" s="136">
        <v>37.630000000000003</v>
      </c>
      <c r="AI81" s="136">
        <v>5.99</v>
      </c>
      <c r="AJ81" s="136">
        <v>0</v>
      </c>
      <c r="AK81" s="136">
        <v>0.49</v>
      </c>
      <c r="AL81" s="136">
        <v>3.31</v>
      </c>
      <c r="AM81" s="136">
        <v>58.750000000000007</v>
      </c>
      <c r="AN81" s="131"/>
      <c r="AO81" s="131"/>
      <c r="AP81" s="131"/>
      <c r="AQ81" s="131"/>
      <c r="AR81" s="131"/>
      <c r="AS81" s="131"/>
      <c r="AT81" s="131"/>
      <c r="AU81" s="91"/>
      <c r="AV81" s="91"/>
      <c r="AW81" s="131"/>
      <c r="AX81" s="131"/>
      <c r="AY81" s="131"/>
    </row>
    <row r="82" spans="1:51" ht="15" x14ac:dyDescent="0.25">
      <c r="A82" s="123"/>
      <c r="B82" s="124"/>
      <c r="C82" s="125">
        <v>418999</v>
      </c>
      <c r="D82" s="89"/>
      <c r="E82" s="86" t="s">
        <v>19</v>
      </c>
      <c r="F82" s="86" t="s">
        <v>418</v>
      </c>
      <c r="H82" s="126" t="s">
        <v>51</v>
      </c>
      <c r="I82" s="89">
        <v>1</v>
      </c>
      <c r="J82" s="127">
        <v>13251.3999</v>
      </c>
      <c r="K82" s="127">
        <v>65777.34</v>
      </c>
      <c r="L82" s="127">
        <v>821.81999999999994</v>
      </c>
      <c r="M82" s="127">
        <v>0</v>
      </c>
      <c r="N82" s="127">
        <v>56743.839999999997</v>
      </c>
      <c r="O82" s="127">
        <v>0</v>
      </c>
      <c r="P82" s="128">
        <f t="shared" si="9"/>
        <v>0</v>
      </c>
      <c r="Q82" s="128">
        <f t="shared" si="10"/>
        <v>0.86266547111816927</v>
      </c>
      <c r="R82" s="128">
        <f t="shared" si="11"/>
        <v>0</v>
      </c>
      <c r="S82" s="129">
        <v>0</v>
      </c>
      <c r="T82" s="129">
        <v>1</v>
      </c>
      <c r="U82" s="129">
        <v>0</v>
      </c>
      <c r="V82" s="138">
        <f t="shared" si="12"/>
        <v>3</v>
      </c>
      <c r="W82" s="138">
        <f t="shared" si="13"/>
        <v>3</v>
      </c>
      <c r="X82" s="138">
        <f t="shared" si="14"/>
        <v>1</v>
      </c>
      <c r="Y82" s="138">
        <f t="shared" si="15"/>
        <v>0</v>
      </c>
      <c r="Z82" s="138">
        <f t="shared" si="16"/>
        <v>3</v>
      </c>
      <c r="AA82" s="138">
        <f t="shared" si="17"/>
        <v>0</v>
      </c>
      <c r="AB82" s="127" t="s">
        <v>32</v>
      </c>
      <c r="AC82" s="127"/>
      <c r="AD82" s="127"/>
      <c r="AE82" s="130"/>
      <c r="AF82" s="136">
        <v>0</v>
      </c>
      <c r="AG82" s="136">
        <v>11.33</v>
      </c>
      <c r="AH82" s="136">
        <v>37.630000000000003</v>
      </c>
      <c r="AI82" s="136">
        <v>5.99</v>
      </c>
      <c r="AJ82" s="136">
        <v>0</v>
      </c>
      <c r="AK82" s="136">
        <v>0.49</v>
      </c>
      <c r="AL82" s="136">
        <v>3.31</v>
      </c>
      <c r="AM82" s="136">
        <v>58.750000000000007</v>
      </c>
      <c r="AN82" s="131"/>
      <c r="AO82" s="131"/>
      <c r="AP82" s="131"/>
      <c r="AQ82" s="131"/>
      <c r="AR82" s="131"/>
      <c r="AS82" s="131"/>
      <c r="AT82" s="131"/>
      <c r="AU82" s="91"/>
      <c r="AV82" s="91"/>
      <c r="AW82" s="131"/>
      <c r="AX82" s="131"/>
      <c r="AY82" s="131"/>
    </row>
    <row r="83" spans="1:51" ht="15" x14ac:dyDescent="0.25">
      <c r="A83" s="123"/>
      <c r="B83" s="124"/>
      <c r="C83" s="125">
        <v>451358</v>
      </c>
      <c r="D83" s="89"/>
      <c r="E83" s="86" t="s">
        <v>19</v>
      </c>
      <c r="F83" s="86" t="s">
        <v>418</v>
      </c>
      <c r="H83" s="126" t="s">
        <v>51</v>
      </c>
      <c r="I83" s="89">
        <v>1</v>
      </c>
      <c r="J83" s="127">
        <v>13251.3999</v>
      </c>
      <c r="K83" s="127">
        <v>65777.34</v>
      </c>
      <c r="L83" s="127">
        <v>821.81999999999994</v>
      </c>
      <c r="M83" s="127">
        <v>0</v>
      </c>
      <c r="N83" s="127">
        <v>56743.839999999997</v>
      </c>
      <c r="O83" s="127">
        <v>0</v>
      </c>
      <c r="P83" s="128">
        <f t="shared" si="9"/>
        <v>0</v>
      </c>
      <c r="Q83" s="128">
        <f t="shared" si="10"/>
        <v>0.86266547111816927</v>
      </c>
      <c r="R83" s="128">
        <f t="shared" si="11"/>
        <v>0</v>
      </c>
      <c r="S83" s="129">
        <v>0</v>
      </c>
      <c r="T83" s="129">
        <v>1</v>
      </c>
      <c r="U83" s="129">
        <v>0</v>
      </c>
      <c r="V83" s="138">
        <f t="shared" si="12"/>
        <v>3</v>
      </c>
      <c r="W83" s="138">
        <f t="shared" si="13"/>
        <v>3</v>
      </c>
      <c r="X83" s="138">
        <f t="shared" si="14"/>
        <v>1</v>
      </c>
      <c r="Y83" s="138">
        <f t="shared" si="15"/>
        <v>0</v>
      </c>
      <c r="Z83" s="138">
        <f t="shared" si="16"/>
        <v>3</v>
      </c>
      <c r="AA83" s="138">
        <f t="shared" si="17"/>
        <v>0</v>
      </c>
      <c r="AB83" s="127" t="s">
        <v>32</v>
      </c>
      <c r="AC83" s="127"/>
      <c r="AD83" s="127"/>
      <c r="AE83" s="130"/>
      <c r="AF83" s="136">
        <v>0</v>
      </c>
      <c r="AG83" s="136">
        <v>11.33</v>
      </c>
      <c r="AH83" s="136">
        <v>37.630000000000003</v>
      </c>
      <c r="AI83" s="136">
        <v>5.99</v>
      </c>
      <c r="AJ83" s="136">
        <v>0</v>
      </c>
      <c r="AK83" s="136">
        <v>0.49</v>
      </c>
      <c r="AL83" s="136">
        <v>3.31</v>
      </c>
      <c r="AM83" s="136">
        <v>58.750000000000007</v>
      </c>
      <c r="AN83" s="131"/>
      <c r="AO83" s="131"/>
      <c r="AP83" s="131"/>
      <c r="AQ83" s="131"/>
      <c r="AR83" s="131"/>
      <c r="AS83" s="131"/>
      <c r="AT83" s="131"/>
      <c r="AU83" s="91"/>
      <c r="AV83" s="91"/>
      <c r="AW83" s="131"/>
      <c r="AX83" s="131"/>
      <c r="AY83" s="131"/>
    </row>
    <row r="84" spans="1:51" ht="15" x14ac:dyDescent="0.25">
      <c r="A84" s="123"/>
      <c r="B84" s="124"/>
      <c r="C84" s="125">
        <v>460571</v>
      </c>
      <c r="D84" s="89"/>
      <c r="E84" s="86" t="s">
        <v>19</v>
      </c>
      <c r="F84" s="86" t="s">
        <v>418</v>
      </c>
      <c r="H84" s="126" t="s">
        <v>51</v>
      </c>
      <c r="I84" s="89">
        <v>1</v>
      </c>
      <c r="J84" s="127">
        <v>13251.3999</v>
      </c>
      <c r="K84" s="127">
        <v>65777.34</v>
      </c>
      <c r="L84" s="127">
        <v>821.81999999999994</v>
      </c>
      <c r="M84" s="127">
        <v>0</v>
      </c>
      <c r="N84" s="127">
        <v>56743.839999999997</v>
      </c>
      <c r="O84" s="127">
        <v>0</v>
      </c>
      <c r="P84" s="128">
        <f t="shared" si="9"/>
        <v>0</v>
      </c>
      <c r="Q84" s="128">
        <f t="shared" si="10"/>
        <v>0.86266547111816927</v>
      </c>
      <c r="R84" s="128">
        <f t="shared" si="11"/>
        <v>0</v>
      </c>
      <c r="S84" s="129">
        <v>0</v>
      </c>
      <c r="T84" s="129">
        <v>1</v>
      </c>
      <c r="U84" s="129">
        <v>0</v>
      </c>
      <c r="V84" s="138">
        <f t="shared" si="12"/>
        <v>3</v>
      </c>
      <c r="W84" s="138">
        <f t="shared" si="13"/>
        <v>3</v>
      </c>
      <c r="X84" s="138">
        <f t="shared" si="14"/>
        <v>1</v>
      </c>
      <c r="Y84" s="138">
        <f t="shared" si="15"/>
        <v>0</v>
      </c>
      <c r="Z84" s="138">
        <f t="shared" si="16"/>
        <v>3</v>
      </c>
      <c r="AA84" s="138">
        <f t="shared" si="17"/>
        <v>0</v>
      </c>
      <c r="AB84" s="127" t="s">
        <v>32</v>
      </c>
      <c r="AC84" s="127"/>
      <c r="AD84" s="127"/>
      <c r="AE84" s="130"/>
      <c r="AF84" s="136">
        <v>0</v>
      </c>
      <c r="AG84" s="136">
        <v>11.33</v>
      </c>
      <c r="AH84" s="136">
        <v>37.630000000000003</v>
      </c>
      <c r="AI84" s="136">
        <v>5.99</v>
      </c>
      <c r="AJ84" s="136">
        <v>0</v>
      </c>
      <c r="AK84" s="136">
        <v>0.49</v>
      </c>
      <c r="AL84" s="136">
        <v>3.31</v>
      </c>
      <c r="AM84" s="136">
        <v>58.750000000000007</v>
      </c>
      <c r="AN84" s="131"/>
      <c r="AO84" s="131"/>
      <c r="AP84" s="131"/>
      <c r="AQ84" s="131"/>
      <c r="AR84" s="131"/>
      <c r="AS84" s="131"/>
      <c r="AT84" s="131"/>
      <c r="AU84" s="91"/>
      <c r="AV84" s="91"/>
      <c r="AW84" s="131"/>
      <c r="AX84" s="131"/>
      <c r="AY84" s="131"/>
    </row>
    <row r="85" spans="1:51" ht="15" x14ac:dyDescent="0.25">
      <c r="A85" s="123"/>
      <c r="B85" s="124"/>
      <c r="C85" s="125">
        <v>464471</v>
      </c>
      <c r="D85" s="89"/>
      <c r="E85" s="86" t="s">
        <v>19</v>
      </c>
      <c r="F85" s="86" t="s">
        <v>418</v>
      </c>
      <c r="H85" s="126" t="s">
        <v>51</v>
      </c>
      <c r="I85" s="89">
        <v>1</v>
      </c>
      <c r="J85" s="127">
        <v>13251.3999</v>
      </c>
      <c r="K85" s="127">
        <v>65777.34</v>
      </c>
      <c r="L85" s="127">
        <v>821.81999999999994</v>
      </c>
      <c r="M85" s="127">
        <v>0</v>
      </c>
      <c r="N85" s="127">
        <v>56743.839999999997</v>
      </c>
      <c r="O85" s="127">
        <v>0</v>
      </c>
      <c r="P85" s="128">
        <f t="shared" si="9"/>
        <v>0</v>
      </c>
      <c r="Q85" s="128">
        <f t="shared" si="10"/>
        <v>0.86266547111816927</v>
      </c>
      <c r="R85" s="128">
        <f t="shared" si="11"/>
        <v>0</v>
      </c>
      <c r="S85" s="129">
        <v>0</v>
      </c>
      <c r="T85" s="129">
        <v>1</v>
      </c>
      <c r="U85" s="129">
        <v>0</v>
      </c>
      <c r="V85" s="138">
        <f t="shared" si="12"/>
        <v>3</v>
      </c>
      <c r="W85" s="138">
        <f t="shared" si="13"/>
        <v>3</v>
      </c>
      <c r="X85" s="138">
        <f t="shared" si="14"/>
        <v>1</v>
      </c>
      <c r="Y85" s="138">
        <f t="shared" si="15"/>
        <v>0</v>
      </c>
      <c r="Z85" s="138">
        <f t="shared" si="16"/>
        <v>3</v>
      </c>
      <c r="AA85" s="138">
        <f t="shared" si="17"/>
        <v>0</v>
      </c>
      <c r="AB85" s="127" t="s">
        <v>32</v>
      </c>
      <c r="AC85" s="127"/>
      <c r="AD85" s="127"/>
      <c r="AE85" s="130"/>
      <c r="AF85" s="136">
        <v>0</v>
      </c>
      <c r="AG85" s="136">
        <v>11.33</v>
      </c>
      <c r="AH85" s="136">
        <v>37.630000000000003</v>
      </c>
      <c r="AI85" s="136">
        <v>5.99</v>
      </c>
      <c r="AJ85" s="136">
        <v>0</v>
      </c>
      <c r="AK85" s="136">
        <v>0.49</v>
      </c>
      <c r="AL85" s="136">
        <v>3.31</v>
      </c>
      <c r="AM85" s="136">
        <v>58.750000000000007</v>
      </c>
      <c r="AN85" s="131"/>
      <c r="AO85" s="131"/>
      <c r="AP85" s="131"/>
      <c r="AQ85" s="131"/>
      <c r="AR85" s="131"/>
      <c r="AS85" s="131"/>
      <c r="AT85" s="131"/>
      <c r="AU85" s="91"/>
      <c r="AV85" s="91"/>
      <c r="AW85" s="131"/>
      <c r="AX85" s="131"/>
      <c r="AY85" s="131"/>
    </row>
    <row r="86" spans="1:51" ht="15" x14ac:dyDescent="0.25">
      <c r="A86" s="123"/>
      <c r="B86" s="124"/>
      <c r="C86" s="125">
        <v>499175</v>
      </c>
      <c r="D86" s="89"/>
      <c r="E86" s="86" t="s">
        <v>19</v>
      </c>
      <c r="F86" s="86" t="s">
        <v>418</v>
      </c>
      <c r="H86" s="126" t="s">
        <v>51</v>
      </c>
      <c r="I86" s="89">
        <v>1</v>
      </c>
      <c r="J86" s="127">
        <v>13251.3999</v>
      </c>
      <c r="K86" s="127">
        <v>65777.34</v>
      </c>
      <c r="L86" s="127">
        <v>821.81999999999994</v>
      </c>
      <c r="M86" s="127">
        <v>0</v>
      </c>
      <c r="N86" s="127">
        <v>56743.839999999997</v>
      </c>
      <c r="O86" s="127">
        <v>0</v>
      </c>
      <c r="P86" s="128">
        <f t="shared" si="9"/>
        <v>0</v>
      </c>
      <c r="Q86" s="128">
        <f t="shared" si="10"/>
        <v>0.86266547111816927</v>
      </c>
      <c r="R86" s="128">
        <f t="shared" si="11"/>
        <v>0</v>
      </c>
      <c r="S86" s="129">
        <v>0</v>
      </c>
      <c r="T86" s="129">
        <v>1</v>
      </c>
      <c r="U86" s="129">
        <v>0</v>
      </c>
      <c r="V86" s="138">
        <f t="shared" si="12"/>
        <v>3</v>
      </c>
      <c r="W86" s="138">
        <f t="shared" si="13"/>
        <v>3</v>
      </c>
      <c r="X86" s="138">
        <f t="shared" si="14"/>
        <v>1</v>
      </c>
      <c r="Y86" s="138">
        <f t="shared" si="15"/>
        <v>0</v>
      </c>
      <c r="Z86" s="138">
        <f t="shared" si="16"/>
        <v>3</v>
      </c>
      <c r="AA86" s="138">
        <f t="shared" si="17"/>
        <v>0</v>
      </c>
      <c r="AB86" s="127" t="s">
        <v>32</v>
      </c>
      <c r="AC86" s="127"/>
      <c r="AD86" s="127"/>
      <c r="AE86" s="130"/>
      <c r="AF86" s="136">
        <v>0</v>
      </c>
      <c r="AG86" s="136">
        <v>11.33</v>
      </c>
      <c r="AH86" s="136">
        <v>37.630000000000003</v>
      </c>
      <c r="AI86" s="136">
        <v>5.99</v>
      </c>
      <c r="AJ86" s="136">
        <v>0</v>
      </c>
      <c r="AK86" s="136">
        <v>0.49</v>
      </c>
      <c r="AL86" s="136">
        <v>3.31</v>
      </c>
      <c r="AM86" s="136">
        <v>58.750000000000007</v>
      </c>
      <c r="AN86" s="131"/>
      <c r="AO86" s="131"/>
      <c r="AP86" s="131"/>
      <c r="AQ86" s="131"/>
      <c r="AR86" s="131"/>
      <c r="AS86" s="131"/>
      <c r="AT86" s="131"/>
      <c r="AU86" s="91"/>
      <c r="AV86" s="91"/>
      <c r="AW86" s="131"/>
      <c r="AX86" s="131"/>
      <c r="AY86" s="131"/>
    </row>
    <row r="87" spans="1:51" ht="15" x14ac:dyDescent="0.25">
      <c r="A87" s="123"/>
      <c r="B87" s="124"/>
      <c r="C87" s="125">
        <v>529452</v>
      </c>
      <c r="D87" s="89"/>
      <c r="E87" s="86" t="s">
        <v>19</v>
      </c>
      <c r="F87" s="86" t="s">
        <v>418</v>
      </c>
      <c r="H87" s="126" t="s">
        <v>51</v>
      </c>
      <c r="I87" s="89">
        <v>1</v>
      </c>
      <c r="J87" s="127">
        <v>13251.3999</v>
      </c>
      <c r="K87" s="127">
        <v>65777.34</v>
      </c>
      <c r="L87" s="127">
        <v>821.81999999999994</v>
      </c>
      <c r="M87" s="127">
        <v>0</v>
      </c>
      <c r="N87" s="127">
        <v>56743.839999999997</v>
      </c>
      <c r="O87" s="127">
        <v>0</v>
      </c>
      <c r="P87" s="128">
        <f t="shared" si="9"/>
        <v>0</v>
      </c>
      <c r="Q87" s="128">
        <f t="shared" si="10"/>
        <v>0.86266547111816927</v>
      </c>
      <c r="R87" s="128">
        <f t="shared" si="11"/>
        <v>0</v>
      </c>
      <c r="S87" s="129">
        <v>0</v>
      </c>
      <c r="T87" s="129">
        <v>1</v>
      </c>
      <c r="U87" s="129">
        <v>0</v>
      </c>
      <c r="V87" s="138">
        <f t="shared" si="12"/>
        <v>3</v>
      </c>
      <c r="W87" s="138">
        <f t="shared" si="13"/>
        <v>3</v>
      </c>
      <c r="X87" s="138">
        <f t="shared" si="14"/>
        <v>1</v>
      </c>
      <c r="Y87" s="138">
        <f t="shared" si="15"/>
        <v>0</v>
      </c>
      <c r="Z87" s="138">
        <f t="shared" si="16"/>
        <v>3</v>
      </c>
      <c r="AA87" s="138">
        <f t="shared" si="17"/>
        <v>0</v>
      </c>
      <c r="AB87" s="127" t="s">
        <v>32</v>
      </c>
      <c r="AC87" s="127"/>
      <c r="AD87" s="127"/>
      <c r="AE87" s="130"/>
      <c r="AF87" s="136">
        <v>0</v>
      </c>
      <c r="AG87" s="136">
        <v>11.33</v>
      </c>
      <c r="AH87" s="136">
        <v>37.630000000000003</v>
      </c>
      <c r="AI87" s="136">
        <v>5.99</v>
      </c>
      <c r="AJ87" s="136">
        <v>0</v>
      </c>
      <c r="AK87" s="136">
        <v>0.49</v>
      </c>
      <c r="AL87" s="136">
        <v>3.31</v>
      </c>
      <c r="AM87" s="136">
        <v>58.750000000000007</v>
      </c>
      <c r="AN87" s="131"/>
      <c r="AO87" s="131"/>
      <c r="AP87" s="131"/>
      <c r="AQ87" s="131"/>
      <c r="AR87" s="131"/>
      <c r="AS87" s="131"/>
      <c r="AT87" s="131"/>
      <c r="AU87" s="91"/>
      <c r="AV87" s="91"/>
      <c r="AW87" s="131"/>
      <c r="AX87" s="131"/>
      <c r="AY87" s="131"/>
    </row>
    <row r="88" spans="1:51" ht="15" x14ac:dyDescent="0.25">
      <c r="A88" s="123"/>
      <c r="B88" s="124"/>
      <c r="C88" s="125">
        <v>547665</v>
      </c>
      <c r="D88" s="89"/>
      <c r="E88" s="86" t="s">
        <v>19</v>
      </c>
      <c r="F88" s="86" t="s">
        <v>418</v>
      </c>
      <c r="H88" s="126" t="s">
        <v>51</v>
      </c>
      <c r="I88" s="89">
        <v>1</v>
      </c>
      <c r="J88" s="127">
        <v>13251.3999</v>
      </c>
      <c r="K88" s="127">
        <v>65777.34</v>
      </c>
      <c r="L88" s="127">
        <v>821.81999999999994</v>
      </c>
      <c r="M88" s="127">
        <v>0</v>
      </c>
      <c r="N88" s="127">
        <v>56743.839999999997</v>
      </c>
      <c r="O88" s="127">
        <v>0</v>
      </c>
      <c r="P88" s="128">
        <f t="shared" si="9"/>
        <v>0</v>
      </c>
      <c r="Q88" s="128">
        <f t="shared" si="10"/>
        <v>0.86266547111816927</v>
      </c>
      <c r="R88" s="128">
        <f t="shared" si="11"/>
        <v>0</v>
      </c>
      <c r="S88" s="129">
        <v>0</v>
      </c>
      <c r="T88" s="129">
        <v>1</v>
      </c>
      <c r="U88" s="129">
        <v>0</v>
      </c>
      <c r="V88" s="138">
        <f t="shared" si="12"/>
        <v>3</v>
      </c>
      <c r="W88" s="138">
        <f t="shared" si="13"/>
        <v>3</v>
      </c>
      <c r="X88" s="138">
        <f t="shared" si="14"/>
        <v>1</v>
      </c>
      <c r="Y88" s="138">
        <f t="shared" si="15"/>
        <v>0</v>
      </c>
      <c r="Z88" s="138">
        <f t="shared" si="16"/>
        <v>3</v>
      </c>
      <c r="AA88" s="138">
        <f t="shared" si="17"/>
        <v>0</v>
      </c>
      <c r="AB88" s="127" t="s">
        <v>32</v>
      </c>
      <c r="AC88" s="127"/>
      <c r="AD88" s="127"/>
      <c r="AE88" s="130"/>
      <c r="AF88" s="136">
        <v>0</v>
      </c>
      <c r="AG88" s="136">
        <v>11.33</v>
      </c>
      <c r="AH88" s="136">
        <v>37.630000000000003</v>
      </c>
      <c r="AI88" s="136">
        <v>5.99</v>
      </c>
      <c r="AJ88" s="136">
        <v>0</v>
      </c>
      <c r="AK88" s="136">
        <v>0.49</v>
      </c>
      <c r="AL88" s="136">
        <v>3.31</v>
      </c>
      <c r="AM88" s="136">
        <v>58.750000000000007</v>
      </c>
      <c r="AN88" s="131"/>
      <c r="AO88" s="131"/>
      <c r="AP88" s="131"/>
      <c r="AQ88" s="131"/>
      <c r="AR88" s="131"/>
      <c r="AS88" s="131"/>
      <c r="AT88" s="131"/>
      <c r="AU88" s="91"/>
      <c r="AV88" s="91"/>
      <c r="AW88" s="131"/>
      <c r="AX88" s="131"/>
      <c r="AY88" s="131"/>
    </row>
    <row r="89" spans="1:51" ht="15" x14ac:dyDescent="0.25">
      <c r="A89" s="123"/>
      <c r="B89" s="124"/>
      <c r="C89" s="125">
        <v>561031</v>
      </c>
      <c r="D89" s="89"/>
      <c r="E89" s="86" t="s">
        <v>19</v>
      </c>
      <c r="F89" s="86" t="s">
        <v>418</v>
      </c>
      <c r="H89" s="126" t="s">
        <v>51</v>
      </c>
      <c r="I89" s="89">
        <v>1</v>
      </c>
      <c r="J89" s="127">
        <v>13251.3999</v>
      </c>
      <c r="K89" s="127">
        <v>65777.34</v>
      </c>
      <c r="L89" s="127">
        <v>821.81999999999994</v>
      </c>
      <c r="M89" s="127">
        <v>0</v>
      </c>
      <c r="N89" s="127">
        <v>56743.839999999997</v>
      </c>
      <c r="O89" s="127">
        <v>0</v>
      </c>
      <c r="P89" s="128">
        <f t="shared" si="9"/>
        <v>0</v>
      </c>
      <c r="Q89" s="128">
        <f t="shared" si="10"/>
        <v>0.86266547111816927</v>
      </c>
      <c r="R89" s="128">
        <f t="shared" si="11"/>
        <v>0</v>
      </c>
      <c r="S89" s="129">
        <v>0</v>
      </c>
      <c r="T89" s="129">
        <v>1</v>
      </c>
      <c r="U89" s="129">
        <v>0</v>
      </c>
      <c r="V89" s="138">
        <f t="shared" si="12"/>
        <v>3</v>
      </c>
      <c r="W89" s="138">
        <f t="shared" si="13"/>
        <v>3</v>
      </c>
      <c r="X89" s="138">
        <f t="shared" si="14"/>
        <v>1</v>
      </c>
      <c r="Y89" s="138">
        <f t="shared" si="15"/>
        <v>0</v>
      </c>
      <c r="Z89" s="138">
        <f t="shared" si="16"/>
        <v>3</v>
      </c>
      <c r="AA89" s="138">
        <f t="shared" si="17"/>
        <v>0</v>
      </c>
      <c r="AB89" s="127" t="s">
        <v>32</v>
      </c>
      <c r="AC89" s="127"/>
      <c r="AD89" s="127"/>
      <c r="AE89" s="130"/>
      <c r="AF89" s="136">
        <v>0</v>
      </c>
      <c r="AG89" s="136">
        <v>11.33</v>
      </c>
      <c r="AH89" s="136">
        <v>37.630000000000003</v>
      </c>
      <c r="AI89" s="136">
        <v>5.99</v>
      </c>
      <c r="AJ89" s="136">
        <v>0</v>
      </c>
      <c r="AK89" s="136">
        <v>0.49</v>
      </c>
      <c r="AL89" s="136">
        <v>3.31</v>
      </c>
      <c r="AM89" s="136">
        <v>58.750000000000007</v>
      </c>
      <c r="AN89" s="131"/>
      <c r="AO89" s="131"/>
      <c r="AP89" s="131"/>
      <c r="AQ89" s="131"/>
      <c r="AR89" s="131"/>
      <c r="AS89" s="131"/>
      <c r="AT89" s="131"/>
      <c r="AU89" s="91"/>
      <c r="AV89" s="91"/>
      <c r="AW89" s="131"/>
      <c r="AX89" s="131"/>
      <c r="AY89" s="131"/>
    </row>
    <row r="90" spans="1:51" ht="15" x14ac:dyDescent="0.25">
      <c r="A90" s="123"/>
      <c r="B90" s="124"/>
      <c r="C90" s="125">
        <v>601754</v>
      </c>
      <c r="D90" s="89"/>
      <c r="E90" s="86" t="s">
        <v>19</v>
      </c>
      <c r="F90" s="86" t="s">
        <v>418</v>
      </c>
      <c r="H90" s="126" t="s">
        <v>51</v>
      </c>
      <c r="I90" s="89">
        <v>1</v>
      </c>
      <c r="J90" s="127">
        <v>13251.3999</v>
      </c>
      <c r="K90" s="127">
        <v>65777.34</v>
      </c>
      <c r="L90" s="127">
        <v>821.81999999999994</v>
      </c>
      <c r="M90" s="127">
        <v>0</v>
      </c>
      <c r="N90" s="127">
        <v>56743.839999999997</v>
      </c>
      <c r="O90" s="127">
        <v>0</v>
      </c>
      <c r="P90" s="128">
        <f t="shared" si="9"/>
        <v>0</v>
      </c>
      <c r="Q90" s="128">
        <f t="shared" si="10"/>
        <v>0.86266547111816927</v>
      </c>
      <c r="R90" s="128">
        <f t="shared" si="11"/>
        <v>0</v>
      </c>
      <c r="S90" s="129">
        <v>0</v>
      </c>
      <c r="T90" s="129">
        <v>1</v>
      </c>
      <c r="U90" s="129">
        <v>0</v>
      </c>
      <c r="V90" s="138">
        <f t="shared" si="12"/>
        <v>3</v>
      </c>
      <c r="W90" s="138">
        <f t="shared" si="13"/>
        <v>3</v>
      </c>
      <c r="X90" s="138">
        <f t="shared" si="14"/>
        <v>1</v>
      </c>
      <c r="Y90" s="138">
        <f t="shared" si="15"/>
        <v>0</v>
      </c>
      <c r="Z90" s="138">
        <f t="shared" si="16"/>
        <v>3</v>
      </c>
      <c r="AA90" s="138">
        <f t="shared" si="17"/>
        <v>0</v>
      </c>
      <c r="AB90" s="127" t="s">
        <v>32</v>
      </c>
      <c r="AC90" s="127"/>
      <c r="AD90" s="127"/>
      <c r="AE90" s="130"/>
      <c r="AF90" s="136">
        <v>0</v>
      </c>
      <c r="AG90" s="136">
        <v>11.33</v>
      </c>
      <c r="AH90" s="136">
        <v>37.630000000000003</v>
      </c>
      <c r="AI90" s="136">
        <v>5.99</v>
      </c>
      <c r="AJ90" s="136">
        <v>0</v>
      </c>
      <c r="AK90" s="136">
        <v>0.49</v>
      </c>
      <c r="AL90" s="136">
        <v>3.31</v>
      </c>
      <c r="AM90" s="136">
        <v>58.750000000000007</v>
      </c>
      <c r="AN90" s="131"/>
      <c r="AO90" s="131"/>
      <c r="AP90" s="131"/>
      <c r="AQ90" s="131"/>
      <c r="AR90" s="131"/>
      <c r="AS90" s="131"/>
      <c r="AT90" s="131"/>
      <c r="AU90" s="91"/>
      <c r="AV90" s="91"/>
      <c r="AW90" s="131"/>
      <c r="AX90" s="131"/>
      <c r="AY90" s="131"/>
    </row>
    <row r="91" spans="1:51" ht="15" x14ac:dyDescent="0.25">
      <c r="A91" s="123"/>
      <c r="B91" s="124"/>
      <c r="C91" s="125">
        <v>666529</v>
      </c>
      <c r="D91" s="89"/>
      <c r="E91" s="86" t="s">
        <v>19</v>
      </c>
      <c r="F91" s="86" t="s">
        <v>418</v>
      </c>
      <c r="H91" s="126" t="s">
        <v>51</v>
      </c>
      <c r="I91" s="89">
        <v>1</v>
      </c>
      <c r="J91" s="127">
        <v>13251.3999</v>
      </c>
      <c r="K91" s="127">
        <v>65777.34</v>
      </c>
      <c r="L91" s="127">
        <v>821.81999999999994</v>
      </c>
      <c r="M91" s="127">
        <v>0</v>
      </c>
      <c r="N91" s="127">
        <v>56743.839999999997</v>
      </c>
      <c r="O91" s="127">
        <v>0</v>
      </c>
      <c r="P91" s="128">
        <f t="shared" si="9"/>
        <v>0</v>
      </c>
      <c r="Q91" s="128">
        <f t="shared" si="10"/>
        <v>0.86266547111816927</v>
      </c>
      <c r="R91" s="128">
        <f t="shared" si="11"/>
        <v>0</v>
      </c>
      <c r="S91" s="129">
        <v>0</v>
      </c>
      <c r="T91" s="129">
        <v>1</v>
      </c>
      <c r="U91" s="129">
        <v>0</v>
      </c>
      <c r="V91" s="138">
        <f t="shared" si="12"/>
        <v>3</v>
      </c>
      <c r="W91" s="138">
        <f t="shared" si="13"/>
        <v>3</v>
      </c>
      <c r="X91" s="138">
        <f t="shared" si="14"/>
        <v>1</v>
      </c>
      <c r="Y91" s="138">
        <f t="shared" si="15"/>
        <v>0</v>
      </c>
      <c r="Z91" s="138">
        <f t="shared" si="16"/>
        <v>3</v>
      </c>
      <c r="AA91" s="138">
        <f t="shared" si="17"/>
        <v>0</v>
      </c>
      <c r="AB91" s="127" t="s">
        <v>32</v>
      </c>
      <c r="AC91" s="127"/>
      <c r="AD91" s="127"/>
      <c r="AE91" s="130"/>
      <c r="AF91" s="136">
        <v>0</v>
      </c>
      <c r="AG91" s="136">
        <v>11.33</v>
      </c>
      <c r="AH91" s="136">
        <v>37.630000000000003</v>
      </c>
      <c r="AI91" s="136">
        <v>5.99</v>
      </c>
      <c r="AJ91" s="136">
        <v>0</v>
      </c>
      <c r="AK91" s="136">
        <v>0.49</v>
      </c>
      <c r="AL91" s="136">
        <v>3.31</v>
      </c>
      <c r="AM91" s="136">
        <v>58.750000000000007</v>
      </c>
      <c r="AN91" s="131"/>
      <c r="AO91" s="131"/>
      <c r="AP91" s="131"/>
      <c r="AQ91" s="131"/>
      <c r="AR91" s="131"/>
      <c r="AS91" s="131"/>
      <c r="AT91" s="131"/>
      <c r="AU91" s="91"/>
      <c r="AV91" s="91"/>
      <c r="AW91" s="131"/>
      <c r="AX91" s="131"/>
      <c r="AY91" s="131"/>
    </row>
    <row r="92" spans="1:51" ht="15" x14ac:dyDescent="0.25">
      <c r="A92" s="123"/>
      <c r="B92" s="124"/>
      <c r="C92" s="125">
        <v>667468</v>
      </c>
      <c r="D92" s="89"/>
      <c r="E92" s="86" t="s">
        <v>19</v>
      </c>
      <c r="F92" s="86" t="s">
        <v>418</v>
      </c>
      <c r="H92" s="126" t="s">
        <v>51</v>
      </c>
      <c r="I92" s="89">
        <v>1</v>
      </c>
      <c r="J92" s="127">
        <v>13251.3999</v>
      </c>
      <c r="K92" s="127">
        <v>65777.34</v>
      </c>
      <c r="L92" s="127">
        <v>821.81999999999994</v>
      </c>
      <c r="M92" s="127">
        <v>0</v>
      </c>
      <c r="N92" s="127">
        <v>56743.839999999997</v>
      </c>
      <c r="O92" s="127">
        <v>0</v>
      </c>
      <c r="P92" s="128">
        <f t="shared" si="9"/>
        <v>0</v>
      </c>
      <c r="Q92" s="128">
        <f t="shared" si="10"/>
        <v>0.86266547111816927</v>
      </c>
      <c r="R92" s="128">
        <f t="shared" si="11"/>
        <v>0</v>
      </c>
      <c r="S92" s="129">
        <v>0</v>
      </c>
      <c r="T92" s="129">
        <v>1</v>
      </c>
      <c r="U92" s="129">
        <v>0</v>
      </c>
      <c r="V92" s="138">
        <f t="shared" si="12"/>
        <v>3</v>
      </c>
      <c r="W92" s="138">
        <f t="shared" si="13"/>
        <v>3</v>
      </c>
      <c r="X92" s="138">
        <f t="shared" si="14"/>
        <v>1</v>
      </c>
      <c r="Y92" s="138">
        <f t="shared" si="15"/>
        <v>0</v>
      </c>
      <c r="Z92" s="138">
        <f t="shared" si="16"/>
        <v>3</v>
      </c>
      <c r="AA92" s="138">
        <f t="shared" si="17"/>
        <v>0</v>
      </c>
      <c r="AB92" s="127" t="s">
        <v>32</v>
      </c>
      <c r="AC92" s="127"/>
      <c r="AD92" s="127"/>
      <c r="AE92" s="130"/>
      <c r="AF92" s="136">
        <v>0</v>
      </c>
      <c r="AG92" s="136">
        <v>11.33</v>
      </c>
      <c r="AH92" s="136">
        <v>37.630000000000003</v>
      </c>
      <c r="AI92" s="136">
        <v>5.99</v>
      </c>
      <c r="AJ92" s="136">
        <v>0</v>
      </c>
      <c r="AK92" s="136">
        <v>0.49</v>
      </c>
      <c r="AL92" s="136">
        <v>3.31</v>
      </c>
      <c r="AM92" s="136">
        <v>58.750000000000007</v>
      </c>
      <c r="AN92" s="131"/>
      <c r="AO92" s="131"/>
      <c r="AP92" s="131"/>
      <c r="AQ92" s="131"/>
      <c r="AR92" s="131"/>
      <c r="AS92" s="131"/>
      <c r="AT92" s="131"/>
      <c r="AU92" s="91"/>
      <c r="AV92" s="91"/>
      <c r="AW92" s="131"/>
      <c r="AX92" s="131"/>
      <c r="AY92" s="131"/>
    </row>
    <row r="93" spans="1:51" ht="15" x14ac:dyDescent="0.25">
      <c r="A93" s="123"/>
      <c r="B93" s="124"/>
      <c r="C93" s="125">
        <v>674846</v>
      </c>
      <c r="D93" s="89"/>
      <c r="E93" s="86" t="s">
        <v>19</v>
      </c>
      <c r="F93" s="86" t="s">
        <v>418</v>
      </c>
      <c r="H93" s="126" t="s">
        <v>51</v>
      </c>
      <c r="I93" s="89">
        <v>1</v>
      </c>
      <c r="J93" s="127">
        <v>13251.3999</v>
      </c>
      <c r="K93" s="127">
        <v>65777.34</v>
      </c>
      <c r="L93" s="127">
        <v>821.81999999999994</v>
      </c>
      <c r="M93" s="127">
        <v>0</v>
      </c>
      <c r="N93" s="127">
        <v>56743.839999999997</v>
      </c>
      <c r="O93" s="127">
        <v>0</v>
      </c>
      <c r="P93" s="128">
        <f t="shared" si="9"/>
        <v>0</v>
      </c>
      <c r="Q93" s="128">
        <f t="shared" si="10"/>
        <v>0.86266547111816927</v>
      </c>
      <c r="R93" s="128">
        <f t="shared" si="11"/>
        <v>0</v>
      </c>
      <c r="S93" s="129">
        <v>0</v>
      </c>
      <c r="T93" s="129">
        <v>1</v>
      </c>
      <c r="U93" s="129">
        <v>0</v>
      </c>
      <c r="V93" s="138">
        <f t="shared" si="12"/>
        <v>3</v>
      </c>
      <c r="W93" s="138">
        <f t="shared" si="13"/>
        <v>3</v>
      </c>
      <c r="X93" s="138">
        <f t="shared" si="14"/>
        <v>1</v>
      </c>
      <c r="Y93" s="138">
        <f t="shared" si="15"/>
        <v>0</v>
      </c>
      <c r="Z93" s="138">
        <f t="shared" si="16"/>
        <v>3</v>
      </c>
      <c r="AA93" s="138">
        <f t="shared" si="17"/>
        <v>0</v>
      </c>
      <c r="AB93" s="127" t="s">
        <v>32</v>
      </c>
      <c r="AC93" s="127"/>
      <c r="AD93" s="127"/>
      <c r="AE93" s="130"/>
      <c r="AF93" s="136">
        <v>0</v>
      </c>
      <c r="AG93" s="136">
        <v>11.33</v>
      </c>
      <c r="AH93" s="136">
        <v>37.630000000000003</v>
      </c>
      <c r="AI93" s="136">
        <v>5.99</v>
      </c>
      <c r="AJ93" s="136">
        <v>0</v>
      </c>
      <c r="AK93" s="136">
        <v>0.49</v>
      </c>
      <c r="AL93" s="136">
        <v>3.31</v>
      </c>
      <c r="AM93" s="136">
        <v>58.750000000000007</v>
      </c>
      <c r="AN93" s="131"/>
      <c r="AO93" s="131"/>
      <c r="AP93" s="131"/>
      <c r="AQ93" s="131"/>
      <c r="AR93" s="131"/>
      <c r="AS93" s="131"/>
      <c r="AT93" s="131"/>
      <c r="AU93" s="91"/>
      <c r="AV93" s="91"/>
      <c r="AW93" s="131"/>
      <c r="AX93" s="131"/>
      <c r="AY93" s="131"/>
    </row>
    <row r="94" spans="1:51" ht="15" x14ac:dyDescent="0.25">
      <c r="A94" s="123"/>
      <c r="B94" s="124"/>
      <c r="C94" s="125">
        <v>756248</v>
      </c>
      <c r="D94" s="89"/>
      <c r="E94" s="86" t="s">
        <v>19</v>
      </c>
      <c r="F94" s="86" t="s">
        <v>418</v>
      </c>
      <c r="H94" s="126" t="s">
        <v>51</v>
      </c>
      <c r="I94" s="89">
        <v>1</v>
      </c>
      <c r="J94" s="127">
        <v>13251.3999</v>
      </c>
      <c r="K94" s="127">
        <v>65777.34</v>
      </c>
      <c r="L94" s="127">
        <v>821.81999999999994</v>
      </c>
      <c r="M94" s="127">
        <v>0</v>
      </c>
      <c r="N94" s="127">
        <v>56743.839999999997</v>
      </c>
      <c r="O94" s="127">
        <v>0</v>
      </c>
      <c r="P94" s="128">
        <f t="shared" si="9"/>
        <v>0</v>
      </c>
      <c r="Q94" s="128">
        <f t="shared" si="10"/>
        <v>0.86266547111816927</v>
      </c>
      <c r="R94" s="128">
        <f t="shared" si="11"/>
        <v>0</v>
      </c>
      <c r="S94" s="129">
        <v>0</v>
      </c>
      <c r="T94" s="129">
        <v>1</v>
      </c>
      <c r="U94" s="129">
        <v>0</v>
      </c>
      <c r="V94" s="138">
        <f t="shared" si="12"/>
        <v>3</v>
      </c>
      <c r="W94" s="138">
        <f t="shared" si="13"/>
        <v>3</v>
      </c>
      <c r="X94" s="138">
        <f t="shared" si="14"/>
        <v>1</v>
      </c>
      <c r="Y94" s="138">
        <f t="shared" si="15"/>
        <v>0</v>
      </c>
      <c r="Z94" s="138">
        <f t="shared" si="16"/>
        <v>3</v>
      </c>
      <c r="AA94" s="138">
        <f t="shared" si="17"/>
        <v>0</v>
      </c>
      <c r="AB94" s="127" t="s">
        <v>32</v>
      </c>
      <c r="AC94" s="127"/>
      <c r="AD94" s="127"/>
      <c r="AE94" s="130"/>
      <c r="AF94" s="136">
        <v>0</v>
      </c>
      <c r="AG94" s="136">
        <v>11.33</v>
      </c>
      <c r="AH94" s="136">
        <v>37.630000000000003</v>
      </c>
      <c r="AI94" s="136">
        <v>5.99</v>
      </c>
      <c r="AJ94" s="136">
        <v>0</v>
      </c>
      <c r="AK94" s="136">
        <v>0.49</v>
      </c>
      <c r="AL94" s="136">
        <v>3.31</v>
      </c>
      <c r="AM94" s="136">
        <v>58.750000000000007</v>
      </c>
      <c r="AN94" s="131"/>
      <c r="AO94" s="131"/>
      <c r="AP94" s="131"/>
      <c r="AQ94" s="131"/>
      <c r="AR94" s="131"/>
      <c r="AS94" s="131"/>
      <c r="AT94" s="131"/>
      <c r="AU94" s="91"/>
      <c r="AV94" s="91"/>
      <c r="AW94" s="131"/>
      <c r="AX94" s="131"/>
      <c r="AY94" s="131"/>
    </row>
    <row r="95" spans="1:51" ht="15" x14ac:dyDescent="0.25">
      <c r="A95" s="123"/>
      <c r="B95" s="124"/>
      <c r="C95" s="125">
        <v>772486</v>
      </c>
      <c r="D95" s="89"/>
      <c r="E95" s="86" t="s">
        <v>19</v>
      </c>
      <c r="F95" s="86" t="s">
        <v>418</v>
      </c>
      <c r="H95" s="126" t="s">
        <v>51</v>
      </c>
      <c r="I95" s="89">
        <v>1</v>
      </c>
      <c r="J95" s="127">
        <v>13251.3999</v>
      </c>
      <c r="K95" s="127">
        <v>65777.34</v>
      </c>
      <c r="L95" s="127">
        <v>821.81999999999994</v>
      </c>
      <c r="M95" s="127">
        <v>0</v>
      </c>
      <c r="N95" s="127">
        <v>56743.839999999997</v>
      </c>
      <c r="O95" s="127">
        <v>0</v>
      </c>
      <c r="P95" s="128">
        <f t="shared" si="9"/>
        <v>0</v>
      </c>
      <c r="Q95" s="128">
        <f t="shared" si="10"/>
        <v>0.86266547111816927</v>
      </c>
      <c r="R95" s="128">
        <f t="shared" si="11"/>
        <v>0</v>
      </c>
      <c r="S95" s="129">
        <v>0</v>
      </c>
      <c r="T95" s="129">
        <v>1</v>
      </c>
      <c r="U95" s="129">
        <v>0</v>
      </c>
      <c r="V95" s="138">
        <f t="shared" si="12"/>
        <v>3</v>
      </c>
      <c r="W95" s="138">
        <f t="shared" si="13"/>
        <v>3</v>
      </c>
      <c r="X95" s="138">
        <f t="shared" si="14"/>
        <v>1</v>
      </c>
      <c r="Y95" s="138">
        <f t="shared" si="15"/>
        <v>0</v>
      </c>
      <c r="Z95" s="138">
        <f t="shared" si="16"/>
        <v>3</v>
      </c>
      <c r="AA95" s="138">
        <f t="shared" si="17"/>
        <v>0</v>
      </c>
      <c r="AB95" s="127" t="s">
        <v>32</v>
      </c>
      <c r="AC95" s="127"/>
      <c r="AD95" s="127"/>
      <c r="AE95" s="130"/>
      <c r="AF95" s="136">
        <v>0</v>
      </c>
      <c r="AG95" s="136">
        <v>11.33</v>
      </c>
      <c r="AH95" s="136">
        <v>37.630000000000003</v>
      </c>
      <c r="AI95" s="136">
        <v>5.99</v>
      </c>
      <c r="AJ95" s="136">
        <v>0</v>
      </c>
      <c r="AK95" s="136">
        <v>0.49</v>
      </c>
      <c r="AL95" s="136">
        <v>3.31</v>
      </c>
      <c r="AM95" s="136">
        <v>58.750000000000007</v>
      </c>
      <c r="AN95" s="131"/>
      <c r="AO95" s="131"/>
      <c r="AP95" s="131"/>
      <c r="AQ95" s="131"/>
      <c r="AR95" s="131"/>
      <c r="AS95" s="131"/>
      <c r="AT95" s="131"/>
      <c r="AU95" s="91"/>
      <c r="AV95" s="91"/>
      <c r="AW95" s="131"/>
      <c r="AX95" s="131"/>
      <c r="AY95" s="131"/>
    </row>
    <row r="96" spans="1:51" ht="15" x14ac:dyDescent="0.25">
      <c r="A96" s="123"/>
      <c r="B96" s="124"/>
      <c r="C96" s="125">
        <v>794408</v>
      </c>
      <c r="D96" s="89"/>
      <c r="E96" s="86" t="s">
        <v>19</v>
      </c>
      <c r="F96" s="86" t="s">
        <v>418</v>
      </c>
      <c r="H96" s="126" t="s">
        <v>51</v>
      </c>
      <c r="I96" s="89">
        <v>1</v>
      </c>
      <c r="J96" s="127">
        <v>13251.3999</v>
      </c>
      <c r="K96" s="127">
        <v>65777.34</v>
      </c>
      <c r="L96" s="127">
        <v>821.81999999999994</v>
      </c>
      <c r="M96" s="127">
        <v>0</v>
      </c>
      <c r="N96" s="127">
        <v>56743.839999999997</v>
      </c>
      <c r="O96" s="127">
        <v>0</v>
      </c>
      <c r="P96" s="128">
        <f t="shared" si="9"/>
        <v>0</v>
      </c>
      <c r="Q96" s="128">
        <f t="shared" si="10"/>
        <v>0.86266547111816927</v>
      </c>
      <c r="R96" s="128">
        <f t="shared" si="11"/>
        <v>0</v>
      </c>
      <c r="S96" s="129">
        <v>0</v>
      </c>
      <c r="T96" s="129">
        <v>1</v>
      </c>
      <c r="U96" s="129">
        <v>0</v>
      </c>
      <c r="V96" s="138">
        <f t="shared" si="12"/>
        <v>3</v>
      </c>
      <c r="W96" s="138">
        <f t="shared" si="13"/>
        <v>3</v>
      </c>
      <c r="X96" s="138">
        <f t="shared" si="14"/>
        <v>1</v>
      </c>
      <c r="Y96" s="138">
        <f t="shared" si="15"/>
        <v>0</v>
      </c>
      <c r="Z96" s="138">
        <f t="shared" si="16"/>
        <v>3</v>
      </c>
      <c r="AA96" s="138">
        <f t="shared" si="17"/>
        <v>0</v>
      </c>
      <c r="AB96" s="127" t="s">
        <v>32</v>
      </c>
      <c r="AC96" s="127"/>
      <c r="AD96" s="127"/>
      <c r="AE96" s="130"/>
      <c r="AF96" s="136">
        <v>0</v>
      </c>
      <c r="AG96" s="136">
        <v>11.33</v>
      </c>
      <c r="AH96" s="136">
        <v>37.630000000000003</v>
      </c>
      <c r="AI96" s="136">
        <v>5.99</v>
      </c>
      <c r="AJ96" s="136">
        <v>0</v>
      </c>
      <c r="AK96" s="136">
        <v>0.49</v>
      </c>
      <c r="AL96" s="136">
        <v>3.31</v>
      </c>
      <c r="AM96" s="136">
        <v>58.750000000000007</v>
      </c>
      <c r="AN96" s="131"/>
      <c r="AO96" s="131"/>
      <c r="AP96" s="131"/>
      <c r="AQ96" s="131"/>
      <c r="AR96" s="131"/>
      <c r="AS96" s="131"/>
      <c r="AT96" s="131"/>
      <c r="AU96" s="91"/>
      <c r="AV96" s="91"/>
      <c r="AW96" s="131"/>
      <c r="AX96" s="131"/>
      <c r="AY96" s="131"/>
    </row>
    <row r="97" spans="1:51" ht="15" x14ac:dyDescent="0.25">
      <c r="A97" s="123"/>
      <c r="B97" s="124"/>
      <c r="C97" s="125">
        <v>933241</v>
      </c>
      <c r="D97" s="89"/>
      <c r="E97" s="86" t="s">
        <v>19</v>
      </c>
      <c r="F97" s="86" t="s">
        <v>418</v>
      </c>
      <c r="H97" s="126" t="s">
        <v>51</v>
      </c>
      <c r="I97" s="89">
        <v>1</v>
      </c>
      <c r="J97" s="127">
        <v>13251.3999</v>
      </c>
      <c r="K97" s="127">
        <v>65777.34</v>
      </c>
      <c r="L97" s="127">
        <v>821.81999999999994</v>
      </c>
      <c r="M97" s="127">
        <v>0</v>
      </c>
      <c r="N97" s="127">
        <v>56743.839999999997</v>
      </c>
      <c r="O97" s="127">
        <v>0</v>
      </c>
      <c r="P97" s="128">
        <f t="shared" si="9"/>
        <v>0</v>
      </c>
      <c r="Q97" s="128">
        <f t="shared" si="10"/>
        <v>0.86266547111816927</v>
      </c>
      <c r="R97" s="128">
        <f t="shared" si="11"/>
        <v>0</v>
      </c>
      <c r="S97" s="129">
        <v>0</v>
      </c>
      <c r="T97" s="129">
        <v>1</v>
      </c>
      <c r="U97" s="129">
        <v>0</v>
      </c>
      <c r="V97" s="138">
        <f t="shared" si="12"/>
        <v>3</v>
      </c>
      <c r="W97" s="138">
        <f t="shared" si="13"/>
        <v>3</v>
      </c>
      <c r="X97" s="138">
        <f t="shared" si="14"/>
        <v>1</v>
      </c>
      <c r="Y97" s="138">
        <f t="shared" si="15"/>
        <v>0</v>
      </c>
      <c r="Z97" s="138">
        <f t="shared" si="16"/>
        <v>3</v>
      </c>
      <c r="AA97" s="138">
        <f t="shared" si="17"/>
        <v>0</v>
      </c>
      <c r="AB97" s="127" t="s">
        <v>32</v>
      </c>
      <c r="AC97" s="127"/>
      <c r="AD97" s="127"/>
      <c r="AE97" s="130"/>
      <c r="AF97" s="136">
        <v>0</v>
      </c>
      <c r="AG97" s="136">
        <v>11.33</v>
      </c>
      <c r="AH97" s="136">
        <v>37.630000000000003</v>
      </c>
      <c r="AI97" s="136">
        <v>5.99</v>
      </c>
      <c r="AJ97" s="136">
        <v>0</v>
      </c>
      <c r="AK97" s="136">
        <v>0.49</v>
      </c>
      <c r="AL97" s="136">
        <v>3.31</v>
      </c>
      <c r="AM97" s="136">
        <v>58.750000000000007</v>
      </c>
      <c r="AN97" s="131"/>
      <c r="AO97" s="131"/>
      <c r="AP97" s="131"/>
      <c r="AQ97" s="131"/>
      <c r="AR97" s="131"/>
      <c r="AS97" s="131"/>
      <c r="AT97" s="131"/>
      <c r="AU97" s="91"/>
      <c r="AV97" s="91"/>
      <c r="AW97" s="131"/>
      <c r="AX97" s="131"/>
      <c r="AY97" s="131"/>
    </row>
    <row r="98" spans="1:51" ht="15" x14ac:dyDescent="0.25">
      <c r="A98" s="123"/>
      <c r="B98" s="124"/>
      <c r="C98" s="125">
        <v>949332</v>
      </c>
      <c r="D98" s="89"/>
      <c r="E98" s="86" t="s">
        <v>19</v>
      </c>
      <c r="F98" s="86" t="s">
        <v>418</v>
      </c>
      <c r="H98" s="126" t="s">
        <v>51</v>
      </c>
      <c r="I98" s="89">
        <v>1</v>
      </c>
      <c r="J98" s="127">
        <v>13251.3999</v>
      </c>
      <c r="K98" s="127">
        <v>65777.34</v>
      </c>
      <c r="L98" s="127">
        <v>821.81999999999994</v>
      </c>
      <c r="M98" s="127">
        <v>0</v>
      </c>
      <c r="N98" s="127">
        <v>56743.839999999997</v>
      </c>
      <c r="O98" s="127">
        <v>0</v>
      </c>
      <c r="P98" s="128">
        <f t="shared" si="9"/>
        <v>0</v>
      </c>
      <c r="Q98" s="128">
        <f t="shared" si="10"/>
        <v>0.86266547111816927</v>
      </c>
      <c r="R98" s="128">
        <f t="shared" si="11"/>
        <v>0</v>
      </c>
      <c r="S98" s="129">
        <v>0</v>
      </c>
      <c r="T98" s="129">
        <v>1</v>
      </c>
      <c r="U98" s="129">
        <v>0</v>
      </c>
      <c r="V98" s="138">
        <f t="shared" si="12"/>
        <v>3</v>
      </c>
      <c r="W98" s="138">
        <f t="shared" si="13"/>
        <v>3</v>
      </c>
      <c r="X98" s="138">
        <f t="shared" si="14"/>
        <v>1</v>
      </c>
      <c r="Y98" s="138">
        <f t="shared" si="15"/>
        <v>0</v>
      </c>
      <c r="Z98" s="138">
        <f t="shared" si="16"/>
        <v>3</v>
      </c>
      <c r="AA98" s="138">
        <f t="shared" si="17"/>
        <v>0</v>
      </c>
      <c r="AB98" s="127" t="s">
        <v>32</v>
      </c>
      <c r="AC98" s="127"/>
      <c r="AD98" s="127"/>
      <c r="AE98" s="130"/>
      <c r="AF98" s="136">
        <v>0</v>
      </c>
      <c r="AG98" s="136">
        <v>11.33</v>
      </c>
      <c r="AH98" s="136">
        <v>37.630000000000003</v>
      </c>
      <c r="AI98" s="136">
        <v>5.99</v>
      </c>
      <c r="AJ98" s="136">
        <v>0</v>
      </c>
      <c r="AK98" s="136">
        <v>0.49</v>
      </c>
      <c r="AL98" s="136">
        <v>3.31</v>
      </c>
      <c r="AM98" s="136">
        <v>58.750000000000007</v>
      </c>
      <c r="AN98" s="131"/>
      <c r="AO98" s="131"/>
      <c r="AP98" s="131"/>
      <c r="AQ98" s="131"/>
      <c r="AR98" s="131"/>
      <c r="AS98" s="131"/>
      <c r="AT98" s="131"/>
      <c r="AU98" s="91"/>
      <c r="AV98" s="91"/>
      <c r="AW98" s="131"/>
      <c r="AX98" s="131"/>
      <c r="AY98" s="131"/>
    </row>
    <row r="99" spans="1:51" ht="15" x14ac:dyDescent="0.25">
      <c r="A99" s="123"/>
      <c r="B99" s="124"/>
      <c r="C99" s="125">
        <v>959423</v>
      </c>
      <c r="D99" s="89"/>
      <c r="E99" s="86" t="s">
        <v>19</v>
      </c>
      <c r="F99" s="86" t="s">
        <v>418</v>
      </c>
      <c r="H99" s="126" t="s">
        <v>51</v>
      </c>
      <c r="I99" s="89">
        <v>1</v>
      </c>
      <c r="J99" s="127">
        <v>13251.3999</v>
      </c>
      <c r="K99" s="127">
        <v>65777.34</v>
      </c>
      <c r="L99" s="127">
        <v>821.81999999999994</v>
      </c>
      <c r="M99" s="127">
        <v>0</v>
      </c>
      <c r="N99" s="127">
        <v>56743.839999999997</v>
      </c>
      <c r="O99" s="127">
        <v>0</v>
      </c>
      <c r="P99" s="128">
        <f t="shared" si="9"/>
        <v>0</v>
      </c>
      <c r="Q99" s="128">
        <f t="shared" si="10"/>
        <v>0.86266547111816927</v>
      </c>
      <c r="R99" s="128">
        <f t="shared" si="11"/>
        <v>0</v>
      </c>
      <c r="S99" s="129">
        <v>0</v>
      </c>
      <c r="T99" s="129">
        <v>1</v>
      </c>
      <c r="U99" s="129">
        <v>0</v>
      </c>
      <c r="V99" s="138">
        <f t="shared" si="12"/>
        <v>3</v>
      </c>
      <c r="W99" s="138">
        <f t="shared" si="13"/>
        <v>3</v>
      </c>
      <c r="X99" s="138">
        <f t="shared" si="14"/>
        <v>1</v>
      </c>
      <c r="Y99" s="138">
        <f t="shared" si="15"/>
        <v>0</v>
      </c>
      <c r="Z99" s="138">
        <f t="shared" si="16"/>
        <v>3</v>
      </c>
      <c r="AA99" s="138">
        <f t="shared" si="17"/>
        <v>0</v>
      </c>
      <c r="AB99" s="127" t="s">
        <v>32</v>
      </c>
      <c r="AC99" s="127"/>
      <c r="AD99" s="127"/>
      <c r="AE99" s="130"/>
      <c r="AF99" s="136">
        <v>0</v>
      </c>
      <c r="AG99" s="136">
        <v>11.33</v>
      </c>
      <c r="AH99" s="136">
        <v>37.630000000000003</v>
      </c>
      <c r="AI99" s="136">
        <v>5.99</v>
      </c>
      <c r="AJ99" s="136">
        <v>0</v>
      </c>
      <c r="AK99" s="136">
        <v>0.49</v>
      </c>
      <c r="AL99" s="136">
        <v>3.31</v>
      </c>
      <c r="AM99" s="136">
        <v>58.750000000000007</v>
      </c>
      <c r="AN99" s="131"/>
      <c r="AO99" s="131"/>
      <c r="AP99" s="131"/>
      <c r="AQ99" s="131"/>
      <c r="AR99" s="131"/>
      <c r="AS99" s="131"/>
      <c r="AT99" s="131"/>
      <c r="AU99" s="91"/>
      <c r="AV99" s="91"/>
      <c r="AW99" s="131"/>
      <c r="AX99" s="131"/>
      <c r="AY99" s="131"/>
    </row>
    <row r="100" spans="1:51" ht="15" x14ac:dyDescent="0.25">
      <c r="A100" s="123"/>
      <c r="B100" s="124"/>
      <c r="C100" s="125">
        <v>66774</v>
      </c>
      <c r="D100" s="89"/>
      <c r="E100" s="86" t="s">
        <v>5</v>
      </c>
      <c r="F100" s="86" t="s">
        <v>418</v>
      </c>
      <c r="H100" s="126" t="s">
        <v>51</v>
      </c>
      <c r="I100" s="89">
        <v>1</v>
      </c>
      <c r="J100" s="127">
        <v>6768.2425999999996</v>
      </c>
      <c r="K100" s="127">
        <v>2649.51</v>
      </c>
      <c r="L100" s="127">
        <v>965.16000000000008</v>
      </c>
      <c r="M100" s="127">
        <v>0</v>
      </c>
      <c r="N100" s="127">
        <v>0</v>
      </c>
      <c r="O100" s="127">
        <v>0</v>
      </c>
      <c r="P100" s="128">
        <f t="shared" si="9"/>
        <v>0</v>
      </c>
      <c r="Q100" s="128">
        <f t="shared" si="10"/>
        <v>0</v>
      </c>
      <c r="R100" s="128">
        <f t="shared" si="11"/>
        <v>0</v>
      </c>
      <c r="S100" s="129">
        <v>0</v>
      </c>
      <c r="T100" s="129">
        <v>0</v>
      </c>
      <c r="U100" s="129">
        <v>0</v>
      </c>
      <c r="V100" s="138">
        <f t="shared" si="12"/>
        <v>3</v>
      </c>
      <c r="W100" s="138">
        <f t="shared" si="13"/>
        <v>3</v>
      </c>
      <c r="X100" s="138">
        <f t="shared" si="14"/>
        <v>1</v>
      </c>
      <c r="Y100" s="138">
        <f t="shared" si="15"/>
        <v>0</v>
      </c>
      <c r="Z100" s="138">
        <f t="shared" si="16"/>
        <v>0</v>
      </c>
      <c r="AA100" s="138">
        <f t="shared" si="17"/>
        <v>0</v>
      </c>
      <c r="AB100" s="127" t="s">
        <v>31</v>
      </c>
      <c r="AC100" s="127"/>
      <c r="AD100" s="127" t="s">
        <v>32</v>
      </c>
      <c r="AE100" s="130"/>
      <c r="AF100" s="136">
        <v>0</v>
      </c>
      <c r="AG100" s="136">
        <v>4.0599999999999996</v>
      </c>
      <c r="AH100" s="136">
        <v>0</v>
      </c>
      <c r="AI100" s="136">
        <v>2.14</v>
      </c>
      <c r="AJ100" s="136">
        <v>0</v>
      </c>
      <c r="AK100" s="136">
        <v>0.47</v>
      </c>
      <c r="AL100" s="136">
        <v>3.31</v>
      </c>
      <c r="AM100" s="136">
        <v>9.9799999999999986</v>
      </c>
      <c r="AN100" s="131"/>
      <c r="AO100" s="131"/>
      <c r="AP100" s="131"/>
      <c r="AQ100" s="131"/>
      <c r="AR100" s="131"/>
      <c r="AS100" s="131"/>
      <c r="AT100" s="131"/>
      <c r="AU100" s="91"/>
      <c r="AV100" s="91"/>
      <c r="AW100" s="131"/>
      <c r="AX100" s="131"/>
      <c r="AY100" s="131"/>
    </row>
    <row r="101" spans="1:51" ht="15" x14ac:dyDescent="0.25">
      <c r="A101" s="123"/>
      <c r="B101" s="124"/>
      <c r="C101" s="125">
        <v>78779</v>
      </c>
      <c r="D101" s="89"/>
      <c r="E101" s="86" t="s">
        <v>5</v>
      </c>
      <c r="F101" s="86" t="s">
        <v>418</v>
      </c>
      <c r="H101" s="126" t="s">
        <v>51</v>
      </c>
      <c r="I101" s="89">
        <v>1</v>
      </c>
      <c r="J101" s="127">
        <v>6768.2425999999996</v>
      </c>
      <c r="K101" s="127">
        <v>2649.51</v>
      </c>
      <c r="L101" s="127">
        <v>965.16000000000008</v>
      </c>
      <c r="M101" s="127">
        <v>0</v>
      </c>
      <c r="N101" s="127">
        <v>0</v>
      </c>
      <c r="O101" s="127">
        <v>0</v>
      </c>
      <c r="P101" s="128">
        <f t="shared" si="9"/>
        <v>0</v>
      </c>
      <c r="Q101" s="128">
        <f t="shared" si="10"/>
        <v>0</v>
      </c>
      <c r="R101" s="128">
        <f t="shared" si="11"/>
        <v>0</v>
      </c>
      <c r="S101" s="129">
        <v>0</v>
      </c>
      <c r="T101" s="129">
        <v>0</v>
      </c>
      <c r="U101" s="129">
        <v>0</v>
      </c>
      <c r="V101" s="138">
        <f t="shared" si="12"/>
        <v>3</v>
      </c>
      <c r="W101" s="138">
        <f t="shared" si="13"/>
        <v>3</v>
      </c>
      <c r="X101" s="138">
        <f t="shared" si="14"/>
        <v>1</v>
      </c>
      <c r="Y101" s="138">
        <f t="shared" si="15"/>
        <v>0</v>
      </c>
      <c r="Z101" s="138">
        <f t="shared" si="16"/>
        <v>0</v>
      </c>
      <c r="AA101" s="138">
        <f t="shared" si="17"/>
        <v>0</v>
      </c>
      <c r="AB101" s="127" t="s">
        <v>31</v>
      </c>
      <c r="AC101" s="127"/>
      <c r="AD101" s="127" t="s">
        <v>32</v>
      </c>
      <c r="AE101" s="130"/>
      <c r="AF101" s="136">
        <v>0</v>
      </c>
      <c r="AG101" s="136">
        <v>4.0599999999999996</v>
      </c>
      <c r="AH101" s="136">
        <v>0</v>
      </c>
      <c r="AI101" s="136">
        <v>2.14</v>
      </c>
      <c r="AJ101" s="136">
        <v>0</v>
      </c>
      <c r="AK101" s="136">
        <v>0.47</v>
      </c>
      <c r="AL101" s="136">
        <v>3.31</v>
      </c>
      <c r="AM101" s="136">
        <v>9.9799999999999986</v>
      </c>
      <c r="AN101" s="131"/>
      <c r="AO101" s="131"/>
      <c r="AP101" s="131"/>
      <c r="AQ101" s="131"/>
      <c r="AR101" s="131"/>
      <c r="AS101" s="131"/>
      <c r="AT101" s="131"/>
      <c r="AU101" s="91"/>
      <c r="AV101" s="91"/>
      <c r="AW101" s="131"/>
      <c r="AX101" s="131"/>
      <c r="AY101" s="131"/>
    </row>
    <row r="102" spans="1:51" ht="15" x14ac:dyDescent="0.25">
      <c r="A102" s="123"/>
      <c r="B102" s="124"/>
      <c r="C102" s="125">
        <v>99452</v>
      </c>
      <c r="D102" s="89"/>
      <c r="E102" s="86" t="s">
        <v>5</v>
      </c>
      <c r="F102" s="86" t="s">
        <v>418</v>
      </c>
      <c r="H102" s="126" t="s">
        <v>51</v>
      </c>
      <c r="I102" s="89">
        <v>1</v>
      </c>
      <c r="J102" s="127">
        <v>6768.2425999999996</v>
      </c>
      <c r="K102" s="127">
        <v>2649.51</v>
      </c>
      <c r="L102" s="127">
        <v>965.16000000000008</v>
      </c>
      <c r="M102" s="127">
        <v>0</v>
      </c>
      <c r="N102" s="127">
        <v>0</v>
      </c>
      <c r="O102" s="127">
        <v>0</v>
      </c>
      <c r="P102" s="128">
        <f t="shared" si="9"/>
        <v>0</v>
      </c>
      <c r="Q102" s="128">
        <f t="shared" si="10"/>
        <v>0</v>
      </c>
      <c r="R102" s="128">
        <f t="shared" si="11"/>
        <v>0</v>
      </c>
      <c r="S102" s="129">
        <v>0</v>
      </c>
      <c r="T102" s="129">
        <v>0</v>
      </c>
      <c r="U102" s="129">
        <v>0</v>
      </c>
      <c r="V102" s="138">
        <f t="shared" si="12"/>
        <v>3</v>
      </c>
      <c r="W102" s="138">
        <f t="shared" si="13"/>
        <v>3</v>
      </c>
      <c r="X102" s="138">
        <f t="shared" si="14"/>
        <v>1</v>
      </c>
      <c r="Y102" s="138">
        <f t="shared" si="15"/>
        <v>0</v>
      </c>
      <c r="Z102" s="138">
        <f t="shared" si="16"/>
        <v>0</v>
      </c>
      <c r="AA102" s="138">
        <f t="shared" si="17"/>
        <v>0</v>
      </c>
      <c r="AB102" s="127" t="s">
        <v>31</v>
      </c>
      <c r="AC102" s="127"/>
      <c r="AD102" s="127" t="s">
        <v>32</v>
      </c>
      <c r="AE102" s="130"/>
      <c r="AF102" s="136">
        <v>0</v>
      </c>
      <c r="AG102" s="136">
        <v>4.0599999999999996</v>
      </c>
      <c r="AH102" s="136">
        <v>0</v>
      </c>
      <c r="AI102" s="136">
        <v>2.14</v>
      </c>
      <c r="AJ102" s="136">
        <v>0</v>
      </c>
      <c r="AK102" s="136">
        <v>0.47</v>
      </c>
      <c r="AL102" s="136">
        <v>3.31</v>
      </c>
      <c r="AM102" s="136">
        <v>9.9799999999999986</v>
      </c>
      <c r="AN102" s="131"/>
      <c r="AO102" s="131"/>
      <c r="AP102" s="131"/>
      <c r="AQ102" s="131"/>
      <c r="AR102" s="131"/>
      <c r="AS102" s="131"/>
      <c r="AT102" s="131"/>
      <c r="AU102" s="91"/>
      <c r="AV102" s="91"/>
      <c r="AW102" s="131"/>
      <c r="AX102" s="131"/>
      <c r="AY102" s="131"/>
    </row>
    <row r="103" spans="1:51" ht="15" x14ac:dyDescent="0.25">
      <c r="A103" s="123"/>
      <c r="B103" s="124"/>
      <c r="C103" s="125">
        <v>143169</v>
      </c>
      <c r="D103" s="89"/>
      <c r="E103" s="86" t="s">
        <v>5</v>
      </c>
      <c r="F103" s="86" t="s">
        <v>418</v>
      </c>
      <c r="H103" s="126" t="s">
        <v>51</v>
      </c>
      <c r="I103" s="89">
        <v>1</v>
      </c>
      <c r="J103" s="127">
        <v>6768.2425999999996</v>
      </c>
      <c r="K103" s="127">
        <v>2649.51</v>
      </c>
      <c r="L103" s="127">
        <v>965.16000000000008</v>
      </c>
      <c r="M103" s="127">
        <v>0</v>
      </c>
      <c r="N103" s="127">
        <v>0</v>
      </c>
      <c r="O103" s="127">
        <v>0</v>
      </c>
      <c r="P103" s="128">
        <f t="shared" si="9"/>
        <v>0</v>
      </c>
      <c r="Q103" s="128">
        <f t="shared" si="10"/>
        <v>0</v>
      </c>
      <c r="R103" s="128">
        <f t="shared" si="11"/>
        <v>0</v>
      </c>
      <c r="S103" s="129">
        <v>0</v>
      </c>
      <c r="T103" s="129">
        <v>0</v>
      </c>
      <c r="U103" s="129">
        <v>0</v>
      </c>
      <c r="V103" s="138">
        <f t="shared" si="12"/>
        <v>3</v>
      </c>
      <c r="W103" s="138">
        <f t="shared" si="13"/>
        <v>3</v>
      </c>
      <c r="X103" s="138">
        <f t="shared" si="14"/>
        <v>1</v>
      </c>
      <c r="Y103" s="138">
        <f t="shared" si="15"/>
        <v>0</v>
      </c>
      <c r="Z103" s="138">
        <f t="shared" si="16"/>
        <v>0</v>
      </c>
      <c r="AA103" s="138">
        <f t="shared" si="17"/>
        <v>0</v>
      </c>
      <c r="AB103" s="127" t="s">
        <v>31</v>
      </c>
      <c r="AC103" s="127"/>
      <c r="AD103" s="127" t="s">
        <v>32</v>
      </c>
      <c r="AE103" s="130"/>
      <c r="AF103" s="136">
        <v>0</v>
      </c>
      <c r="AG103" s="136">
        <v>4.0599999999999996</v>
      </c>
      <c r="AH103" s="136">
        <v>0</v>
      </c>
      <c r="AI103" s="136">
        <v>2.14</v>
      </c>
      <c r="AJ103" s="136">
        <v>0</v>
      </c>
      <c r="AK103" s="136">
        <v>0.47</v>
      </c>
      <c r="AL103" s="136">
        <v>3.31</v>
      </c>
      <c r="AM103" s="136">
        <v>9.9799999999999986</v>
      </c>
      <c r="AN103" s="131"/>
      <c r="AO103" s="131"/>
      <c r="AP103" s="131"/>
      <c r="AQ103" s="131"/>
      <c r="AR103" s="131"/>
      <c r="AS103" s="131"/>
      <c r="AT103" s="131"/>
      <c r="AU103" s="91"/>
      <c r="AV103" s="91"/>
      <c r="AW103" s="131"/>
      <c r="AX103" s="131"/>
      <c r="AY103" s="131"/>
    </row>
    <row r="104" spans="1:51" ht="15" x14ac:dyDescent="0.25">
      <c r="A104" s="123"/>
      <c r="B104" s="124"/>
      <c r="C104" s="125">
        <v>196668</v>
      </c>
      <c r="D104" s="89"/>
      <c r="E104" s="86" t="s">
        <v>5</v>
      </c>
      <c r="F104" s="86" t="s">
        <v>418</v>
      </c>
      <c r="H104" s="126" t="s">
        <v>51</v>
      </c>
      <c r="I104" s="89">
        <v>1</v>
      </c>
      <c r="J104" s="127">
        <v>6768.2425999999996</v>
      </c>
      <c r="K104" s="127">
        <v>2649.51</v>
      </c>
      <c r="L104" s="127">
        <v>965.16000000000008</v>
      </c>
      <c r="M104" s="127">
        <v>0</v>
      </c>
      <c r="N104" s="127">
        <v>0</v>
      </c>
      <c r="O104" s="127">
        <v>0</v>
      </c>
      <c r="P104" s="128">
        <f t="shared" si="9"/>
        <v>0</v>
      </c>
      <c r="Q104" s="128">
        <f t="shared" si="10"/>
        <v>0</v>
      </c>
      <c r="R104" s="128">
        <f t="shared" si="11"/>
        <v>0</v>
      </c>
      <c r="S104" s="129">
        <v>0</v>
      </c>
      <c r="T104" s="129">
        <v>0</v>
      </c>
      <c r="U104" s="129">
        <v>0</v>
      </c>
      <c r="V104" s="138">
        <f t="shared" si="12"/>
        <v>3</v>
      </c>
      <c r="W104" s="138">
        <f t="shared" si="13"/>
        <v>3</v>
      </c>
      <c r="X104" s="138">
        <f t="shared" si="14"/>
        <v>1</v>
      </c>
      <c r="Y104" s="138">
        <f t="shared" si="15"/>
        <v>0</v>
      </c>
      <c r="Z104" s="138">
        <f t="shared" si="16"/>
        <v>0</v>
      </c>
      <c r="AA104" s="138">
        <f t="shared" si="17"/>
        <v>0</v>
      </c>
      <c r="AB104" s="127" t="s">
        <v>31</v>
      </c>
      <c r="AC104" s="127"/>
      <c r="AD104" s="127" t="s">
        <v>32</v>
      </c>
      <c r="AE104" s="130"/>
      <c r="AF104" s="136">
        <v>0</v>
      </c>
      <c r="AG104" s="136">
        <v>4.0599999999999996</v>
      </c>
      <c r="AH104" s="136">
        <v>0</v>
      </c>
      <c r="AI104" s="136">
        <v>2.14</v>
      </c>
      <c r="AJ104" s="136">
        <v>0</v>
      </c>
      <c r="AK104" s="136">
        <v>0.47</v>
      </c>
      <c r="AL104" s="136">
        <v>3.31</v>
      </c>
      <c r="AM104" s="136">
        <v>9.9799999999999986</v>
      </c>
      <c r="AN104" s="131"/>
      <c r="AO104" s="131"/>
      <c r="AP104" s="131"/>
      <c r="AQ104" s="131"/>
      <c r="AR104" s="131"/>
      <c r="AS104" s="131"/>
      <c r="AT104" s="131"/>
      <c r="AU104" s="91"/>
      <c r="AV104" s="91"/>
      <c r="AW104" s="131"/>
      <c r="AX104" s="131"/>
      <c r="AY104" s="131"/>
    </row>
    <row r="105" spans="1:51" ht="15" x14ac:dyDescent="0.25">
      <c r="A105" s="123"/>
      <c r="B105" s="124"/>
      <c r="C105" s="125">
        <v>204979</v>
      </c>
      <c r="D105" s="89"/>
      <c r="E105" s="86" t="s">
        <v>5</v>
      </c>
      <c r="F105" s="86" t="s">
        <v>418</v>
      </c>
      <c r="H105" s="126" t="s">
        <v>51</v>
      </c>
      <c r="I105" s="89">
        <v>1</v>
      </c>
      <c r="J105" s="127">
        <v>6768.2425999999996</v>
      </c>
      <c r="K105" s="127">
        <v>2649.51</v>
      </c>
      <c r="L105" s="127">
        <v>965.16000000000008</v>
      </c>
      <c r="M105" s="127">
        <v>0</v>
      </c>
      <c r="N105" s="127">
        <v>0</v>
      </c>
      <c r="O105" s="127">
        <v>0</v>
      </c>
      <c r="P105" s="128">
        <f t="shared" si="9"/>
        <v>0</v>
      </c>
      <c r="Q105" s="128">
        <f t="shared" si="10"/>
        <v>0</v>
      </c>
      <c r="R105" s="128">
        <f t="shared" si="11"/>
        <v>0</v>
      </c>
      <c r="S105" s="129">
        <v>0</v>
      </c>
      <c r="T105" s="129">
        <v>0</v>
      </c>
      <c r="U105" s="129">
        <v>0</v>
      </c>
      <c r="V105" s="138">
        <f t="shared" si="12"/>
        <v>3</v>
      </c>
      <c r="W105" s="138">
        <f t="shared" si="13"/>
        <v>3</v>
      </c>
      <c r="X105" s="138">
        <f t="shared" si="14"/>
        <v>1</v>
      </c>
      <c r="Y105" s="138">
        <f t="shared" si="15"/>
        <v>0</v>
      </c>
      <c r="Z105" s="138">
        <f t="shared" si="16"/>
        <v>0</v>
      </c>
      <c r="AA105" s="138">
        <f t="shared" si="17"/>
        <v>0</v>
      </c>
      <c r="AB105" s="127" t="s">
        <v>31</v>
      </c>
      <c r="AC105" s="127"/>
      <c r="AD105" s="127" t="s">
        <v>32</v>
      </c>
      <c r="AE105" s="130"/>
      <c r="AF105" s="136">
        <v>0</v>
      </c>
      <c r="AG105" s="136">
        <v>4.0599999999999996</v>
      </c>
      <c r="AH105" s="136">
        <v>0</v>
      </c>
      <c r="AI105" s="136">
        <v>2.14</v>
      </c>
      <c r="AJ105" s="136">
        <v>0</v>
      </c>
      <c r="AK105" s="136">
        <v>0.47</v>
      </c>
      <c r="AL105" s="136">
        <v>3.31</v>
      </c>
      <c r="AM105" s="136">
        <v>9.9799999999999986</v>
      </c>
      <c r="AN105" s="131"/>
      <c r="AO105" s="131"/>
      <c r="AP105" s="131"/>
      <c r="AQ105" s="131"/>
      <c r="AR105" s="131"/>
      <c r="AS105" s="131"/>
      <c r="AT105" s="131"/>
      <c r="AU105" s="91"/>
      <c r="AV105" s="91"/>
      <c r="AW105" s="131"/>
      <c r="AX105" s="131"/>
      <c r="AY105" s="131"/>
    </row>
    <row r="106" spans="1:51" ht="15" x14ac:dyDescent="0.25">
      <c r="A106" s="123"/>
      <c r="B106" s="124"/>
      <c r="C106" s="125">
        <v>215154</v>
      </c>
      <c r="D106" s="89"/>
      <c r="E106" s="86" t="s">
        <v>5</v>
      </c>
      <c r="F106" s="86" t="s">
        <v>418</v>
      </c>
      <c r="H106" s="126" t="s">
        <v>51</v>
      </c>
      <c r="I106" s="89">
        <v>0</v>
      </c>
      <c r="J106" s="127">
        <v>6768.2425999999996</v>
      </c>
      <c r="K106" s="127">
        <v>2649.51</v>
      </c>
      <c r="L106" s="127">
        <v>965.16000000000008</v>
      </c>
      <c r="M106" s="127">
        <v>0</v>
      </c>
      <c r="N106" s="127">
        <v>0</v>
      </c>
      <c r="O106" s="127">
        <v>0</v>
      </c>
      <c r="P106" s="128">
        <f t="shared" si="9"/>
        <v>0</v>
      </c>
      <c r="Q106" s="128">
        <f t="shared" si="10"/>
        <v>0</v>
      </c>
      <c r="R106" s="128">
        <f t="shared" si="11"/>
        <v>0</v>
      </c>
      <c r="S106" s="129">
        <v>0</v>
      </c>
      <c r="T106" s="129">
        <v>0</v>
      </c>
      <c r="U106" s="129">
        <v>0</v>
      </c>
      <c r="V106" s="138">
        <f t="shared" si="12"/>
        <v>2</v>
      </c>
      <c r="W106" s="138">
        <f t="shared" si="13"/>
        <v>2</v>
      </c>
      <c r="X106" s="138">
        <f t="shared" si="14"/>
        <v>0</v>
      </c>
      <c r="Y106" s="138">
        <f t="shared" si="15"/>
        <v>0</v>
      </c>
      <c r="Z106" s="138">
        <f t="shared" si="16"/>
        <v>0</v>
      </c>
      <c r="AA106" s="138">
        <f t="shared" si="17"/>
        <v>0</v>
      </c>
      <c r="AB106" s="127" t="s">
        <v>31</v>
      </c>
      <c r="AC106" s="127"/>
      <c r="AD106" s="127" t="s">
        <v>32</v>
      </c>
      <c r="AE106" s="130"/>
      <c r="AF106" s="136">
        <v>0</v>
      </c>
      <c r="AG106" s="136">
        <v>4.0599999999999996</v>
      </c>
      <c r="AH106" s="136">
        <v>0</v>
      </c>
      <c r="AI106" s="136">
        <v>2.14</v>
      </c>
      <c r="AJ106" s="136">
        <v>0</v>
      </c>
      <c r="AK106" s="136">
        <v>0.47</v>
      </c>
      <c r="AL106" s="136">
        <v>3.31</v>
      </c>
      <c r="AM106" s="136">
        <v>9.9799999999999986</v>
      </c>
      <c r="AN106" s="131"/>
      <c r="AO106" s="131"/>
      <c r="AP106" s="131"/>
      <c r="AQ106" s="131"/>
      <c r="AR106" s="131"/>
      <c r="AS106" s="131"/>
      <c r="AT106" s="131"/>
      <c r="AU106" s="91"/>
      <c r="AV106" s="91"/>
      <c r="AW106" s="131"/>
      <c r="AX106" s="131"/>
      <c r="AY106" s="131"/>
    </row>
    <row r="107" spans="1:51" ht="15" x14ac:dyDescent="0.25">
      <c r="A107" s="123"/>
      <c r="B107" s="124"/>
      <c r="C107" s="125">
        <v>254962.00000000003</v>
      </c>
      <c r="D107" s="89"/>
      <c r="E107" s="86" t="s">
        <v>5</v>
      </c>
      <c r="F107" s="86" t="s">
        <v>418</v>
      </c>
      <c r="H107" s="126" t="s">
        <v>51</v>
      </c>
      <c r="I107" s="89">
        <v>1</v>
      </c>
      <c r="J107" s="127">
        <v>6768.2425999999996</v>
      </c>
      <c r="K107" s="127">
        <v>2649.51</v>
      </c>
      <c r="L107" s="127">
        <v>965.16000000000008</v>
      </c>
      <c r="M107" s="127">
        <v>0</v>
      </c>
      <c r="N107" s="127">
        <v>0</v>
      </c>
      <c r="O107" s="127">
        <v>0</v>
      </c>
      <c r="P107" s="128">
        <f t="shared" si="9"/>
        <v>0</v>
      </c>
      <c r="Q107" s="128">
        <f t="shared" si="10"/>
        <v>0</v>
      </c>
      <c r="R107" s="128">
        <f t="shared" si="11"/>
        <v>0</v>
      </c>
      <c r="S107" s="129">
        <v>0</v>
      </c>
      <c r="T107" s="129">
        <v>0</v>
      </c>
      <c r="U107" s="129">
        <v>0</v>
      </c>
      <c r="V107" s="138">
        <f t="shared" si="12"/>
        <v>3</v>
      </c>
      <c r="W107" s="138">
        <f t="shared" si="13"/>
        <v>3</v>
      </c>
      <c r="X107" s="138">
        <f t="shared" si="14"/>
        <v>1</v>
      </c>
      <c r="Y107" s="138">
        <f t="shared" si="15"/>
        <v>0</v>
      </c>
      <c r="Z107" s="138">
        <f t="shared" si="16"/>
        <v>0</v>
      </c>
      <c r="AA107" s="138">
        <f t="shared" si="17"/>
        <v>0</v>
      </c>
      <c r="AB107" s="127" t="s">
        <v>31</v>
      </c>
      <c r="AC107" s="127"/>
      <c r="AD107" s="127" t="s">
        <v>32</v>
      </c>
      <c r="AE107" s="130"/>
      <c r="AF107" s="136">
        <v>0</v>
      </c>
      <c r="AG107" s="136">
        <v>4.0599999999999996</v>
      </c>
      <c r="AH107" s="136">
        <v>0</v>
      </c>
      <c r="AI107" s="136">
        <v>2.14</v>
      </c>
      <c r="AJ107" s="136">
        <v>0</v>
      </c>
      <c r="AK107" s="136">
        <v>0.47</v>
      </c>
      <c r="AL107" s="136">
        <v>3.31</v>
      </c>
      <c r="AM107" s="136">
        <v>9.9799999999999986</v>
      </c>
      <c r="AN107" s="131"/>
      <c r="AO107" s="131"/>
      <c r="AP107" s="131"/>
      <c r="AQ107" s="131"/>
      <c r="AR107" s="131"/>
      <c r="AS107" s="131"/>
      <c r="AT107" s="131"/>
      <c r="AU107" s="91"/>
      <c r="AV107" s="91"/>
      <c r="AW107" s="131"/>
      <c r="AX107" s="131"/>
      <c r="AY107" s="131"/>
    </row>
    <row r="108" spans="1:51" ht="15" x14ac:dyDescent="0.25">
      <c r="A108" s="123"/>
      <c r="B108" s="124"/>
      <c r="C108" s="125">
        <v>277060</v>
      </c>
      <c r="D108" s="89"/>
      <c r="E108" s="86" t="s">
        <v>5</v>
      </c>
      <c r="F108" s="86" t="s">
        <v>418</v>
      </c>
      <c r="H108" s="126" t="s">
        <v>51</v>
      </c>
      <c r="I108" s="89">
        <v>1</v>
      </c>
      <c r="J108" s="127">
        <v>6768.2425999999996</v>
      </c>
      <c r="K108" s="127">
        <v>2649.51</v>
      </c>
      <c r="L108" s="127">
        <v>965.16000000000008</v>
      </c>
      <c r="M108" s="127">
        <v>0</v>
      </c>
      <c r="N108" s="127">
        <v>0</v>
      </c>
      <c r="O108" s="127">
        <v>0</v>
      </c>
      <c r="P108" s="128">
        <f t="shared" si="9"/>
        <v>0</v>
      </c>
      <c r="Q108" s="128">
        <f t="shared" si="10"/>
        <v>0</v>
      </c>
      <c r="R108" s="128">
        <f t="shared" si="11"/>
        <v>0</v>
      </c>
      <c r="S108" s="129">
        <v>0</v>
      </c>
      <c r="T108" s="129">
        <v>0</v>
      </c>
      <c r="U108" s="129">
        <v>0</v>
      </c>
      <c r="V108" s="138">
        <f t="shared" si="12"/>
        <v>3</v>
      </c>
      <c r="W108" s="138">
        <f t="shared" si="13"/>
        <v>3</v>
      </c>
      <c r="X108" s="138">
        <f t="shared" si="14"/>
        <v>1</v>
      </c>
      <c r="Y108" s="138">
        <f t="shared" si="15"/>
        <v>0</v>
      </c>
      <c r="Z108" s="138">
        <f t="shared" si="16"/>
        <v>0</v>
      </c>
      <c r="AA108" s="138">
        <f t="shared" si="17"/>
        <v>0</v>
      </c>
      <c r="AB108" s="127" t="s">
        <v>31</v>
      </c>
      <c r="AC108" s="127"/>
      <c r="AD108" s="127" t="s">
        <v>32</v>
      </c>
      <c r="AE108" s="130"/>
      <c r="AF108" s="136">
        <v>0</v>
      </c>
      <c r="AG108" s="136">
        <v>4.0599999999999996</v>
      </c>
      <c r="AH108" s="136">
        <v>0</v>
      </c>
      <c r="AI108" s="136">
        <v>2.14</v>
      </c>
      <c r="AJ108" s="136">
        <v>0</v>
      </c>
      <c r="AK108" s="136">
        <v>0.47</v>
      </c>
      <c r="AL108" s="136">
        <v>3.31</v>
      </c>
      <c r="AM108" s="136">
        <v>9.9799999999999986</v>
      </c>
      <c r="AN108" s="131"/>
      <c r="AO108" s="131"/>
      <c r="AP108" s="131"/>
      <c r="AQ108" s="131"/>
      <c r="AR108" s="131"/>
      <c r="AS108" s="131"/>
      <c r="AT108" s="131"/>
      <c r="AU108" s="91"/>
      <c r="AV108" s="91"/>
      <c r="AW108" s="131"/>
      <c r="AX108" s="131"/>
      <c r="AY108" s="131"/>
    </row>
    <row r="109" spans="1:51" ht="15" x14ac:dyDescent="0.25">
      <c r="A109" s="123"/>
      <c r="B109" s="124"/>
      <c r="C109" s="125">
        <v>294539</v>
      </c>
      <c r="D109" s="89"/>
      <c r="E109" s="86" t="s">
        <v>5</v>
      </c>
      <c r="F109" s="86" t="s">
        <v>418</v>
      </c>
      <c r="H109" s="126" t="s">
        <v>51</v>
      </c>
      <c r="I109" s="89">
        <v>1</v>
      </c>
      <c r="J109" s="127">
        <v>6768.2425999999996</v>
      </c>
      <c r="K109" s="127">
        <v>2649.51</v>
      </c>
      <c r="L109" s="127">
        <v>965.16000000000008</v>
      </c>
      <c r="M109" s="127">
        <v>0</v>
      </c>
      <c r="N109" s="127">
        <v>0</v>
      </c>
      <c r="O109" s="127">
        <v>0</v>
      </c>
      <c r="P109" s="128">
        <f t="shared" si="9"/>
        <v>0</v>
      </c>
      <c r="Q109" s="128">
        <f t="shared" si="10"/>
        <v>0</v>
      </c>
      <c r="R109" s="128">
        <f t="shared" si="11"/>
        <v>0</v>
      </c>
      <c r="S109" s="129">
        <v>0</v>
      </c>
      <c r="T109" s="129">
        <v>0</v>
      </c>
      <c r="U109" s="129">
        <v>0</v>
      </c>
      <c r="V109" s="138">
        <f t="shared" si="12"/>
        <v>3</v>
      </c>
      <c r="W109" s="138">
        <f t="shared" si="13"/>
        <v>3</v>
      </c>
      <c r="X109" s="138">
        <f t="shared" si="14"/>
        <v>1</v>
      </c>
      <c r="Y109" s="138">
        <f t="shared" si="15"/>
        <v>0</v>
      </c>
      <c r="Z109" s="138">
        <f t="shared" si="16"/>
        <v>0</v>
      </c>
      <c r="AA109" s="138">
        <f t="shared" si="17"/>
        <v>0</v>
      </c>
      <c r="AB109" s="127" t="s">
        <v>31</v>
      </c>
      <c r="AC109" s="127"/>
      <c r="AD109" s="127" t="s">
        <v>32</v>
      </c>
      <c r="AE109" s="130"/>
      <c r="AF109" s="136">
        <v>0</v>
      </c>
      <c r="AG109" s="136">
        <v>4.0599999999999996</v>
      </c>
      <c r="AH109" s="136">
        <v>0</v>
      </c>
      <c r="AI109" s="136">
        <v>2.14</v>
      </c>
      <c r="AJ109" s="136">
        <v>0</v>
      </c>
      <c r="AK109" s="136">
        <v>0.47</v>
      </c>
      <c r="AL109" s="136">
        <v>3.31</v>
      </c>
      <c r="AM109" s="136">
        <v>9.9799999999999986</v>
      </c>
      <c r="AN109" s="131"/>
      <c r="AO109" s="131"/>
      <c r="AP109" s="131"/>
      <c r="AQ109" s="131"/>
      <c r="AR109" s="131"/>
      <c r="AS109" s="131"/>
      <c r="AT109" s="131"/>
      <c r="AU109" s="91"/>
      <c r="AV109" s="91"/>
      <c r="AW109" s="131"/>
      <c r="AX109" s="131"/>
      <c r="AY109" s="131"/>
    </row>
    <row r="110" spans="1:51" ht="15" x14ac:dyDescent="0.25">
      <c r="A110" s="123"/>
      <c r="B110" s="124"/>
      <c r="C110" s="125">
        <v>302071</v>
      </c>
      <c r="D110" s="89"/>
      <c r="E110" s="86" t="s">
        <v>5</v>
      </c>
      <c r="F110" s="86" t="s">
        <v>418</v>
      </c>
      <c r="H110" s="126" t="s">
        <v>51</v>
      </c>
      <c r="I110" s="89">
        <v>2</v>
      </c>
      <c r="J110" s="127">
        <v>6768.2425999999996</v>
      </c>
      <c r="K110" s="127">
        <v>2649.51</v>
      </c>
      <c r="L110" s="127">
        <v>965.16000000000008</v>
      </c>
      <c r="M110" s="127">
        <v>0</v>
      </c>
      <c r="N110" s="127">
        <v>0</v>
      </c>
      <c r="O110" s="127">
        <v>0</v>
      </c>
      <c r="P110" s="128">
        <f t="shared" si="9"/>
        <v>0</v>
      </c>
      <c r="Q110" s="128">
        <f t="shared" si="10"/>
        <v>0</v>
      </c>
      <c r="R110" s="128">
        <f t="shared" si="11"/>
        <v>0</v>
      </c>
      <c r="S110" s="129">
        <v>0</v>
      </c>
      <c r="T110" s="129">
        <v>0</v>
      </c>
      <c r="U110" s="129">
        <v>0</v>
      </c>
      <c r="V110" s="138">
        <f t="shared" si="12"/>
        <v>4</v>
      </c>
      <c r="W110" s="138">
        <f t="shared" si="13"/>
        <v>4</v>
      </c>
      <c r="X110" s="138">
        <f t="shared" si="14"/>
        <v>2</v>
      </c>
      <c r="Y110" s="138">
        <f t="shared" si="15"/>
        <v>0</v>
      </c>
      <c r="Z110" s="138">
        <f t="shared" si="16"/>
        <v>0</v>
      </c>
      <c r="AA110" s="138">
        <f t="shared" si="17"/>
        <v>0</v>
      </c>
      <c r="AB110" s="127" t="s">
        <v>31</v>
      </c>
      <c r="AC110" s="127"/>
      <c r="AD110" s="127" t="s">
        <v>32</v>
      </c>
      <c r="AE110" s="130"/>
      <c r="AF110" s="136">
        <v>0</v>
      </c>
      <c r="AG110" s="136">
        <v>4.0599999999999996</v>
      </c>
      <c r="AH110" s="136">
        <v>0</v>
      </c>
      <c r="AI110" s="136">
        <v>2.14</v>
      </c>
      <c r="AJ110" s="136">
        <v>0</v>
      </c>
      <c r="AK110" s="136">
        <v>0.47</v>
      </c>
      <c r="AL110" s="136">
        <v>3.31</v>
      </c>
      <c r="AM110" s="136">
        <v>9.9799999999999986</v>
      </c>
      <c r="AN110" s="131"/>
      <c r="AO110" s="131"/>
      <c r="AP110" s="131"/>
      <c r="AQ110" s="131"/>
      <c r="AR110" s="131"/>
      <c r="AS110" s="131"/>
      <c r="AT110" s="131"/>
      <c r="AU110" s="91"/>
      <c r="AV110" s="91"/>
      <c r="AW110" s="131"/>
      <c r="AX110" s="131"/>
      <c r="AY110" s="131"/>
    </row>
    <row r="111" spans="1:51" ht="15" x14ac:dyDescent="0.25">
      <c r="A111" s="123"/>
      <c r="B111" s="124"/>
      <c r="C111" s="125">
        <v>304225</v>
      </c>
      <c r="D111" s="89"/>
      <c r="E111" s="86" t="s">
        <v>5</v>
      </c>
      <c r="F111" s="86" t="s">
        <v>418</v>
      </c>
      <c r="H111" s="126" t="s">
        <v>51</v>
      </c>
      <c r="I111" s="89">
        <v>0</v>
      </c>
      <c r="J111" s="127">
        <v>6768.2425999999996</v>
      </c>
      <c r="K111" s="127">
        <v>2649.51</v>
      </c>
      <c r="L111" s="127">
        <v>965.16000000000008</v>
      </c>
      <c r="M111" s="127">
        <v>0</v>
      </c>
      <c r="N111" s="127">
        <v>0</v>
      </c>
      <c r="O111" s="127">
        <v>0</v>
      </c>
      <c r="P111" s="128">
        <f t="shared" si="9"/>
        <v>0</v>
      </c>
      <c r="Q111" s="128">
        <f t="shared" si="10"/>
        <v>0</v>
      </c>
      <c r="R111" s="128">
        <f t="shared" si="11"/>
        <v>0</v>
      </c>
      <c r="S111" s="129">
        <v>0</v>
      </c>
      <c r="T111" s="129">
        <v>0</v>
      </c>
      <c r="U111" s="129">
        <v>0</v>
      </c>
      <c r="V111" s="138">
        <f t="shared" si="12"/>
        <v>2</v>
      </c>
      <c r="W111" s="138">
        <f t="shared" si="13"/>
        <v>2</v>
      </c>
      <c r="X111" s="138">
        <f t="shared" si="14"/>
        <v>0</v>
      </c>
      <c r="Y111" s="138">
        <f t="shared" si="15"/>
        <v>0</v>
      </c>
      <c r="Z111" s="138">
        <f t="shared" si="16"/>
        <v>0</v>
      </c>
      <c r="AA111" s="138">
        <f t="shared" si="17"/>
        <v>0</v>
      </c>
      <c r="AB111" s="127" t="s">
        <v>31</v>
      </c>
      <c r="AC111" s="127"/>
      <c r="AD111" s="127" t="s">
        <v>32</v>
      </c>
      <c r="AE111" s="130"/>
      <c r="AF111" s="136">
        <v>0</v>
      </c>
      <c r="AG111" s="136">
        <v>4.0599999999999996</v>
      </c>
      <c r="AH111" s="136">
        <v>0</v>
      </c>
      <c r="AI111" s="136">
        <v>2.14</v>
      </c>
      <c r="AJ111" s="136">
        <v>0</v>
      </c>
      <c r="AK111" s="136">
        <v>0.47</v>
      </c>
      <c r="AL111" s="136">
        <v>3.31</v>
      </c>
      <c r="AM111" s="136">
        <v>9.9799999999999986</v>
      </c>
      <c r="AN111" s="131"/>
      <c r="AO111" s="131"/>
      <c r="AP111" s="131"/>
      <c r="AQ111" s="131"/>
      <c r="AR111" s="131"/>
      <c r="AS111" s="131"/>
      <c r="AT111" s="131"/>
      <c r="AU111" s="91"/>
      <c r="AV111" s="91"/>
      <c r="AW111" s="131"/>
      <c r="AX111" s="131"/>
      <c r="AY111" s="131"/>
    </row>
    <row r="112" spans="1:51" ht="15" x14ac:dyDescent="0.25">
      <c r="A112" s="123"/>
      <c r="B112" s="124"/>
      <c r="C112" s="125">
        <v>315475</v>
      </c>
      <c r="D112" s="89"/>
      <c r="E112" s="86" t="s">
        <v>5</v>
      </c>
      <c r="F112" s="86" t="s">
        <v>418</v>
      </c>
      <c r="H112" s="126" t="s">
        <v>51</v>
      </c>
      <c r="I112" s="89">
        <v>1</v>
      </c>
      <c r="J112" s="127">
        <v>6768.2425999999996</v>
      </c>
      <c r="K112" s="127">
        <v>2649.51</v>
      </c>
      <c r="L112" s="127">
        <v>965.16000000000008</v>
      </c>
      <c r="M112" s="127">
        <v>0</v>
      </c>
      <c r="N112" s="127">
        <v>0</v>
      </c>
      <c r="O112" s="127">
        <v>0</v>
      </c>
      <c r="P112" s="128">
        <f t="shared" si="9"/>
        <v>0</v>
      </c>
      <c r="Q112" s="128">
        <f t="shared" si="10"/>
        <v>0</v>
      </c>
      <c r="R112" s="128">
        <f t="shared" si="11"/>
        <v>0</v>
      </c>
      <c r="S112" s="129">
        <v>0</v>
      </c>
      <c r="T112" s="129">
        <v>0</v>
      </c>
      <c r="U112" s="129">
        <v>0</v>
      </c>
      <c r="V112" s="138">
        <f t="shared" si="12"/>
        <v>3</v>
      </c>
      <c r="W112" s="138">
        <f t="shared" si="13"/>
        <v>3</v>
      </c>
      <c r="X112" s="138">
        <f t="shared" si="14"/>
        <v>1</v>
      </c>
      <c r="Y112" s="138">
        <f t="shared" si="15"/>
        <v>0</v>
      </c>
      <c r="Z112" s="138">
        <f t="shared" si="16"/>
        <v>0</v>
      </c>
      <c r="AA112" s="138">
        <f t="shared" si="17"/>
        <v>0</v>
      </c>
      <c r="AB112" s="127" t="s">
        <v>31</v>
      </c>
      <c r="AC112" s="127"/>
      <c r="AD112" s="127" t="s">
        <v>32</v>
      </c>
      <c r="AE112" s="130"/>
      <c r="AF112" s="136">
        <v>0</v>
      </c>
      <c r="AG112" s="136">
        <v>4.0599999999999996</v>
      </c>
      <c r="AH112" s="136">
        <v>0</v>
      </c>
      <c r="AI112" s="136">
        <v>2.14</v>
      </c>
      <c r="AJ112" s="136">
        <v>0</v>
      </c>
      <c r="AK112" s="136">
        <v>0.47</v>
      </c>
      <c r="AL112" s="136">
        <v>3.31</v>
      </c>
      <c r="AM112" s="136">
        <v>9.9799999999999986</v>
      </c>
      <c r="AN112" s="131"/>
      <c r="AO112" s="131"/>
      <c r="AP112" s="131"/>
      <c r="AQ112" s="131"/>
      <c r="AR112" s="131"/>
      <c r="AS112" s="131"/>
      <c r="AT112" s="131"/>
      <c r="AU112" s="91"/>
      <c r="AV112" s="91"/>
      <c r="AW112" s="131"/>
      <c r="AX112" s="131"/>
      <c r="AY112" s="131"/>
    </row>
    <row r="113" spans="1:51" ht="15" x14ac:dyDescent="0.25">
      <c r="A113" s="123"/>
      <c r="B113" s="124"/>
      <c r="C113" s="125">
        <v>415529</v>
      </c>
      <c r="D113" s="89"/>
      <c r="E113" s="86" t="s">
        <v>5</v>
      </c>
      <c r="F113" s="86" t="s">
        <v>418</v>
      </c>
      <c r="H113" s="126" t="s">
        <v>51</v>
      </c>
      <c r="I113" s="89">
        <v>1</v>
      </c>
      <c r="J113" s="127">
        <v>6768.2425999999996</v>
      </c>
      <c r="K113" s="127">
        <v>2649.51</v>
      </c>
      <c r="L113" s="127">
        <v>965.16000000000008</v>
      </c>
      <c r="M113" s="127">
        <v>0</v>
      </c>
      <c r="N113" s="127">
        <v>0</v>
      </c>
      <c r="O113" s="127">
        <v>0</v>
      </c>
      <c r="P113" s="128">
        <f t="shared" si="9"/>
        <v>0</v>
      </c>
      <c r="Q113" s="128">
        <f t="shared" si="10"/>
        <v>0</v>
      </c>
      <c r="R113" s="128">
        <f t="shared" si="11"/>
        <v>0</v>
      </c>
      <c r="S113" s="129">
        <v>0</v>
      </c>
      <c r="T113" s="129">
        <v>0</v>
      </c>
      <c r="U113" s="129">
        <v>0</v>
      </c>
      <c r="V113" s="138">
        <f t="shared" si="12"/>
        <v>3</v>
      </c>
      <c r="W113" s="138">
        <f t="shared" si="13"/>
        <v>3</v>
      </c>
      <c r="X113" s="138">
        <f t="shared" si="14"/>
        <v>1</v>
      </c>
      <c r="Y113" s="138">
        <f t="shared" si="15"/>
        <v>0</v>
      </c>
      <c r="Z113" s="138">
        <f t="shared" si="16"/>
        <v>0</v>
      </c>
      <c r="AA113" s="138">
        <f t="shared" si="17"/>
        <v>0</v>
      </c>
      <c r="AB113" s="127" t="s">
        <v>31</v>
      </c>
      <c r="AC113" s="127"/>
      <c r="AD113" s="127" t="s">
        <v>32</v>
      </c>
      <c r="AE113" s="130"/>
      <c r="AF113" s="136">
        <v>0</v>
      </c>
      <c r="AG113" s="136">
        <v>4.0599999999999996</v>
      </c>
      <c r="AH113" s="136">
        <v>0</v>
      </c>
      <c r="AI113" s="136">
        <v>2.14</v>
      </c>
      <c r="AJ113" s="136">
        <v>0</v>
      </c>
      <c r="AK113" s="136">
        <v>0.47</v>
      </c>
      <c r="AL113" s="136">
        <v>3.31</v>
      </c>
      <c r="AM113" s="136">
        <v>9.9799999999999986</v>
      </c>
      <c r="AN113" s="131"/>
      <c r="AO113" s="131"/>
      <c r="AP113" s="131"/>
      <c r="AQ113" s="131"/>
      <c r="AR113" s="131"/>
      <c r="AS113" s="131"/>
      <c r="AT113" s="131"/>
      <c r="AU113" s="91"/>
      <c r="AV113" s="91"/>
      <c r="AW113" s="131"/>
      <c r="AX113" s="131"/>
      <c r="AY113" s="131"/>
    </row>
    <row r="114" spans="1:51" ht="15" x14ac:dyDescent="0.25">
      <c r="A114" s="123"/>
      <c r="B114" s="124"/>
      <c r="C114" s="125">
        <v>440891</v>
      </c>
      <c r="D114" s="89"/>
      <c r="E114" s="86" t="s">
        <v>5</v>
      </c>
      <c r="F114" s="86" t="s">
        <v>418</v>
      </c>
      <c r="H114" s="126" t="s">
        <v>51</v>
      </c>
      <c r="I114" s="89">
        <v>1</v>
      </c>
      <c r="J114" s="127">
        <v>6768.2425999999996</v>
      </c>
      <c r="K114" s="127">
        <v>2649.51</v>
      </c>
      <c r="L114" s="127">
        <v>965.16000000000008</v>
      </c>
      <c r="M114" s="127">
        <v>0</v>
      </c>
      <c r="N114" s="127">
        <v>0</v>
      </c>
      <c r="O114" s="127">
        <v>0</v>
      </c>
      <c r="P114" s="128">
        <f t="shared" si="9"/>
        <v>0</v>
      </c>
      <c r="Q114" s="128">
        <f t="shared" si="10"/>
        <v>0</v>
      </c>
      <c r="R114" s="128">
        <f t="shared" si="11"/>
        <v>0</v>
      </c>
      <c r="S114" s="129">
        <v>0</v>
      </c>
      <c r="T114" s="129">
        <v>0</v>
      </c>
      <c r="U114" s="129">
        <v>0</v>
      </c>
      <c r="V114" s="138">
        <f t="shared" si="12"/>
        <v>3</v>
      </c>
      <c r="W114" s="138">
        <f t="shared" si="13"/>
        <v>3</v>
      </c>
      <c r="X114" s="138">
        <f t="shared" si="14"/>
        <v>1</v>
      </c>
      <c r="Y114" s="138">
        <f t="shared" si="15"/>
        <v>0</v>
      </c>
      <c r="Z114" s="138">
        <f t="shared" si="16"/>
        <v>0</v>
      </c>
      <c r="AA114" s="138">
        <f t="shared" si="17"/>
        <v>0</v>
      </c>
      <c r="AB114" s="127" t="s">
        <v>31</v>
      </c>
      <c r="AC114" s="127"/>
      <c r="AD114" s="127" t="s">
        <v>32</v>
      </c>
      <c r="AE114" s="130"/>
      <c r="AF114" s="136">
        <v>0</v>
      </c>
      <c r="AG114" s="136">
        <v>4.0599999999999996</v>
      </c>
      <c r="AH114" s="136">
        <v>0</v>
      </c>
      <c r="AI114" s="136">
        <v>2.14</v>
      </c>
      <c r="AJ114" s="136">
        <v>0</v>
      </c>
      <c r="AK114" s="136">
        <v>0.47</v>
      </c>
      <c r="AL114" s="136">
        <v>3.31</v>
      </c>
      <c r="AM114" s="136">
        <v>9.9799999999999986</v>
      </c>
      <c r="AN114" s="131"/>
      <c r="AO114" s="131"/>
      <c r="AP114" s="131"/>
      <c r="AQ114" s="131"/>
      <c r="AR114" s="131"/>
      <c r="AS114" s="131"/>
      <c r="AT114" s="131"/>
      <c r="AU114" s="91"/>
      <c r="AV114" s="91"/>
      <c r="AW114" s="131"/>
      <c r="AX114" s="131"/>
      <c r="AY114" s="131"/>
    </row>
    <row r="115" spans="1:51" ht="15" x14ac:dyDescent="0.25">
      <c r="A115" s="123"/>
      <c r="B115" s="124"/>
      <c r="C115" s="125">
        <v>474069</v>
      </c>
      <c r="D115" s="89"/>
      <c r="E115" s="86" t="s">
        <v>5</v>
      </c>
      <c r="F115" s="86" t="s">
        <v>418</v>
      </c>
      <c r="H115" s="126" t="s">
        <v>51</v>
      </c>
      <c r="I115" s="89">
        <v>1</v>
      </c>
      <c r="J115" s="127">
        <v>6768.2425999999996</v>
      </c>
      <c r="K115" s="127">
        <v>2649.51</v>
      </c>
      <c r="L115" s="127">
        <v>965.16000000000008</v>
      </c>
      <c r="M115" s="127">
        <v>0</v>
      </c>
      <c r="N115" s="127">
        <v>0</v>
      </c>
      <c r="O115" s="127">
        <v>0</v>
      </c>
      <c r="P115" s="128">
        <f t="shared" si="9"/>
        <v>0</v>
      </c>
      <c r="Q115" s="128">
        <f t="shared" si="10"/>
        <v>0</v>
      </c>
      <c r="R115" s="128">
        <f t="shared" si="11"/>
        <v>0</v>
      </c>
      <c r="S115" s="129">
        <v>0</v>
      </c>
      <c r="T115" s="129">
        <v>0</v>
      </c>
      <c r="U115" s="129">
        <v>0</v>
      </c>
      <c r="V115" s="138">
        <f t="shared" si="12"/>
        <v>3</v>
      </c>
      <c r="W115" s="138">
        <f t="shared" si="13"/>
        <v>3</v>
      </c>
      <c r="X115" s="138">
        <f t="shared" si="14"/>
        <v>1</v>
      </c>
      <c r="Y115" s="138">
        <f t="shared" si="15"/>
        <v>0</v>
      </c>
      <c r="Z115" s="138">
        <f t="shared" si="16"/>
        <v>0</v>
      </c>
      <c r="AA115" s="138">
        <f t="shared" si="17"/>
        <v>0</v>
      </c>
      <c r="AB115" s="127" t="s">
        <v>31</v>
      </c>
      <c r="AC115" s="127"/>
      <c r="AD115" s="127" t="s">
        <v>32</v>
      </c>
      <c r="AE115" s="130"/>
      <c r="AF115" s="136">
        <v>0</v>
      </c>
      <c r="AG115" s="136">
        <v>4.0599999999999996</v>
      </c>
      <c r="AH115" s="136">
        <v>0</v>
      </c>
      <c r="AI115" s="136">
        <v>2.14</v>
      </c>
      <c r="AJ115" s="136">
        <v>0</v>
      </c>
      <c r="AK115" s="136">
        <v>0.47</v>
      </c>
      <c r="AL115" s="136">
        <v>3.31</v>
      </c>
      <c r="AM115" s="136">
        <v>9.9799999999999986</v>
      </c>
      <c r="AN115" s="131"/>
      <c r="AO115" s="131"/>
      <c r="AP115" s="131"/>
      <c r="AQ115" s="131"/>
      <c r="AR115" s="131"/>
      <c r="AS115" s="131"/>
      <c r="AT115" s="131"/>
      <c r="AU115" s="91"/>
      <c r="AV115" s="91"/>
      <c r="AW115" s="131"/>
      <c r="AX115" s="131"/>
      <c r="AY115" s="131"/>
    </row>
    <row r="116" spans="1:51" ht="15" x14ac:dyDescent="0.25">
      <c r="A116" s="123"/>
      <c r="B116" s="124"/>
      <c r="C116" s="125">
        <v>531627</v>
      </c>
      <c r="D116" s="89"/>
      <c r="E116" s="86" t="s">
        <v>5</v>
      </c>
      <c r="F116" s="86" t="s">
        <v>418</v>
      </c>
      <c r="H116" s="126" t="s">
        <v>51</v>
      </c>
      <c r="I116" s="89">
        <v>0</v>
      </c>
      <c r="J116" s="127">
        <v>6768.2425999999996</v>
      </c>
      <c r="K116" s="127">
        <v>2649.51</v>
      </c>
      <c r="L116" s="127">
        <v>965.16000000000008</v>
      </c>
      <c r="M116" s="127">
        <v>0</v>
      </c>
      <c r="N116" s="127">
        <v>0</v>
      </c>
      <c r="O116" s="127">
        <v>0</v>
      </c>
      <c r="P116" s="128">
        <f t="shared" si="9"/>
        <v>0</v>
      </c>
      <c r="Q116" s="128">
        <f t="shared" si="10"/>
        <v>0</v>
      </c>
      <c r="R116" s="128">
        <f t="shared" si="11"/>
        <v>0</v>
      </c>
      <c r="S116" s="129">
        <v>0</v>
      </c>
      <c r="T116" s="129">
        <v>0</v>
      </c>
      <c r="U116" s="129">
        <v>0</v>
      </c>
      <c r="V116" s="138">
        <f t="shared" si="12"/>
        <v>2</v>
      </c>
      <c r="W116" s="138">
        <f t="shared" si="13"/>
        <v>2</v>
      </c>
      <c r="X116" s="138">
        <f t="shared" si="14"/>
        <v>0</v>
      </c>
      <c r="Y116" s="138">
        <f t="shared" si="15"/>
        <v>0</v>
      </c>
      <c r="Z116" s="138">
        <f t="shared" si="16"/>
        <v>0</v>
      </c>
      <c r="AA116" s="138">
        <f t="shared" si="17"/>
        <v>0</v>
      </c>
      <c r="AB116" s="127" t="s">
        <v>31</v>
      </c>
      <c r="AC116" s="127"/>
      <c r="AD116" s="127" t="s">
        <v>32</v>
      </c>
      <c r="AE116" s="130"/>
      <c r="AF116" s="136">
        <v>0</v>
      </c>
      <c r="AG116" s="136">
        <v>4.0599999999999996</v>
      </c>
      <c r="AH116" s="136">
        <v>0</v>
      </c>
      <c r="AI116" s="136">
        <v>2.14</v>
      </c>
      <c r="AJ116" s="136">
        <v>0</v>
      </c>
      <c r="AK116" s="136">
        <v>0.47</v>
      </c>
      <c r="AL116" s="136">
        <v>3.31</v>
      </c>
      <c r="AM116" s="136">
        <v>9.9799999999999986</v>
      </c>
      <c r="AN116" s="131"/>
      <c r="AO116" s="131"/>
      <c r="AP116" s="131"/>
      <c r="AQ116" s="131"/>
      <c r="AR116" s="131"/>
      <c r="AS116" s="131"/>
      <c r="AT116" s="131"/>
      <c r="AU116" s="91"/>
      <c r="AV116" s="91"/>
      <c r="AW116" s="131"/>
      <c r="AX116" s="131"/>
      <c r="AY116" s="131"/>
    </row>
    <row r="117" spans="1:51" ht="15" x14ac:dyDescent="0.25">
      <c r="A117" s="123"/>
      <c r="B117" s="124"/>
      <c r="C117" s="125">
        <v>547959</v>
      </c>
      <c r="D117" s="89"/>
      <c r="E117" s="86" t="s">
        <v>5</v>
      </c>
      <c r="F117" s="86" t="s">
        <v>418</v>
      </c>
      <c r="H117" s="126" t="s">
        <v>51</v>
      </c>
      <c r="I117" s="89">
        <v>1</v>
      </c>
      <c r="J117" s="127">
        <v>6768.2425999999996</v>
      </c>
      <c r="K117" s="127">
        <v>2649.51</v>
      </c>
      <c r="L117" s="127">
        <v>965.16000000000008</v>
      </c>
      <c r="M117" s="127">
        <v>0</v>
      </c>
      <c r="N117" s="127">
        <v>0</v>
      </c>
      <c r="O117" s="127">
        <v>0</v>
      </c>
      <c r="P117" s="128">
        <f t="shared" si="9"/>
        <v>0</v>
      </c>
      <c r="Q117" s="128">
        <f t="shared" si="10"/>
        <v>0</v>
      </c>
      <c r="R117" s="128">
        <f t="shared" si="11"/>
        <v>0</v>
      </c>
      <c r="S117" s="129">
        <v>0</v>
      </c>
      <c r="T117" s="129">
        <v>0</v>
      </c>
      <c r="U117" s="129">
        <v>0</v>
      </c>
      <c r="V117" s="138">
        <f t="shared" si="12"/>
        <v>3</v>
      </c>
      <c r="W117" s="138">
        <f t="shared" si="13"/>
        <v>3</v>
      </c>
      <c r="X117" s="138">
        <f t="shared" si="14"/>
        <v>1</v>
      </c>
      <c r="Y117" s="138">
        <f t="shared" si="15"/>
        <v>0</v>
      </c>
      <c r="Z117" s="138">
        <f t="shared" si="16"/>
        <v>0</v>
      </c>
      <c r="AA117" s="138">
        <f t="shared" si="17"/>
        <v>0</v>
      </c>
      <c r="AB117" s="127" t="s">
        <v>31</v>
      </c>
      <c r="AC117" s="127"/>
      <c r="AD117" s="127" t="s">
        <v>32</v>
      </c>
      <c r="AE117" s="130"/>
      <c r="AF117" s="136">
        <v>0</v>
      </c>
      <c r="AG117" s="136">
        <v>4.0599999999999996</v>
      </c>
      <c r="AH117" s="136">
        <v>0</v>
      </c>
      <c r="AI117" s="136">
        <v>2.14</v>
      </c>
      <c r="AJ117" s="136">
        <v>0</v>
      </c>
      <c r="AK117" s="136">
        <v>0.47</v>
      </c>
      <c r="AL117" s="136">
        <v>3.31</v>
      </c>
      <c r="AM117" s="136">
        <v>9.9799999999999986</v>
      </c>
      <c r="AN117" s="131"/>
      <c r="AO117" s="131"/>
      <c r="AP117" s="131"/>
      <c r="AQ117" s="131"/>
      <c r="AR117" s="131"/>
      <c r="AS117" s="131"/>
      <c r="AT117" s="131"/>
      <c r="AU117" s="91"/>
      <c r="AV117" s="91"/>
      <c r="AW117" s="131"/>
      <c r="AX117" s="131"/>
      <c r="AY117" s="131"/>
    </row>
    <row r="118" spans="1:51" ht="15" x14ac:dyDescent="0.25">
      <c r="A118" s="123"/>
      <c r="B118" s="124"/>
      <c r="C118" s="125">
        <v>554430</v>
      </c>
      <c r="D118" s="89"/>
      <c r="E118" s="86" t="s">
        <v>5</v>
      </c>
      <c r="F118" s="86" t="s">
        <v>418</v>
      </c>
      <c r="H118" s="126" t="s">
        <v>51</v>
      </c>
      <c r="I118" s="89">
        <v>1</v>
      </c>
      <c r="J118" s="127">
        <v>6768.2425999999996</v>
      </c>
      <c r="K118" s="127">
        <v>2649.51</v>
      </c>
      <c r="L118" s="127">
        <v>965.16000000000008</v>
      </c>
      <c r="M118" s="127">
        <v>0</v>
      </c>
      <c r="N118" s="127">
        <v>0</v>
      </c>
      <c r="O118" s="127">
        <v>0</v>
      </c>
      <c r="P118" s="128">
        <f t="shared" si="9"/>
        <v>0</v>
      </c>
      <c r="Q118" s="128">
        <f t="shared" si="10"/>
        <v>0</v>
      </c>
      <c r="R118" s="128">
        <f t="shared" si="11"/>
        <v>0</v>
      </c>
      <c r="S118" s="129">
        <v>0</v>
      </c>
      <c r="T118" s="129">
        <v>0</v>
      </c>
      <c r="U118" s="129">
        <v>0</v>
      </c>
      <c r="V118" s="138">
        <f t="shared" si="12"/>
        <v>3</v>
      </c>
      <c r="W118" s="138">
        <f t="shared" si="13"/>
        <v>3</v>
      </c>
      <c r="X118" s="138">
        <f t="shared" si="14"/>
        <v>1</v>
      </c>
      <c r="Y118" s="138">
        <f t="shared" si="15"/>
        <v>0</v>
      </c>
      <c r="Z118" s="138">
        <f t="shared" si="16"/>
        <v>0</v>
      </c>
      <c r="AA118" s="138">
        <f t="shared" si="17"/>
        <v>0</v>
      </c>
      <c r="AB118" s="127" t="s">
        <v>31</v>
      </c>
      <c r="AC118" s="127"/>
      <c r="AD118" s="127" t="s">
        <v>32</v>
      </c>
      <c r="AE118" s="130"/>
      <c r="AF118" s="136">
        <v>0</v>
      </c>
      <c r="AG118" s="136">
        <v>4.0599999999999996</v>
      </c>
      <c r="AH118" s="136">
        <v>0</v>
      </c>
      <c r="AI118" s="136">
        <v>2.14</v>
      </c>
      <c r="AJ118" s="136">
        <v>0</v>
      </c>
      <c r="AK118" s="136">
        <v>0.47</v>
      </c>
      <c r="AL118" s="136">
        <v>3.31</v>
      </c>
      <c r="AM118" s="136">
        <v>9.9799999999999986</v>
      </c>
      <c r="AN118" s="131"/>
      <c r="AO118" s="131"/>
      <c r="AP118" s="131"/>
      <c r="AQ118" s="131"/>
      <c r="AR118" s="131"/>
      <c r="AS118" s="131"/>
      <c r="AT118" s="131"/>
      <c r="AU118" s="91"/>
      <c r="AV118" s="91"/>
      <c r="AW118" s="131"/>
      <c r="AX118" s="131"/>
      <c r="AY118" s="131"/>
    </row>
    <row r="119" spans="1:51" ht="15" x14ac:dyDescent="0.25">
      <c r="A119" s="123"/>
      <c r="B119" s="124"/>
      <c r="C119" s="125">
        <v>564128</v>
      </c>
      <c r="D119" s="89"/>
      <c r="E119" s="86" t="s">
        <v>5</v>
      </c>
      <c r="F119" s="86" t="s">
        <v>418</v>
      </c>
      <c r="H119" s="126" t="s">
        <v>51</v>
      </c>
      <c r="I119" s="89">
        <v>1</v>
      </c>
      <c r="J119" s="127">
        <v>6768.2425999999996</v>
      </c>
      <c r="K119" s="127">
        <v>2649.51</v>
      </c>
      <c r="L119" s="127">
        <v>965.16000000000008</v>
      </c>
      <c r="M119" s="127">
        <v>0</v>
      </c>
      <c r="N119" s="127">
        <v>0</v>
      </c>
      <c r="O119" s="127">
        <v>0</v>
      </c>
      <c r="P119" s="128">
        <f t="shared" si="9"/>
        <v>0</v>
      </c>
      <c r="Q119" s="128">
        <f t="shared" si="10"/>
        <v>0</v>
      </c>
      <c r="R119" s="128">
        <f t="shared" si="11"/>
        <v>0</v>
      </c>
      <c r="S119" s="129">
        <v>0</v>
      </c>
      <c r="T119" s="129">
        <v>0</v>
      </c>
      <c r="U119" s="129">
        <v>0</v>
      </c>
      <c r="V119" s="138">
        <f t="shared" si="12"/>
        <v>3</v>
      </c>
      <c r="W119" s="138">
        <f t="shared" si="13"/>
        <v>3</v>
      </c>
      <c r="X119" s="138">
        <f t="shared" si="14"/>
        <v>1</v>
      </c>
      <c r="Y119" s="138">
        <f t="shared" si="15"/>
        <v>0</v>
      </c>
      <c r="Z119" s="138">
        <f t="shared" si="16"/>
        <v>0</v>
      </c>
      <c r="AA119" s="138">
        <f t="shared" si="17"/>
        <v>0</v>
      </c>
      <c r="AB119" s="127" t="s">
        <v>31</v>
      </c>
      <c r="AC119" s="127"/>
      <c r="AD119" s="127" t="s">
        <v>32</v>
      </c>
      <c r="AE119" s="130"/>
      <c r="AF119" s="136">
        <v>0</v>
      </c>
      <c r="AG119" s="136">
        <v>4.0599999999999996</v>
      </c>
      <c r="AH119" s="136">
        <v>0</v>
      </c>
      <c r="AI119" s="136">
        <v>2.14</v>
      </c>
      <c r="AJ119" s="136">
        <v>0</v>
      </c>
      <c r="AK119" s="136">
        <v>0.47</v>
      </c>
      <c r="AL119" s="136">
        <v>3.31</v>
      </c>
      <c r="AM119" s="136">
        <v>9.9799999999999986</v>
      </c>
      <c r="AN119" s="131"/>
      <c r="AO119" s="131"/>
      <c r="AP119" s="131"/>
      <c r="AQ119" s="131"/>
      <c r="AR119" s="131"/>
      <c r="AS119" s="131"/>
      <c r="AT119" s="131"/>
      <c r="AU119" s="91"/>
      <c r="AV119" s="91"/>
      <c r="AW119" s="131"/>
      <c r="AX119" s="131"/>
      <c r="AY119" s="131"/>
    </row>
    <row r="120" spans="1:51" ht="15" x14ac:dyDescent="0.25">
      <c r="A120" s="123"/>
      <c r="B120" s="124"/>
      <c r="C120" s="125">
        <v>568330</v>
      </c>
      <c r="D120" s="89"/>
      <c r="E120" s="86" t="s">
        <v>5</v>
      </c>
      <c r="F120" s="86" t="s">
        <v>418</v>
      </c>
      <c r="H120" s="126" t="s">
        <v>51</v>
      </c>
      <c r="I120" s="89">
        <v>1</v>
      </c>
      <c r="J120" s="127">
        <v>6768.2425999999996</v>
      </c>
      <c r="K120" s="127">
        <v>2649.51</v>
      </c>
      <c r="L120" s="127">
        <v>965.16000000000008</v>
      </c>
      <c r="M120" s="127">
        <v>0</v>
      </c>
      <c r="N120" s="127">
        <v>0</v>
      </c>
      <c r="O120" s="127">
        <v>0</v>
      </c>
      <c r="P120" s="128">
        <f t="shared" si="9"/>
        <v>0</v>
      </c>
      <c r="Q120" s="128">
        <f t="shared" si="10"/>
        <v>0</v>
      </c>
      <c r="R120" s="128">
        <f t="shared" si="11"/>
        <v>0</v>
      </c>
      <c r="S120" s="129">
        <v>0</v>
      </c>
      <c r="T120" s="129">
        <v>0</v>
      </c>
      <c r="U120" s="129">
        <v>0</v>
      </c>
      <c r="V120" s="138">
        <f t="shared" si="12"/>
        <v>3</v>
      </c>
      <c r="W120" s="138">
        <f t="shared" si="13"/>
        <v>3</v>
      </c>
      <c r="X120" s="138">
        <f t="shared" si="14"/>
        <v>1</v>
      </c>
      <c r="Y120" s="138">
        <f t="shared" si="15"/>
        <v>0</v>
      </c>
      <c r="Z120" s="138">
        <f t="shared" si="16"/>
        <v>0</v>
      </c>
      <c r="AA120" s="138">
        <f t="shared" si="17"/>
        <v>0</v>
      </c>
      <c r="AB120" s="127" t="s">
        <v>31</v>
      </c>
      <c r="AC120" s="127"/>
      <c r="AD120" s="127" t="s">
        <v>32</v>
      </c>
      <c r="AE120" s="130"/>
      <c r="AF120" s="136">
        <v>0</v>
      </c>
      <c r="AG120" s="136">
        <v>4.0599999999999996</v>
      </c>
      <c r="AH120" s="136">
        <v>0</v>
      </c>
      <c r="AI120" s="136">
        <v>2.14</v>
      </c>
      <c r="AJ120" s="136">
        <v>0</v>
      </c>
      <c r="AK120" s="136">
        <v>0.47</v>
      </c>
      <c r="AL120" s="136">
        <v>3.31</v>
      </c>
      <c r="AM120" s="136">
        <v>9.9799999999999986</v>
      </c>
      <c r="AN120" s="131"/>
      <c r="AO120" s="131"/>
      <c r="AP120" s="131"/>
      <c r="AQ120" s="131"/>
      <c r="AR120" s="131"/>
      <c r="AS120" s="131"/>
      <c r="AT120" s="131"/>
      <c r="AU120" s="91"/>
      <c r="AV120" s="91"/>
      <c r="AW120" s="131"/>
      <c r="AX120" s="131"/>
      <c r="AY120" s="131"/>
    </row>
    <row r="121" spans="1:51" ht="15" x14ac:dyDescent="0.25">
      <c r="A121" s="123"/>
      <c r="B121" s="124"/>
      <c r="C121" s="125">
        <v>576684</v>
      </c>
      <c r="D121" s="89"/>
      <c r="E121" s="86" t="s">
        <v>5</v>
      </c>
      <c r="F121" s="86" t="s">
        <v>418</v>
      </c>
      <c r="H121" s="126" t="s">
        <v>51</v>
      </c>
      <c r="I121" s="89">
        <v>1</v>
      </c>
      <c r="J121" s="127">
        <v>6768.2425999999996</v>
      </c>
      <c r="K121" s="127">
        <v>2649.51</v>
      </c>
      <c r="L121" s="127">
        <v>965.16000000000008</v>
      </c>
      <c r="M121" s="127">
        <v>0</v>
      </c>
      <c r="N121" s="127">
        <v>0</v>
      </c>
      <c r="O121" s="127">
        <v>0</v>
      </c>
      <c r="P121" s="128">
        <f t="shared" si="9"/>
        <v>0</v>
      </c>
      <c r="Q121" s="128">
        <f t="shared" si="10"/>
        <v>0</v>
      </c>
      <c r="R121" s="128">
        <f t="shared" si="11"/>
        <v>0</v>
      </c>
      <c r="S121" s="129">
        <v>0</v>
      </c>
      <c r="T121" s="129">
        <v>0</v>
      </c>
      <c r="U121" s="129">
        <v>0</v>
      </c>
      <c r="V121" s="138">
        <f t="shared" si="12"/>
        <v>3</v>
      </c>
      <c r="W121" s="138">
        <f t="shared" si="13"/>
        <v>3</v>
      </c>
      <c r="X121" s="138">
        <f t="shared" si="14"/>
        <v>1</v>
      </c>
      <c r="Y121" s="138">
        <f t="shared" si="15"/>
        <v>0</v>
      </c>
      <c r="Z121" s="138">
        <f t="shared" si="16"/>
        <v>0</v>
      </c>
      <c r="AA121" s="138">
        <f t="shared" si="17"/>
        <v>0</v>
      </c>
      <c r="AB121" s="127" t="s">
        <v>31</v>
      </c>
      <c r="AC121" s="127"/>
      <c r="AD121" s="127" t="s">
        <v>32</v>
      </c>
      <c r="AE121" s="130"/>
      <c r="AF121" s="136">
        <v>0</v>
      </c>
      <c r="AG121" s="136">
        <v>4.0599999999999996</v>
      </c>
      <c r="AH121" s="136">
        <v>0</v>
      </c>
      <c r="AI121" s="136">
        <v>2.14</v>
      </c>
      <c r="AJ121" s="136">
        <v>0</v>
      </c>
      <c r="AK121" s="136">
        <v>0.47</v>
      </c>
      <c r="AL121" s="136">
        <v>3.31</v>
      </c>
      <c r="AM121" s="136">
        <v>9.9799999999999986</v>
      </c>
      <c r="AN121" s="131"/>
      <c r="AO121" s="131"/>
      <c r="AP121" s="131"/>
      <c r="AQ121" s="131"/>
      <c r="AR121" s="131"/>
      <c r="AS121" s="131"/>
      <c r="AT121" s="131"/>
      <c r="AU121" s="91"/>
      <c r="AV121" s="91"/>
      <c r="AW121" s="131"/>
      <c r="AX121" s="131"/>
      <c r="AY121" s="131"/>
    </row>
    <row r="122" spans="1:51" ht="15" x14ac:dyDescent="0.25">
      <c r="A122" s="123"/>
      <c r="B122" s="124"/>
      <c r="C122" s="125">
        <v>600162</v>
      </c>
      <c r="D122" s="89"/>
      <c r="E122" s="86" t="s">
        <v>5</v>
      </c>
      <c r="F122" s="86" t="s">
        <v>418</v>
      </c>
      <c r="H122" s="126" t="s">
        <v>51</v>
      </c>
      <c r="I122" s="89">
        <v>1</v>
      </c>
      <c r="J122" s="127">
        <v>6768.2425999999996</v>
      </c>
      <c r="K122" s="127">
        <v>2649.51</v>
      </c>
      <c r="L122" s="127">
        <v>965.16000000000008</v>
      </c>
      <c r="M122" s="127">
        <v>0</v>
      </c>
      <c r="N122" s="127">
        <v>0</v>
      </c>
      <c r="O122" s="127">
        <v>0</v>
      </c>
      <c r="P122" s="128">
        <f t="shared" si="9"/>
        <v>0</v>
      </c>
      <c r="Q122" s="128">
        <f t="shared" si="10"/>
        <v>0</v>
      </c>
      <c r="R122" s="128">
        <f t="shared" si="11"/>
        <v>0</v>
      </c>
      <c r="S122" s="129">
        <v>0</v>
      </c>
      <c r="T122" s="129">
        <v>0</v>
      </c>
      <c r="U122" s="129">
        <v>0</v>
      </c>
      <c r="V122" s="138">
        <f t="shared" si="12"/>
        <v>3</v>
      </c>
      <c r="W122" s="138">
        <f t="shared" si="13"/>
        <v>3</v>
      </c>
      <c r="X122" s="138">
        <f t="shared" si="14"/>
        <v>1</v>
      </c>
      <c r="Y122" s="138">
        <f t="shared" si="15"/>
        <v>0</v>
      </c>
      <c r="Z122" s="138">
        <f t="shared" si="16"/>
        <v>0</v>
      </c>
      <c r="AA122" s="138">
        <f t="shared" si="17"/>
        <v>0</v>
      </c>
      <c r="AB122" s="127" t="s">
        <v>31</v>
      </c>
      <c r="AC122" s="127"/>
      <c r="AD122" s="127" t="s">
        <v>32</v>
      </c>
      <c r="AE122" s="130"/>
      <c r="AF122" s="136">
        <v>0</v>
      </c>
      <c r="AG122" s="136">
        <v>4.0599999999999996</v>
      </c>
      <c r="AH122" s="136">
        <v>0</v>
      </c>
      <c r="AI122" s="136">
        <v>2.14</v>
      </c>
      <c r="AJ122" s="136">
        <v>0</v>
      </c>
      <c r="AK122" s="136">
        <v>0.47</v>
      </c>
      <c r="AL122" s="136">
        <v>3.31</v>
      </c>
      <c r="AM122" s="136">
        <v>9.9799999999999986</v>
      </c>
      <c r="AN122" s="131"/>
      <c r="AO122" s="131"/>
      <c r="AP122" s="131"/>
      <c r="AQ122" s="131"/>
      <c r="AR122" s="131"/>
      <c r="AS122" s="131"/>
      <c r="AT122" s="131"/>
      <c r="AU122" s="91"/>
      <c r="AV122" s="91"/>
      <c r="AW122" s="131"/>
      <c r="AX122" s="131"/>
      <c r="AY122" s="131"/>
    </row>
    <row r="123" spans="1:51" ht="15" x14ac:dyDescent="0.25">
      <c r="A123" s="123"/>
      <c r="B123" s="124"/>
      <c r="C123" s="125">
        <v>622099</v>
      </c>
      <c r="D123" s="89"/>
      <c r="E123" s="86" t="s">
        <v>5</v>
      </c>
      <c r="F123" s="86" t="s">
        <v>418</v>
      </c>
      <c r="H123" s="126" t="s">
        <v>51</v>
      </c>
      <c r="I123" s="89">
        <v>0</v>
      </c>
      <c r="J123" s="127">
        <v>6768.2425999999996</v>
      </c>
      <c r="K123" s="127">
        <v>2649.51</v>
      </c>
      <c r="L123" s="127">
        <v>965.16000000000008</v>
      </c>
      <c r="M123" s="127">
        <v>0</v>
      </c>
      <c r="N123" s="127">
        <v>0</v>
      </c>
      <c r="O123" s="127">
        <v>0</v>
      </c>
      <c r="P123" s="128">
        <f t="shared" si="9"/>
        <v>0</v>
      </c>
      <c r="Q123" s="128">
        <f t="shared" si="10"/>
        <v>0</v>
      </c>
      <c r="R123" s="128">
        <f t="shared" si="11"/>
        <v>0</v>
      </c>
      <c r="S123" s="129">
        <v>0</v>
      </c>
      <c r="T123" s="129">
        <v>0</v>
      </c>
      <c r="U123" s="129">
        <v>0</v>
      </c>
      <c r="V123" s="138">
        <f t="shared" si="12"/>
        <v>2</v>
      </c>
      <c r="W123" s="138">
        <f t="shared" si="13"/>
        <v>2</v>
      </c>
      <c r="X123" s="138">
        <f t="shared" si="14"/>
        <v>0</v>
      </c>
      <c r="Y123" s="138">
        <f t="shared" si="15"/>
        <v>0</v>
      </c>
      <c r="Z123" s="138">
        <f t="shared" si="16"/>
        <v>0</v>
      </c>
      <c r="AA123" s="138">
        <f t="shared" si="17"/>
        <v>0</v>
      </c>
      <c r="AB123" s="127" t="s">
        <v>31</v>
      </c>
      <c r="AC123" s="127"/>
      <c r="AD123" s="127" t="s">
        <v>32</v>
      </c>
      <c r="AE123" s="130"/>
      <c r="AF123" s="136">
        <v>0</v>
      </c>
      <c r="AG123" s="136">
        <v>4.0599999999999996</v>
      </c>
      <c r="AH123" s="136">
        <v>0</v>
      </c>
      <c r="AI123" s="136">
        <v>2.14</v>
      </c>
      <c r="AJ123" s="136">
        <v>0</v>
      </c>
      <c r="AK123" s="136">
        <v>0.47</v>
      </c>
      <c r="AL123" s="136">
        <v>3.31</v>
      </c>
      <c r="AM123" s="136">
        <v>9.9799999999999986</v>
      </c>
      <c r="AN123" s="131"/>
      <c r="AO123" s="131"/>
      <c r="AP123" s="131"/>
      <c r="AQ123" s="131"/>
      <c r="AR123" s="131"/>
      <c r="AS123" s="131"/>
      <c r="AT123" s="131"/>
      <c r="AU123" s="91"/>
      <c r="AV123" s="91"/>
      <c r="AW123" s="131"/>
      <c r="AX123" s="131"/>
      <c r="AY123" s="131"/>
    </row>
    <row r="124" spans="1:51" ht="15" x14ac:dyDescent="0.25">
      <c r="A124" s="123"/>
      <c r="B124" s="124"/>
      <c r="C124" s="125">
        <v>741004</v>
      </c>
      <c r="D124" s="89"/>
      <c r="E124" s="86" t="s">
        <v>5</v>
      </c>
      <c r="F124" s="86" t="s">
        <v>418</v>
      </c>
      <c r="H124" s="126" t="s">
        <v>51</v>
      </c>
      <c r="I124" s="89">
        <v>1</v>
      </c>
      <c r="J124" s="127">
        <v>6768.2425999999996</v>
      </c>
      <c r="K124" s="127">
        <v>2649.51</v>
      </c>
      <c r="L124" s="127">
        <v>965.16000000000008</v>
      </c>
      <c r="M124" s="127">
        <v>0</v>
      </c>
      <c r="N124" s="127">
        <v>0</v>
      </c>
      <c r="O124" s="127">
        <v>0</v>
      </c>
      <c r="P124" s="128">
        <f t="shared" si="9"/>
        <v>0</v>
      </c>
      <c r="Q124" s="128">
        <f t="shared" si="10"/>
        <v>0</v>
      </c>
      <c r="R124" s="128">
        <f t="shared" si="11"/>
        <v>0</v>
      </c>
      <c r="S124" s="129">
        <v>0</v>
      </c>
      <c r="T124" s="129">
        <v>0</v>
      </c>
      <c r="U124" s="129">
        <v>0</v>
      </c>
      <c r="V124" s="138">
        <f t="shared" si="12"/>
        <v>3</v>
      </c>
      <c r="W124" s="138">
        <f t="shared" si="13"/>
        <v>3</v>
      </c>
      <c r="X124" s="138">
        <f t="shared" si="14"/>
        <v>1</v>
      </c>
      <c r="Y124" s="138">
        <f t="shared" si="15"/>
        <v>0</v>
      </c>
      <c r="Z124" s="138">
        <f t="shared" si="16"/>
        <v>0</v>
      </c>
      <c r="AA124" s="138">
        <f t="shared" si="17"/>
        <v>0</v>
      </c>
      <c r="AB124" s="127" t="s">
        <v>31</v>
      </c>
      <c r="AC124" s="127"/>
      <c r="AD124" s="127" t="s">
        <v>32</v>
      </c>
      <c r="AE124" s="130"/>
      <c r="AF124" s="136">
        <v>0</v>
      </c>
      <c r="AG124" s="136">
        <v>4.0599999999999996</v>
      </c>
      <c r="AH124" s="136">
        <v>0</v>
      </c>
      <c r="AI124" s="136">
        <v>2.14</v>
      </c>
      <c r="AJ124" s="136">
        <v>0</v>
      </c>
      <c r="AK124" s="136">
        <v>0.47</v>
      </c>
      <c r="AL124" s="136">
        <v>3.31</v>
      </c>
      <c r="AM124" s="136">
        <v>9.9799999999999986</v>
      </c>
      <c r="AN124" s="131"/>
      <c r="AO124" s="131"/>
      <c r="AP124" s="131"/>
      <c r="AQ124" s="131"/>
      <c r="AR124" s="131"/>
      <c r="AS124" s="131"/>
      <c r="AT124" s="131"/>
      <c r="AU124" s="91"/>
      <c r="AV124" s="91"/>
      <c r="AW124" s="131"/>
      <c r="AX124" s="131"/>
      <c r="AY124" s="131"/>
    </row>
    <row r="125" spans="1:51" ht="15" x14ac:dyDescent="0.25">
      <c r="A125" s="123"/>
      <c r="B125" s="124"/>
      <c r="C125" s="125">
        <v>750033</v>
      </c>
      <c r="D125" s="89"/>
      <c r="E125" s="86" t="s">
        <v>5</v>
      </c>
      <c r="F125" s="86" t="s">
        <v>418</v>
      </c>
      <c r="H125" s="126" t="s">
        <v>51</v>
      </c>
      <c r="I125" s="89">
        <v>1</v>
      </c>
      <c r="J125" s="127">
        <v>6768.2425999999996</v>
      </c>
      <c r="K125" s="127">
        <v>2649.51</v>
      </c>
      <c r="L125" s="127">
        <v>965.16000000000008</v>
      </c>
      <c r="M125" s="127">
        <v>0</v>
      </c>
      <c r="N125" s="127">
        <v>0</v>
      </c>
      <c r="O125" s="127">
        <v>0</v>
      </c>
      <c r="P125" s="128">
        <f t="shared" si="9"/>
        <v>0</v>
      </c>
      <c r="Q125" s="128">
        <f t="shared" si="10"/>
        <v>0</v>
      </c>
      <c r="R125" s="128">
        <f t="shared" si="11"/>
        <v>0</v>
      </c>
      <c r="S125" s="129">
        <v>0</v>
      </c>
      <c r="T125" s="129">
        <v>0</v>
      </c>
      <c r="U125" s="129">
        <v>0</v>
      </c>
      <c r="V125" s="138">
        <f t="shared" si="12"/>
        <v>3</v>
      </c>
      <c r="W125" s="138">
        <f t="shared" si="13"/>
        <v>3</v>
      </c>
      <c r="X125" s="138">
        <f t="shared" si="14"/>
        <v>1</v>
      </c>
      <c r="Y125" s="138">
        <f t="shared" si="15"/>
        <v>0</v>
      </c>
      <c r="Z125" s="138">
        <f t="shared" si="16"/>
        <v>0</v>
      </c>
      <c r="AA125" s="138">
        <f t="shared" si="17"/>
        <v>0</v>
      </c>
      <c r="AB125" s="127" t="s">
        <v>31</v>
      </c>
      <c r="AC125" s="127"/>
      <c r="AD125" s="127" t="s">
        <v>32</v>
      </c>
      <c r="AE125" s="130"/>
      <c r="AF125" s="136">
        <v>0</v>
      </c>
      <c r="AG125" s="136">
        <v>4.0599999999999996</v>
      </c>
      <c r="AH125" s="136">
        <v>0</v>
      </c>
      <c r="AI125" s="136">
        <v>2.14</v>
      </c>
      <c r="AJ125" s="136">
        <v>0</v>
      </c>
      <c r="AK125" s="136">
        <v>0.47</v>
      </c>
      <c r="AL125" s="136">
        <v>3.31</v>
      </c>
      <c r="AM125" s="136">
        <v>9.9799999999999986</v>
      </c>
      <c r="AN125" s="131"/>
      <c r="AO125" s="131"/>
      <c r="AP125" s="131"/>
      <c r="AQ125" s="131"/>
      <c r="AR125" s="131"/>
      <c r="AS125" s="131"/>
      <c r="AT125" s="131"/>
      <c r="AU125" s="91"/>
      <c r="AV125" s="91"/>
      <c r="AW125" s="131"/>
      <c r="AX125" s="131"/>
      <c r="AY125" s="131"/>
    </row>
    <row r="126" spans="1:51" ht="15" x14ac:dyDescent="0.25">
      <c r="A126" s="123"/>
      <c r="B126" s="124"/>
      <c r="C126" s="125">
        <v>765488</v>
      </c>
      <c r="D126" s="89"/>
      <c r="E126" s="86" t="s">
        <v>5</v>
      </c>
      <c r="F126" s="86" t="s">
        <v>418</v>
      </c>
      <c r="H126" s="126" t="s">
        <v>51</v>
      </c>
      <c r="I126" s="89">
        <v>1</v>
      </c>
      <c r="J126" s="127">
        <v>6768.2425999999996</v>
      </c>
      <c r="K126" s="127">
        <v>2649.51</v>
      </c>
      <c r="L126" s="127">
        <v>965.16000000000008</v>
      </c>
      <c r="M126" s="127">
        <v>0</v>
      </c>
      <c r="N126" s="127">
        <v>0</v>
      </c>
      <c r="O126" s="127">
        <v>0</v>
      </c>
      <c r="P126" s="128">
        <f t="shared" si="9"/>
        <v>0</v>
      </c>
      <c r="Q126" s="128">
        <f t="shared" si="10"/>
        <v>0</v>
      </c>
      <c r="R126" s="128">
        <f t="shared" si="11"/>
        <v>0</v>
      </c>
      <c r="S126" s="129">
        <v>0</v>
      </c>
      <c r="T126" s="129">
        <v>0</v>
      </c>
      <c r="U126" s="129">
        <v>0</v>
      </c>
      <c r="V126" s="138">
        <f t="shared" si="12"/>
        <v>3</v>
      </c>
      <c r="W126" s="138">
        <f t="shared" si="13"/>
        <v>3</v>
      </c>
      <c r="X126" s="138">
        <f t="shared" si="14"/>
        <v>1</v>
      </c>
      <c r="Y126" s="138">
        <f t="shared" si="15"/>
        <v>0</v>
      </c>
      <c r="Z126" s="138">
        <f t="shared" si="16"/>
        <v>0</v>
      </c>
      <c r="AA126" s="138">
        <f t="shared" si="17"/>
        <v>0</v>
      </c>
      <c r="AB126" s="127" t="s">
        <v>31</v>
      </c>
      <c r="AC126" s="127"/>
      <c r="AD126" s="127" t="s">
        <v>32</v>
      </c>
      <c r="AE126" s="130"/>
      <c r="AF126" s="136">
        <v>0</v>
      </c>
      <c r="AG126" s="136">
        <v>4.0599999999999996</v>
      </c>
      <c r="AH126" s="136">
        <v>0</v>
      </c>
      <c r="AI126" s="136">
        <v>2.14</v>
      </c>
      <c r="AJ126" s="136">
        <v>0</v>
      </c>
      <c r="AK126" s="136">
        <v>0.47</v>
      </c>
      <c r="AL126" s="136">
        <v>3.31</v>
      </c>
      <c r="AM126" s="136">
        <v>9.9799999999999986</v>
      </c>
      <c r="AN126" s="131"/>
      <c r="AO126" s="131"/>
      <c r="AP126" s="131"/>
      <c r="AQ126" s="131"/>
      <c r="AR126" s="131"/>
      <c r="AS126" s="131"/>
      <c r="AT126" s="131"/>
      <c r="AU126" s="91"/>
      <c r="AV126" s="91"/>
      <c r="AW126" s="131"/>
      <c r="AX126" s="131"/>
      <c r="AY126" s="131"/>
    </row>
    <row r="127" spans="1:51" ht="15" x14ac:dyDescent="0.25">
      <c r="A127" s="123"/>
      <c r="B127" s="124"/>
      <c r="C127" s="125">
        <v>769659</v>
      </c>
      <c r="D127" s="89"/>
      <c r="E127" s="86" t="s">
        <v>5</v>
      </c>
      <c r="F127" s="86" t="s">
        <v>418</v>
      </c>
      <c r="H127" s="126" t="s">
        <v>51</v>
      </c>
      <c r="I127" s="89">
        <v>1</v>
      </c>
      <c r="J127" s="127">
        <v>6768.2425999999996</v>
      </c>
      <c r="K127" s="127">
        <v>2649.51</v>
      </c>
      <c r="L127" s="127">
        <v>965.16000000000008</v>
      </c>
      <c r="M127" s="127">
        <v>0</v>
      </c>
      <c r="N127" s="127">
        <v>0</v>
      </c>
      <c r="O127" s="127">
        <v>0</v>
      </c>
      <c r="P127" s="128">
        <f t="shared" si="9"/>
        <v>0</v>
      </c>
      <c r="Q127" s="128">
        <f t="shared" si="10"/>
        <v>0</v>
      </c>
      <c r="R127" s="128">
        <f t="shared" si="11"/>
        <v>0</v>
      </c>
      <c r="S127" s="129">
        <v>0</v>
      </c>
      <c r="T127" s="129">
        <v>0</v>
      </c>
      <c r="U127" s="129">
        <v>0</v>
      </c>
      <c r="V127" s="138">
        <f t="shared" si="12"/>
        <v>3</v>
      </c>
      <c r="W127" s="138">
        <f t="shared" si="13"/>
        <v>3</v>
      </c>
      <c r="X127" s="138">
        <f t="shared" si="14"/>
        <v>1</v>
      </c>
      <c r="Y127" s="138">
        <f t="shared" si="15"/>
        <v>0</v>
      </c>
      <c r="Z127" s="138">
        <f t="shared" si="16"/>
        <v>0</v>
      </c>
      <c r="AA127" s="138">
        <f t="shared" si="17"/>
        <v>0</v>
      </c>
      <c r="AB127" s="127" t="s">
        <v>31</v>
      </c>
      <c r="AC127" s="127"/>
      <c r="AD127" s="127" t="s">
        <v>32</v>
      </c>
      <c r="AE127" s="130"/>
      <c r="AF127" s="136">
        <v>0</v>
      </c>
      <c r="AG127" s="136">
        <v>4.0599999999999996</v>
      </c>
      <c r="AH127" s="136">
        <v>0</v>
      </c>
      <c r="AI127" s="136">
        <v>2.14</v>
      </c>
      <c r="AJ127" s="136">
        <v>0</v>
      </c>
      <c r="AK127" s="136">
        <v>0.47</v>
      </c>
      <c r="AL127" s="136">
        <v>3.31</v>
      </c>
      <c r="AM127" s="136">
        <v>9.9799999999999986</v>
      </c>
      <c r="AN127" s="131"/>
      <c r="AO127" s="131"/>
      <c r="AP127" s="131"/>
      <c r="AQ127" s="131"/>
      <c r="AR127" s="131"/>
      <c r="AS127" s="131"/>
      <c r="AT127" s="131"/>
      <c r="AU127" s="91"/>
      <c r="AV127" s="91"/>
      <c r="AW127" s="131"/>
      <c r="AX127" s="131"/>
      <c r="AY127" s="131"/>
    </row>
    <row r="128" spans="1:51" ht="15" x14ac:dyDescent="0.25">
      <c r="A128" s="123"/>
      <c r="B128" s="124"/>
      <c r="C128" s="125">
        <v>783897</v>
      </c>
      <c r="D128" s="89"/>
      <c r="E128" s="86" t="s">
        <v>5</v>
      </c>
      <c r="F128" s="86" t="s">
        <v>418</v>
      </c>
      <c r="H128" s="126" t="s">
        <v>51</v>
      </c>
      <c r="I128" s="89">
        <v>1</v>
      </c>
      <c r="J128" s="127">
        <v>6768.2425999999996</v>
      </c>
      <c r="K128" s="127">
        <v>2649.51</v>
      </c>
      <c r="L128" s="127">
        <v>965.16000000000008</v>
      </c>
      <c r="M128" s="127">
        <v>0</v>
      </c>
      <c r="N128" s="127">
        <v>0</v>
      </c>
      <c r="O128" s="127">
        <v>0</v>
      </c>
      <c r="P128" s="128">
        <f t="shared" si="9"/>
        <v>0</v>
      </c>
      <c r="Q128" s="128">
        <f t="shared" si="10"/>
        <v>0</v>
      </c>
      <c r="R128" s="128">
        <f t="shared" si="11"/>
        <v>0</v>
      </c>
      <c r="S128" s="129">
        <v>0</v>
      </c>
      <c r="T128" s="129">
        <v>0</v>
      </c>
      <c r="U128" s="129">
        <v>0</v>
      </c>
      <c r="V128" s="138">
        <f t="shared" si="12"/>
        <v>3</v>
      </c>
      <c r="W128" s="138">
        <f t="shared" si="13"/>
        <v>3</v>
      </c>
      <c r="X128" s="138">
        <f t="shared" si="14"/>
        <v>1</v>
      </c>
      <c r="Y128" s="138">
        <f t="shared" si="15"/>
        <v>0</v>
      </c>
      <c r="Z128" s="138">
        <f t="shared" si="16"/>
        <v>0</v>
      </c>
      <c r="AA128" s="138">
        <f t="shared" si="17"/>
        <v>0</v>
      </c>
      <c r="AB128" s="127" t="s">
        <v>31</v>
      </c>
      <c r="AC128" s="127"/>
      <c r="AD128" s="127" t="s">
        <v>32</v>
      </c>
      <c r="AE128" s="130"/>
      <c r="AF128" s="136">
        <v>0</v>
      </c>
      <c r="AG128" s="136">
        <v>4.0599999999999996</v>
      </c>
      <c r="AH128" s="136">
        <v>0</v>
      </c>
      <c r="AI128" s="136">
        <v>2.14</v>
      </c>
      <c r="AJ128" s="136">
        <v>0</v>
      </c>
      <c r="AK128" s="136">
        <v>0.47</v>
      </c>
      <c r="AL128" s="136">
        <v>3.31</v>
      </c>
      <c r="AM128" s="136">
        <v>9.9799999999999986</v>
      </c>
      <c r="AN128" s="131"/>
      <c r="AO128" s="131"/>
      <c r="AP128" s="131"/>
      <c r="AQ128" s="131"/>
      <c r="AR128" s="131"/>
      <c r="AS128" s="131"/>
      <c r="AT128" s="131"/>
      <c r="AU128" s="91"/>
      <c r="AV128" s="91"/>
      <c r="AW128" s="131"/>
      <c r="AX128" s="131"/>
      <c r="AY128" s="131"/>
    </row>
    <row r="129" spans="1:51" ht="15" x14ac:dyDescent="0.25">
      <c r="A129" s="123"/>
      <c r="B129" s="124"/>
      <c r="C129" s="125">
        <v>835375</v>
      </c>
      <c r="D129" s="89"/>
      <c r="E129" s="86" t="s">
        <v>5</v>
      </c>
      <c r="F129" s="86" t="s">
        <v>418</v>
      </c>
      <c r="H129" s="126" t="s">
        <v>51</v>
      </c>
      <c r="I129" s="89">
        <v>1</v>
      </c>
      <c r="J129" s="127">
        <v>6768.2425999999996</v>
      </c>
      <c r="K129" s="127">
        <v>2649.51</v>
      </c>
      <c r="L129" s="127">
        <v>965.16000000000008</v>
      </c>
      <c r="M129" s="127">
        <v>0</v>
      </c>
      <c r="N129" s="127">
        <v>0</v>
      </c>
      <c r="O129" s="127">
        <v>0</v>
      </c>
      <c r="P129" s="128">
        <f t="shared" si="9"/>
        <v>0</v>
      </c>
      <c r="Q129" s="128">
        <f t="shared" si="10"/>
        <v>0</v>
      </c>
      <c r="R129" s="128">
        <f t="shared" si="11"/>
        <v>0</v>
      </c>
      <c r="S129" s="129">
        <v>0</v>
      </c>
      <c r="T129" s="129">
        <v>0</v>
      </c>
      <c r="U129" s="129">
        <v>0</v>
      </c>
      <c r="V129" s="138">
        <f t="shared" si="12"/>
        <v>3</v>
      </c>
      <c r="W129" s="138">
        <f t="shared" si="13"/>
        <v>3</v>
      </c>
      <c r="X129" s="138">
        <f t="shared" si="14"/>
        <v>1</v>
      </c>
      <c r="Y129" s="138">
        <f t="shared" si="15"/>
        <v>0</v>
      </c>
      <c r="Z129" s="138">
        <f t="shared" si="16"/>
        <v>0</v>
      </c>
      <c r="AA129" s="138">
        <f t="shared" si="17"/>
        <v>0</v>
      </c>
      <c r="AB129" s="127" t="s">
        <v>31</v>
      </c>
      <c r="AC129" s="127"/>
      <c r="AD129" s="127" t="s">
        <v>32</v>
      </c>
      <c r="AE129" s="130"/>
      <c r="AF129" s="136">
        <v>0</v>
      </c>
      <c r="AG129" s="136">
        <v>4.0599999999999996</v>
      </c>
      <c r="AH129" s="136">
        <v>0</v>
      </c>
      <c r="AI129" s="136">
        <v>2.14</v>
      </c>
      <c r="AJ129" s="136">
        <v>0</v>
      </c>
      <c r="AK129" s="136">
        <v>0.47</v>
      </c>
      <c r="AL129" s="136">
        <v>3.31</v>
      </c>
      <c r="AM129" s="136">
        <v>9.9799999999999986</v>
      </c>
      <c r="AN129" s="131"/>
      <c r="AO129" s="131"/>
      <c r="AP129" s="131"/>
      <c r="AQ129" s="131"/>
      <c r="AR129" s="131"/>
      <c r="AS129" s="131"/>
      <c r="AT129" s="131"/>
      <c r="AU129" s="91"/>
      <c r="AV129" s="91"/>
      <c r="AW129" s="131"/>
      <c r="AX129" s="131"/>
      <c r="AY129" s="131"/>
    </row>
    <row r="130" spans="1:51" ht="15" x14ac:dyDescent="0.25">
      <c r="A130" s="123"/>
      <c r="B130" s="124"/>
      <c r="C130" s="125">
        <v>860715</v>
      </c>
      <c r="D130" s="89"/>
      <c r="E130" s="86" t="s">
        <v>5</v>
      </c>
      <c r="F130" s="86" t="s">
        <v>418</v>
      </c>
      <c r="H130" s="126" t="s">
        <v>51</v>
      </c>
      <c r="I130" s="89">
        <v>1</v>
      </c>
      <c r="J130" s="127">
        <v>6768.2425999999996</v>
      </c>
      <c r="K130" s="127">
        <v>2649.51</v>
      </c>
      <c r="L130" s="127">
        <v>965.16000000000008</v>
      </c>
      <c r="M130" s="127">
        <v>0</v>
      </c>
      <c r="N130" s="127">
        <v>0</v>
      </c>
      <c r="O130" s="127">
        <v>0</v>
      </c>
      <c r="P130" s="128">
        <f t="shared" si="9"/>
        <v>0</v>
      </c>
      <c r="Q130" s="128">
        <f t="shared" si="10"/>
        <v>0</v>
      </c>
      <c r="R130" s="128">
        <f t="shared" si="11"/>
        <v>0</v>
      </c>
      <c r="S130" s="129">
        <v>0</v>
      </c>
      <c r="T130" s="129">
        <v>0</v>
      </c>
      <c r="U130" s="129">
        <v>0</v>
      </c>
      <c r="V130" s="138">
        <f t="shared" si="12"/>
        <v>3</v>
      </c>
      <c r="W130" s="138">
        <f t="shared" si="13"/>
        <v>3</v>
      </c>
      <c r="X130" s="138">
        <f t="shared" si="14"/>
        <v>1</v>
      </c>
      <c r="Y130" s="138">
        <f t="shared" si="15"/>
        <v>0</v>
      </c>
      <c r="Z130" s="138">
        <f t="shared" si="16"/>
        <v>0</v>
      </c>
      <c r="AA130" s="138">
        <f t="shared" si="17"/>
        <v>0</v>
      </c>
      <c r="AB130" s="127" t="s">
        <v>31</v>
      </c>
      <c r="AC130" s="127"/>
      <c r="AD130" s="127" t="s">
        <v>32</v>
      </c>
      <c r="AE130" s="130"/>
      <c r="AF130" s="136">
        <v>0</v>
      </c>
      <c r="AG130" s="136">
        <v>4.0599999999999996</v>
      </c>
      <c r="AH130" s="136">
        <v>0</v>
      </c>
      <c r="AI130" s="136">
        <v>2.14</v>
      </c>
      <c r="AJ130" s="136">
        <v>0</v>
      </c>
      <c r="AK130" s="136">
        <v>0.47</v>
      </c>
      <c r="AL130" s="136">
        <v>3.31</v>
      </c>
      <c r="AM130" s="136">
        <v>9.9799999999999986</v>
      </c>
      <c r="AN130" s="131"/>
      <c r="AO130" s="131"/>
      <c r="AP130" s="131"/>
      <c r="AQ130" s="131"/>
      <c r="AR130" s="131"/>
      <c r="AS130" s="131"/>
      <c r="AT130" s="131"/>
      <c r="AU130" s="91"/>
      <c r="AV130" s="91"/>
      <c r="AW130" s="131"/>
      <c r="AX130" s="131"/>
      <c r="AY130" s="131"/>
    </row>
    <row r="131" spans="1:51" ht="15" x14ac:dyDescent="0.25">
      <c r="A131" s="123"/>
      <c r="B131" s="124"/>
      <c r="C131" s="125">
        <v>873316</v>
      </c>
      <c r="D131" s="89"/>
      <c r="E131" s="86" t="s">
        <v>5</v>
      </c>
      <c r="F131" s="86" t="s">
        <v>418</v>
      </c>
      <c r="H131" s="126" t="s">
        <v>51</v>
      </c>
      <c r="I131" s="89">
        <v>1</v>
      </c>
      <c r="J131" s="127">
        <v>6768.2425999999996</v>
      </c>
      <c r="K131" s="127">
        <v>2649.51</v>
      </c>
      <c r="L131" s="127">
        <v>965.16000000000008</v>
      </c>
      <c r="M131" s="127">
        <v>0</v>
      </c>
      <c r="N131" s="127">
        <v>0</v>
      </c>
      <c r="O131" s="127">
        <v>0</v>
      </c>
      <c r="P131" s="128">
        <f t="shared" si="9"/>
        <v>0</v>
      </c>
      <c r="Q131" s="128">
        <f t="shared" si="10"/>
        <v>0</v>
      </c>
      <c r="R131" s="128">
        <f t="shared" si="11"/>
        <v>0</v>
      </c>
      <c r="S131" s="129">
        <v>0</v>
      </c>
      <c r="T131" s="129">
        <v>0</v>
      </c>
      <c r="U131" s="129">
        <v>0</v>
      </c>
      <c r="V131" s="138">
        <f t="shared" si="12"/>
        <v>3</v>
      </c>
      <c r="W131" s="138">
        <f t="shared" si="13"/>
        <v>3</v>
      </c>
      <c r="X131" s="138">
        <f t="shared" si="14"/>
        <v>1</v>
      </c>
      <c r="Y131" s="138">
        <f t="shared" si="15"/>
        <v>0</v>
      </c>
      <c r="Z131" s="138">
        <f t="shared" si="16"/>
        <v>0</v>
      </c>
      <c r="AA131" s="138">
        <f t="shared" si="17"/>
        <v>0</v>
      </c>
      <c r="AB131" s="127" t="s">
        <v>31</v>
      </c>
      <c r="AC131" s="127"/>
      <c r="AD131" s="127" t="s">
        <v>32</v>
      </c>
      <c r="AE131" s="130"/>
      <c r="AF131" s="136">
        <v>0</v>
      </c>
      <c r="AG131" s="136">
        <v>4.0599999999999996</v>
      </c>
      <c r="AH131" s="136">
        <v>0</v>
      </c>
      <c r="AI131" s="136">
        <v>2.14</v>
      </c>
      <c r="AJ131" s="136">
        <v>0</v>
      </c>
      <c r="AK131" s="136">
        <v>0.47</v>
      </c>
      <c r="AL131" s="136">
        <v>3.31</v>
      </c>
      <c r="AM131" s="136">
        <v>9.9799999999999986</v>
      </c>
      <c r="AN131" s="131"/>
      <c r="AO131" s="131"/>
      <c r="AP131" s="131"/>
      <c r="AQ131" s="131"/>
      <c r="AR131" s="131"/>
      <c r="AS131" s="131"/>
      <c r="AT131" s="131"/>
      <c r="AU131" s="91"/>
      <c r="AV131" s="91"/>
      <c r="AW131" s="131"/>
      <c r="AX131" s="131"/>
      <c r="AY131" s="131"/>
    </row>
    <row r="132" spans="1:51" ht="15" x14ac:dyDescent="0.25">
      <c r="A132" s="123"/>
      <c r="B132" s="124"/>
      <c r="C132" s="125">
        <v>886999</v>
      </c>
      <c r="D132" s="89"/>
      <c r="E132" s="86" t="s">
        <v>5</v>
      </c>
      <c r="F132" s="86" t="s">
        <v>418</v>
      </c>
      <c r="H132" s="126" t="s">
        <v>51</v>
      </c>
      <c r="I132" s="89">
        <v>1</v>
      </c>
      <c r="J132" s="127">
        <v>6768.2425999999996</v>
      </c>
      <c r="K132" s="127">
        <v>2649.51</v>
      </c>
      <c r="L132" s="127">
        <v>965.16000000000008</v>
      </c>
      <c r="M132" s="127">
        <v>0</v>
      </c>
      <c r="N132" s="127">
        <v>0</v>
      </c>
      <c r="O132" s="127">
        <v>0</v>
      </c>
      <c r="P132" s="128">
        <f t="shared" si="9"/>
        <v>0</v>
      </c>
      <c r="Q132" s="128">
        <f t="shared" si="10"/>
        <v>0</v>
      </c>
      <c r="R132" s="128">
        <f t="shared" si="11"/>
        <v>0</v>
      </c>
      <c r="S132" s="129">
        <v>0</v>
      </c>
      <c r="T132" s="129">
        <v>0</v>
      </c>
      <c r="U132" s="129">
        <v>0</v>
      </c>
      <c r="V132" s="138">
        <f t="shared" si="12"/>
        <v>3</v>
      </c>
      <c r="W132" s="138">
        <f t="shared" si="13"/>
        <v>3</v>
      </c>
      <c r="X132" s="138">
        <f t="shared" si="14"/>
        <v>1</v>
      </c>
      <c r="Y132" s="138">
        <f t="shared" si="15"/>
        <v>0</v>
      </c>
      <c r="Z132" s="138">
        <f t="shared" si="16"/>
        <v>0</v>
      </c>
      <c r="AA132" s="138">
        <f t="shared" si="17"/>
        <v>0</v>
      </c>
      <c r="AB132" s="127" t="s">
        <v>31</v>
      </c>
      <c r="AC132" s="127"/>
      <c r="AD132" s="127" t="s">
        <v>32</v>
      </c>
      <c r="AE132" s="130"/>
      <c r="AF132" s="136">
        <v>0</v>
      </c>
      <c r="AG132" s="136">
        <v>4.0599999999999996</v>
      </c>
      <c r="AH132" s="136">
        <v>0</v>
      </c>
      <c r="AI132" s="136">
        <v>2.14</v>
      </c>
      <c r="AJ132" s="136">
        <v>0</v>
      </c>
      <c r="AK132" s="136">
        <v>0.47</v>
      </c>
      <c r="AL132" s="136">
        <v>3.31</v>
      </c>
      <c r="AM132" s="136">
        <v>9.9799999999999986</v>
      </c>
      <c r="AN132" s="131"/>
      <c r="AO132" s="131"/>
      <c r="AP132" s="131"/>
      <c r="AQ132" s="131"/>
      <c r="AR132" s="131"/>
      <c r="AS132" s="131"/>
      <c r="AT132" s="131"/>
      <c r="AU132" s="91"/>
      <c r="AV132" s="91"/>
      <c r="AW132" s="131"/>
      <c r="AX132" s="131"/>
      <c r="AY132" s="131"/>
    </row>
    <row r="133" spans="1:51" ht="15" x14ac:dyDescent="0.25">
      <c r="A133" s="123"/>
      <c r="B133" s="124"/>
      <c r="C133" s="125">
        <v>892154</v>
      </c>
      <c r="D133" s="89"/>
      <c r="E133" s="86" t="s">
        <v>5</v>
      </c>
      <c r="F133" s="86" t="s">
        <v>418</v>
      </c>
      <c r="H133" s="126" t="s">
        <v>51</v>
      </c>
      <c r="I133" s="89">
        <v>1</v>
      </c>
      <c r="J133" s="127">
        <v>6768.2425999999996</v>
      </c>
      <c r="K133" s="127">
        <v>2649.51</v>
      </c>
      <c r="L133" s="127">
        <v>965.16000000000008</v>
      </c>
      <c r="M133" s="127">
        <v>0</v>
      </c>
      <c r="N133" s="127">
        <v>0</v>
      </c>
      <c r="O133" s="127">
        <v>0</v>
      </c>
      <c r="P133" s="128">
        <f t="shared" si="9"/>
        <v>0</v>
      </c>
      <c r="Q133" s="128">
        <f t="shared" si="10"/>
        <v>0</v>
      </c>
      <c r="R133" s="128">
        <f t="shared" si="11"/>
        <v>0</v>
      </c>
      <c r="S133" s="129">
        <v>0</v>
      </c>
      <c r="T133" s="129">
        <v>0</v>
      </c>
      <c r="U133" s="129">
        <v>0</v>
      </c>
      <c r="V133" s="138">
        <f t="shared" si="12"/>
        <v>3</v>
      </c>
      <c r="W133" s="138">
        <f t="shared" si="13"/>
        <v>3</v>
      </c>
      <c r="X133" s="138">
        <f t="shared" si="14"/>
        <v>1</v>
      </c>
      <c r="Y133" s="138">
        <f t="shared" si="15"/>
        <v>0</v>
      </c>
      <c r="Z133" s="138">
        <f t="shared" si="16"/>
        <v>0</v>
      </c>
      <c r="AA133" s="138">
        <f t="shared" si="17"/>
        <v>0</v>
      </c>
      <c r="AB133" s="127" t="s">
        <v>31</v>
      </c>
      <c r="AC133" s="127"/>
      <c r="AD133" s="127" t="s">
        <v>32</v>
      </c>
      <c r="AE133" s="130"/>
      <c r="AF133" s="136">
        <v>0</v>
      </c>
      <c r="AG133" s="136">
        <v>4.0599999999999996</v>
      </c>
      <c r="AH133" s="136">
        <v>0</v>
      </c>
      <c r="AI133" s="136">
        <v>2.14</v>
      </c>
      <c r="AJ133" s="136">
        <v>0</v>
      </c>
      <c r="AK133" s="136">
        <v>0.47</v>
      </c>
      <c r="AL133" s="136">
        <v>3.31</v>
      </c>
      <c r="AM133" s="136">
        <v>9.9799999999999986</v>
      </c>
      <c r="AN133" s="131"/>
      <c r="AO133" s="131"/>
      <c r="AP133" s="131"/>
      <c r="AQ133" s="131"/>
      <c r="AR133" s="131"/>
      <c r="AS133" s="131"/>
      <c r="AT133" s="131"/>
      <c r="AU133" s="91"/>
      <c r="AV133" s="91"/>
      <c r="AW133" s="131"/>
      <c r="AX133" s="131"/>
      <c r="AY133" s="131"/>
    </row>
    <row r="134" spans="1:51" ht="15" x14ac:dyDescent="0.25">
      <c r="A134" s="123"/>
      <c r="B134" s="124"/>
      <c r="C134" s="125">
        <v>894564</v>
      </c>
      <c r="D134" s="89"/>
      <c r="E134" s="86" t="s">
        <v>5</v>
      </c>
      <c r="F134" s="86" t="s">
        <v>418</v>
      </c>
      <c r="H134" s="126" t="s">
        <v>51</v>
      </c>
      <c r="I134" s="89">
        <v>0</v>
      </c>
      <c r="J134" s="127">
        <v>6768.2425999999996</v>
      </c>
      <c r="K134" s="127">
        <v>2649.51</v>
      </c>
      <c r="L134" s="127">
        <v>965.16000000000008</v>
      </c>
      <c r="M134" s="127">
        <v>0</v>
      </c>
      <c r="N134" s="127">
        <v>0</v>
      </c>
      <c r="O134" s="127">
        <v>0</v>
      </c>
      <c r="P134" s="128">
        <f t="shared" ref="P134:P197" si="18">M134/J134</f>
        <v>0</v>
      </c>
      <c r="Q134" s="128">
        <f t="shared" ref="Q134:Q197" si="19">N134/K134</f>
        <v>0</v>
      </c>
      <c r="R134" s="128">
        <f t="shared" ref="R134:R197" si="20">O134/L134</f>
        <v>0</v>
      </c>
      <c r="S134" s="129">
        <v>0</v>
      </c>
      <c r="T134" s="129">
        <v>0</v>
      </c>
      <c r="U134" s="129">
        <v>0</v>
      </c>
      <c r="V134" s="138">
        <f t="shared" ref="V134:V197" si="21">I134+2</f>
        <v>2</v>
      </c>
      <c r="W134" s="138">
        <f t="shared" ref="W134:W197" si="22">I134+2</f>
        <v>2</v>
      </c>
      <c r="X134" s="138">
        <f t="shared" ref="X134:X197" si="23">I134</f>
        <v>0</v>
      </c>
      <c r="Y134" s="138">
        <f t="shared" ref="Y134:Y197" si="24">IF(S134=0,0,V134)</f>
        <v>0</v>
      </c>
      <c r="Z134" s="138">
        <f t="shared" ref="Z134:Z197" si="25">IF(T134=0,0,W134)</f>
        <v>0</v>
      </c>
      <c r="AA134" s="138">
        <f t="shared" ref="AA134:AA197" si="26">IF(U134=0,0,1)</f>
        <v>0</v>
      </c>
      <c r="AB134" s="127" t="s">
        <v>31</v>
      </c>
      <c r="AC134" s="127"/>
      <c r="AD134" s="127" t="s">
        <v>32</v>
      </c>
      <c r="AE134" s="130"/>
      <c r="AF134" s="136">
        <v>0</v>
      </c>
      <c r="AG134" s="136">
        <v>4.0599999999999996</v>
      </c>
      <c r="AH134" s="136">
        <v>0</v>
      </c>
      <c r="AI134" s="136">
        <v>2.14</v>
      </c>
      <c r="AJ134" s="136">
        <v>0</v>
      </c>
      <c r="AK134" s="136">
        <v>0.47</v>
      </c>
      <c r="AL134" s="136">
        <v>3.31</v>
      </c>
      <c r="AM134" s="136">
        <v>9.9799999999999986</v>
      </c>
      <c r="AN134" s="131"/>
      <c r="AO134" s="131"/>
      <c r="AP134" s="131"/>
      <c r="AQ134" s="131"/>
      <c r="AR134" s="131"/>
      <c r="AS134" s="131"/>
      <c r="AT134" s="131"/>
      <c r="AU134" s="91"/>
      <c r="AV134" s="91"/>
      <c r="AW134" s="131"/>
      <c r="AX134" s="131"/>
      <c r="AY134" s="131"/>
    </row>
    <row r="135" spans="1:51" ht="15" x14ac:dyDescent="0.25">
      <c r="A135" s="123"/>
      <c r="B135" s="124"/>
      <c r="C135" s="125">
        <v>905292</v>
      </c>
      <c r="D135" s="89"/>
      <c r="E135" s="86" t="s">
        <v>5</v>
      </c>
      <c r="F135" s="86" t="s">
        <v>418</v>
      </c>
      <c r="H135" s="126" t="s">
        <v>51</v>
      </c>
      <c r="I135" s="89">
        <v>1</v>
      </c>
      <c r="J135" s="127">
        <v>6768.2425999999996</v>
      </c>
      <c r="K135" s="127">
        <v>2649.51</v>
      </c>
      <c r="L135" s="127">
        <v>965.16000000000008</v>
      </c>
      <c r="M135" s="127">
        <v>0</v>
      </c>
      <c r="N135" s="127">
        <v>0</v>
      </c>
      <c r="O135" s="127">
        <v>0</v>
      </c>
      <c r="P135" s="128">
        <f t="shared" si="18"/>
        <v>0</v>
      </c>
      <c r="Q135" s="128">
        <f t="shared" si="19"/>
        <v>0</v>
      </c>
      <c r="R135" s="128">
        <f t="shared" si="20"/>
        <v>0</v>
      </c>
      <c r="S135" s="129">
        <v>0</v>
      </c>
      <c r="T135" s="129">
        <v>0</v>
      </c>
      <c r="U135" s="129">
        <v>0</v>
      </c>
      <c r="V135" s="138">
        <f t="shared" si="21"/>
        <v>3</v>
      </c>
      <c r="W135" s="138">
        <f t="shared" si="22"/>
        <v>3</v>
      </c>
      <c r="X135" s="138">
        <f t="shared" si="23"/>
        <v>1</v>
      </c>
      <c r="Y135" s="138">
        <f t="shared" si="24"/>
        <v>0</v>
      </c>
      <c r="Z135" s="138">
        <f t="shared" si="25"/>
        <v>0</v>
      </c>
      <c r="AA135" s="138">
        <f t="shared" si="26"/>
        <v>0</v>
      </c>
      <c r="AB135" s="127" t="s">
        <v>31</v>
      </c>
      <c r="AC135" s="127"/>
      <c r="AD135" s="127" t="s">
        <v>32</v>
      </c>
      <c r="AE135" s="130"/>
      <c r="AF135" s="136">
        <v>0</v>
      </c>
      <c r="AG135" s="136">
        <v>4.0599999999999996</v>
      </c>
      <c r="AH135" s="136">
        <v>0</v>
      </c>
      <c r="AI135" s="136">
        <v>2.14</v>
      </c>
      <c r="AJ135" s="136">
        <v>0</v>
      </c>
      <c r="AK135" s="136">
        <v>0.47</v>
      </c>
      <c r="AL135" s="136">
        <v>3.31</v>
      </c>
      <c r="AM135" s="136">
        <v>9.9799999999999986</v>
      </c>
      <c r="AN135" s="131"/>
      <c r="AO135" s="131"/>
      <c r="AP135" s="131"/>
      <c r="AQ135" s="131"/>
      <c r="AR135" s="131"/>
      <c r="AS135" s="131"/>
      <c r="AT135" s="131"/>
      <c r="AU135" s="91"/>
      <c r="AV135" s="91"/>
      <c r="AW135" s="131"/>
      <c r="AX135" s="131"/>
      <c r="AY135" s="131"/>
    </row>
    <row r="136" spans="1:51" ht="15" x14ac:dyDescent="0.25">
      <c r="A136" s="123"/>
      <c r="B136" s="124"/>
      <c r="C136" s="125">
        <v>908210</v>
      </c>
      <c r="D136" s="89"/>
      <c r="E136" s="86" t="s">
        <v>5</v>
      </c>
      <c r="F136" s="86" t="s">
        <v>418</v>
      </c>
      <c r="H136" s="126" t="s">
        <v>51</v>
      </c>
      <c r="I136" s="89">
        <v>1</v>
      </c>
      <c r="J136" s="127">
        <v>6768.2425999999996</v>
      </c>
      <c r="K136" s="127">
        <v>2649.51</v>
      </c>
      <c r="L136" s="127">
        <v>965.16000000000008</v>
      </c>
      <c r="M136" s="127">
        <v>0</v>
      </c>
      <c r="N136" s="127">
        <v>0</v>
      </c>
      <c r="O136" s="127">
        <v>0</v>
      </c>
      <c r="P136" s="128">
        <f t="shared" si="18"/>
        <v>0</v>
      </c>
      <c r="Q136" s="128">
        <f t="shared" si="19"/>
        <v>0</v>
      </c>
      <c r="R136" s="128">
        <f t="shared" si="20"/>
        <v>0</v>
      </c>
      <c r="S136" s="129">
        <v>0</v>
      </c>
      <c r="T136" s="129">
        <v>0</v>
      </c>
      <c r="U136" s="129">
        <v>0</v>
      </c>
      <c r="V136" s="138">
        <f t="shared" si="21"/>
        <v>3</v>
      </c>
      <c r="W136" s="138">
        <f t="shared" si="22"/>
        <v>3</v>
      </c>
      <c r="X136" s="138">
        <f t="shared" si="23"/>
        <v>1</v>
      </c>
      <c r="Y136" s="138">
        <f t="shared" si="24"/>
        <v>0</v>
      </c>
      <c r="Z136" s="138">
        <f t="shared" si="25"/>
        <v>0</v>
      </c>
      <c r="AA136" s="138">
        <f t="shared" si="26"/>
        <v>0</v>
      </c>
      <c r="AB136" s="127" t="s">
        <v>31</v>
      </c>
      <c r="AC136" s="127"/>
      <c r="AD136" s="127" t="s">
        <v>32</v>
      </c>
      <c r="AE136" s="130"/>
      <c r="AF136" s="136">
        <v>0</v>
      </c>
      <c r="AG136" s="136">
        <v>4.0599999999999996</v>
      </c>
      <c r="AH136" s="136">
        <v>0</v>
      </c>
      <c r="AI136" s="136">
        <v>2.14</v>
      </c>
      <c r="AJ136" s="136">
        <v>0</v>
      </c>
      <c r="AK136" s="136">
        <v>0.47</v>
      </c>
      <c r="AL136" s="136">
        <v>3.31</v>
      </c>
      <c r="AM136" s="136">
        <v>9.9799999999999986</v>
      </c>
      <c r="AN136" s="131"/>
      <c r="AO136" s="131"/>
      <c r="AP136" s="131"/>
      <c r="AQ136" s="131"/>
      <c r="AR136" s="131"/>
      <c r="AS136" s="131"/>
      <c r="AT136" s="131"/>
      <c r="AU136" s="91"/>
      <c r="AV136" s="91"/>
      <c r="AW136" s="131"/>
      <c r="AX136" s="131"/>
      <c r="AY136" s="131"/>
    </row>
    <row r="137" spans="1:51" ht="15" x14ac:dyDescent="0.25">
      <c r="A137" s="123"/>
      <c r="B137" s="124"/>
      <c r="C137" s="125">
        <v>949627</v>
      </c>
      <c r="D137" s="89"/>
      <c r="E137" s="86" t="s">
        <v>5</v>
      </c>
      <c r="F137" s="86" t="s">
        <v>418</v>
      </c>
      <c r="H137" s="126" t="s">
        <v>51</v>
      </c>
      <c r="I137" s="89">
        <v>1</v>
      </c>
      <c r="J137" s="127">
        <v>6768.2425999999996</v>
      </c>
      <c r="K137" s="127">
        <v>2649.51</v>
      </c>
      <c r="L137" s="127">
        <v>965.16000000000008</v>
      </c>
      <c r="M137" s="127">
        <v>0</v>
      </c>
      <c r="N137" s="127">
        <v>0</v>
      </c>
      <c r="O137" s="127">
        <v>0</v>
      </c>
      <c r="P137" s="128">
        <f t="shared" si="18"/>
        <v>0</v>
      </c>
      <c r="Q137" s="128">
        <f t="shared" si="19"/>
        <v>0</v>
      </c>
      <c r="R137" s="128">
        <f t="shared" si="20"/>
        <v>0</v>
      </c>
      <c r="S137" s="129">
        <v>0</v>
      </c>
      <c r="T137" s="129">
        <v>0</v>
      </c>
      <c r="U137" s="129">
        <v>0</v>
      </c>
      <c r="V137" s="138">
        <f t="shared" si="21"/>
        <v>3</v>
      </c>
      <c r="W137" s="138">
        <f t="shared" si="22"/>
        <v>3</v>
      </c>
      <c r="X137" s="138">
        <f t="shared" si="23"/>
        <v>1</v>
      </c>
      <c r="Y137" s="138">
        <f t="shared" si="24"/>
        <v>0</v>
      </c>
      <c r="Z137" s="138">
        <f t="shared" si="25"/>
        <v>0</v>
      </c>
      <c r="AA137" s="138">
        <f t="shared" si="26"/>
        <v>0</v>
      </c>
      <c r="AB137" s="127" t="s">
        <v>31</v>
      </c>
      <c r="AC137" s="127"/>
      <c r="AD137" s="127" t="s">
        <v>32</v>
      </c>
      <c r="AE137" s="130"/>
      <c r="AF137" s="136">
        <v>0</v>
      </c>
      <c r="AG137" s="136">
        <v>4.0599999999999996</v>
      </c>
      <c r="AH137" s="136">
        <v>0</v>
      </c>
      <c r="AI137" s="136">
        <v>2.14</v>
      </c>
      <c r="AJ137" s="136">
        <v>0</v>
      </c>
      <c r="AK137" s="136">
        <v>0.47</v>
      </c>
      <c r="AL137" s="136">
        <v>3.31</v>
      </c>
      <c r="AM137" s="136">
        <v>9.9799999999999986</v>
      </c>
      <c r="AN137" s="131"/>
      <c r="AO137" s="131"/>
      <c r="AP137" s="131"/>
      <c r="AQ137" s="131"/>
      <c r="AR137" s="131"/>
      <c r="AS137" s="131"/>
      <c r="AT137" s="131"/>
      <c r="AU137" s="91"/>
      <c r="AV137" s="91"/>
      <c r="AW137" s="131"/>
      <c r="AX137" s="131"/>
      <c r="AY137" s="131"/>
    </row>
    <row r="138" spans="1:51" ht="15" x14ac:dyDescent="0.25">
      <c r="A138" s="123"/>
      <c r="B138" s="124"/>
      <c r="C138" s="125">
        <v>971278</v>
      </c>
      <c r="D138" s="89"/>
      <c r="E138" s="86" t="s">
        <v>5</v>
      </c>
      <c r="F138" s="86" t="s">
        <v>418</v>
      </c>
      <c r="H138" s="126" t="s">
        <v>51</v>
      </c>
      <c r="I138" s="89">
        <v>1</v>
      </c>
      <c r="J138" s="127">
        <v>6768.2425999999996</v>
      </c>
      <c r="K138" s="127">
        <v>2649.51</v>
      </c>
      <c r="L138" s="127">
        <v>965.16000000000008</v>
      </c>
      <c r="M138" s="127">
        <v>0</v>
      </c>
      <c r="N138" s="127">
        <v>0</v>
      </c>
      <c r="O138" s="127">
        <v>0</v>
      </c>
      <c r="P138" s="128">
        <f t="shared" si="18"/>
        <v>0</v>
      </c>
      <c r="Q138" s="128">
        <f t="shared" si="19"/>
        <v>0</v>
      </c>
      <c r="R138" s="128">
        <f t="shared" si="20"/>
        <v>0</v>
      </c>
      <c r="S138" s="129">
        <v>0</v>
      </c>
      <c r="T138" s="129">
        <v>0</v>
      </c>
      <c r="U138" s="129">
        <v>0</v>
      </c>
      <c r="V138" s="138">
        <f t="shared" si="21"/>
        <v>3</v>
      </c>
      <c r="W138" s="138">
        <f t="shared" si="22"/>
        <v>3</v>
      </c>
      <c r="X138" s="138">
        <f t="shared" si="23"/>
        <v>1</v>
      </c>
      <c r="Y138" s="138">
        <f t="shared" si="24"/>
        <v>0</v>
      </c>
      <c r="Z138" s="138">
        <f t="shared" si="25"/>
        <v>0</v>
      </c>
      <c r="AA138" s="138">
        <f t="shared" si="26"/>
        <v>0</v>
      </c>
      <c r="AB138" s="127" t="s">
        <v>31</v>
      </c>
      <c r="AC138" s="127"/>
      <c r="AD138" s="127" t="s">
        <v>32</v>
      </c>
      <c r="AE138" s="130"/>
      <c r="AF138" s="136">
        <v>0</v>
      </c>
      <c r="AG138" s="136">
        <v>4.0599999999999996</v>
      </c>
      <c r="AH138" s="136">
        <v>0</v>
      </c>
      <c r="AI138" s="136">
        <v>2.14</v>
      </c>
      <c r="AJ138" s="136">
        <v>0</v>
      </c>
      <c r="AK138" s="136">
        <v>0.47</v>
      </c>
      <c r="AL138" s="136">
        <v>3.31</v>
      </c>
      <c r="AM138" s="136">
        <v>9.9799999999999986</v>
      </c>
      <c r="AN138" s="131"/>
      <c r="AO138" s="131"/>
      <c r="AP138" s="131"/>
      <c r="AQ138" s="131"/>
      <c r="AR138" s="131"/>
      <c r="AS138" s="131"/>
      <c r="AT138" s="131"/>
      <c r="AU138" s="91"/>
      <c r="AV138" s="91"/>
      <c r="AW138" s="131"/>
      <c r="AX138" s="131"/>
      <c r="AY138" s="131"/>
    </row>
    <row r="139" spans="1:51" ht="15" x14ac:dyDescent="0.25">
      <c r="A139" s="123"/>
      <c r="B139" s="124"/>
      <c r="C139" s="125">
        <v>13369</v>
      </c>
      <c r="D139" s="89"/>
      <c r="E139" s="86" t="s">
        <v>6</v>
      </c>
      <c r="F139" s="86" t="s">
        <v>418</v>
      </c>
      <c r="H139" s="126" t="s">
        <v>51</v>
      </c>
      <c r="I139" s="89">
        <v>0</v>
      </c>
      <c r="J139" s="127">
        <v>12178.829900000001</v>
      </c>
      <c r="K139" s="127">
        <v>60006.619999999995</v>
      </c>
      <c r="L139" s="127">
        <v>696.17</v>
      </c>
      <c r="M139" s="127">
        <v>0</v>
      </c>
      <c r="N139" s="127">
        <v>50350.119999999995</v>
      </c>
      <c r="O139" s="127">
        <v>0</v>
      </c>
      <c r="P139" s="128">
        <f t="shared" si="18"/>
        <v>0</v>
      </c>
      <c r="Q139" s="128">
        <f t="shared" si="19"/>
        <v>0.83907608860489058</v>
      </c>
      <c r="R139" s="128">
        <f t="shared" si="20"/>
        <v>0</v>
      </c>
      <c r="S139" s="129">
        <v>0</v>
      </c>
      <c r="T139" s="129">
        <v>1</v>
      </c>
      <c r="U139" s="129">
        <v>0</v>
      </c>
      <c r="V139" s="138">
        <f t="shared" si="21"/>
        <v>2</v>
      </c>
      <c r="W139" s="138">
        <f t="shared" si="22"/>
        <v>2</v>
      </c>
      <c r="X139" s="138">
        <f t="shared" si="23"/>
        <v>0</v>
      </c>
      <c r="Y139" s="138">
        <f t="shared" si="24"/>
        <v>0</v>
      </c>
      <c r="Z139" s="138">
        <f t="shared" si="25"/>
        <v>2</v>
      </c>
      <c r="AA139" s="138">
        <f t="shared" si="26"/>
        <v>0</v>
      </c>
      <c r="AB139" s="127" t="s">
        <v>32</v>
      </c>
      <c r="AC139" s="127"/>
      <c r="AD139" s="127"/>
      <c r="AE139" s="130"/>
      <c r="AF139" s="136">
        <v>0</v>
      </c>
      <c r="AG139" s="136">
        <v>11.33</v>
      </c>
      <c r="AH139" s="136">
        <v>24.51</v>
      </c>
      <c r="AI139" s="136">
        <v>5.99</v>
      </c>
      <c r="AJ139" s="136">
        <v>0</v>
      </c>
      <c r="AK139" s="136">
        <v>0.49</v>
      </c>
      <c r="AL139" s="136">
        <v>3.31</v>
      </c>
      <c r="AM139" s="136">
        <v>45.63000000000001</v>
      </c>
      <c r="AN139" s="131"/>
      <c r="AO139" s="131"/>
      <c r="AP139" s="131"/>
      <c r="AQ139" s="131"/>
      <c r="AR139" s="131"/>
      <c r="AS139" s="131"/>
      <c r="AT139" s="131"/>
      <c r="AU139" s="91"/>
      <c r="AV139" s="91"/>
      <c r="AW139" s="131"/>
      <c r="AX139" s="131"/>
      <c r="AY139" s="131"/>
    </row>
    <row r="140" spans="1:51" ht="15" x14ac:dyDescent="0.25">
      <c r="A140" s="123"/>
      <c r="B140" s="124"/>
      <c r="C140" s="125">
        <v>37987</v>
      </c>
      <c r="D140" s="89"/>
      <c r="E140" s="86" t="s">
        <v>6</v>
      </c>
      <c r="F140" s="86" t="s">
        <v>418</v>
      </c>
      <c r="H140" s="126" t="s">
        <v>51</v>
      </c>
      <c r="I140" s="89">
        <v>0</v>
      </c>
      <c r="J140" s="127">
        <v>12178.829900000001</v>
      </c>
      <c r="K140" s="127">
        <v>60006.619999999995</v>
      </c>
      <c r="L140" s="127">
        <v>696.17</v>
      </c>
      <c r="M140" s="127">
        <v>0</v>
      </c>
      <c r="N140" s="127">
        <v>50350.119999999995</v>
      </c>
      <c r="O140" s="127">
        <v>0</v>
      </c>
      <c r="P140" s="128">
        <f t="shared" si="18"/>
        <v>0</v>
      </c>
      <c r="Q140" s="128">
        <f t="shared" si="19"/>
        <v>0.83907608860489058</v>
      </c>
      <c r="R140" s="128">
        <f t="shared" si="20"/>
        <v>0</v>
      </c>
      <c r="S140" s="129">
        <v>0</v>
      </c>
      <c r="T140" s="129">
        <v>1</v>
      </c>
      <c r="U140" s="129">
        <v>0</v>
      </c>
      <c r="V140" s="138">
        <f t="shared" si="21"/>
        <v>2</v>
      </c>
      <c r="W140" s="138">
        <f t="shared" si="22"/>
        <v>2</v>
      </c>
      <c r="X140" s="138">
        <f t="shared" si="23"/>
        <v>0</v>
      </c>
      <c r="Y140" s="138">
        <f t="shared" si="24"/>
        <v>0</v>
      </c>
      <c r="Z140" s="138">
        <f t="shared" si="25"/>
        <v>2</v>
      </c>
      <c r="AA140" s="138">
        <f t="shared" si="26"/>
        <v>0</v>
      </c>
      <c r="AB140" s="127" t="s">
        <v>32</v>
      </c>
      <c r="AC140" s="127"/>
      <c r="AD140" s="127"/>
      <c r="AE140" s="130"/>
      <c r="AF140" s="136">
        <v>0</v>
      </c>
      <c r="AG140" s="136">
        <v>11.33</v>
      </c>
      <c r="AH140" s="136">
        <v>24.51</v>
      </c>
      <c r="AI140" s="136">
        <v>5.99</v>
      </c>
      <c r="AJ140" s="136">
        <v>0</v>
      </c>
      <c r="AK140" s="136">
        <v>0.49</v>
      </c>
      <c r="AL140" s="136">
        <v>3.31</v>
      </c>
      <c r="AM140" s="136">
        <v>45.63000000000001</v>
      </c>
      <c r="AN140" s="131"/>
      <c r="AO140" s="131"/>
      <c r="AP140" s="131"/>
      <c r="AQ140" s="131"/>
      <c r="AR140" s="131"/>
      <c r="AS140" s="131"/>
      <c r="AT140" s="131"/>
      <c r="AU140" s="91"/>
      <c r="AV140" s="91"/>
      <c r="AW140" s="131"/>
      <c r="AX140" s="131"/>
      <c r="AY140" s="131"/>
    </row>
    <row r="141" spans="1:51" ht="15" x14ac:dyDescent="0.25">
      <c r="A141" s="123"/>
      <c r="B141" s="124"/>
      <c r="C141" s="125">
        <v>149415</v>
      </c>
      <c r="D141" s="89"/>
      <c r="E141" s="86" t="s">
        <v>6</v>
      </c>
      <c r="F141" s="86" t="s">
        <v>418</v>
      </c>
      <c r="H141" s="126" t="s">
        <v>51</v>
      </c>
      <c r="I141" s="89">
        <v>0</v>
      </c>
      <c r="J141" s="127">
        <v>12178.829900000001</v>
      </c>
      <c r="K141" s="127">
        <v>60006.619999999995</v>
      </c>
      <c r="L141" s="127">
        <v>696.17</v>
      </c>
      <c r="M141" s="127">
        <v>0</v>
      </c>
      <c r="N141" s="127">
        <v>50350.119999999995</v>
      </c>
      <c r="O141" s="127">
        <v>0</v>
      </c>
      <c r="P141" s="128">
        <f t="shared" si="18"/>
        <v>0</v>
      </c>
      <c r="Q141" s="128">
        <f t="shared" si="19"/>
        <v>0.83907608860489058</v>
      </c>
      <c r="R141" s="128">
        <f t="shared" si="20"/>
        <v>0</v>
      </c>
      <c r="S141" s="129">
        <v>0</v>
      </c>
      <c r="T141" s="129">
        <v>1</v>
      </c>
      <c r="U141" s="129">
        <v>0</v>
      </c>
      <c r="V141" s="138">
        <f t="shared" si="21"/>
        <v>2</v>
      </c>
      <c r="W141" s="138">
        <f t="shared" si="22"/>
        <v>2</v>
      </c>
      <c r="X141" s="138">
        <f t="shared" si="23"/>
        <v>0</v>
      </c>
      <c r="Y141" s="138">
        <f t="shared" si="24"/>
        <v>0</v>
      </c>
      <c r="Z141" s="138">
        <f t="shared" si="25"/>
        <v>2</v>
      </c>
      <c r="AA141" s="138">
        <f t="shared" si="26"/>
        <v>0</v>
      </c>
      <c r="AB141" s="127" t="s">
        <v>32</v>
      </c>
      <c r="AC141" s="127"/>
      <c r="AD141" s="127"/>
      <c r="AE141" s="130"/>
      <c r="AF141" s="136">
        <v>0</v>
      </c>
      <c r="AG141" s="136">
        <v>11.33</v>
      </c>
      <c r="AH141" s="136">
        <v>24.51</v>
      </c>
      <c r="AI141" s="136">
        <v>5.99</v>
      </c>
      <c r="AJ141" s="136">
        <v>0</v>
      </c>
      <c r="AK141" s="136">
        <v>0.49</v>
      </c>
      <c r="AL141" s="136">
        <v>3.31</v>
      </c>
      <c r="AM141" s="136">
        <v>45.63000000000001</v>
      </c>
      <c r="AN141" s="131"/>
      <c r="AO141" s="131"/>
      <c r="AP141" s="131"/>
      <c r="AQ141" s="131"/>
      <c r="AR141" s="131"/>
      <c r="AS141" s="131"/>
      <c r="AT141" s="131"/>
      <c r="AU141" s="91"/>
      <c r="AV141" s="91"/>
      <c r="AW141" s="131"/>
      <c r="AX141" s="131"/>
      <c r="AY141" s="131"/>
    </row>
    <row r="142" spans="1:51" ht="15" x14ac:dyDescent="0.25">
      <c r="A142" s="123"/>
      <c r="B142" s="124"/>
      <c r="C142" s="125">
        <v>164303</v>
      </c>
      <c r="D142" s="89"/>
      <c r="E142" s="86" t="s">
        <v>6</v>
      </c>
      <c r="F142" s="86" t="s">
        <v>418</v>
      </c>
      <c r="H142" s="126" t="s">
        <v>51</v>
      </c>
      <c r="I142" s="89">
        <v>0</v>
      </c>
      <c r="J142" s="127">
        <v>12178.829900000001</v>
      </c>
      <c r="K142" s="127">
        <v>60006.619999999995</v>
      </c>
      <c r="L142" s="127">
        <v>696.17</v>
      </c>
      <c r="M142" s="127">
        <v>0</v>
      </c>
      <c r="N142" s="127">
        <v>50350.119999999995</v>
      </c>
      <c r="O142" s="127">
        <v>0</v>
      </c>
      <c r="P142" s="128">
        <f t="shared" si="18"/>
        <v>0</v>
      </c>
      <c r="Q142" s="128">
        <f t="shared" si="19"/>
        <v>0.83907608860489058</v>
      </c>
      <c r="R142" s="128">
        <f t="shared" si="20"/>
        <v>0</v>
      </c>
      <c r="S142" s="129">
        <v>0</v>
      </c>
      <c r="T142" s="129">
        <v>1</v>
      </c>
      <c r="U142" s="129">
        <v>0</v>
      </c>
      <c r="V142" s="138">
        <f t="shared" si="21"/>
        <v>2</v>
      </c>
      <c r="W142" s="138">
        <f t="shared" si="22"/>
        <v>2</v>
      </c>
      <c r="X142" s="138">
        <f t="shared" si="23"/>
        <v>0</v>
      </c>
      <c r="Y142" s="138">
        <f t="shared" si="24"/>
        <v>0</v>
      </c>
      <c r="Z142" s="138">
        <f t="shared" si="25"/>
        <v>2</v>
      </c>
      <c r="AA142" s="138">
        <f t="shared" si="26"/>
        <v>0</v>
      </c>
      <c r="AB142" s="127" t="s">
        <v>32</v>
      </c>
      <c r="AC142" s="127"/>
      <c r="AD142" s="127"/>
      <c r="AE142" s="130"/>
      <c r="AF142" s="136">
        <v>0</v>
      </c>
      <c r="AG142" s="136">
        <v>11.33</v>
      </c>
      <c r="AH142" s="136">
        <v>24.51</v>
      </c>
      <c r="AI142" s="136">
        <v>5.99</v>
      </c>
      <c r="AJ142" s="136">
        <v>0</v>
      </c>
      <c r="AK142" s="136">
        <v>0.49</v>
      </c>
      <c r="AL142" s="136">
        <v>3.31</v>
      </c>
      <c r="AM142" s="136">
        <v>45.63000000000001</v>
      </c>
      <c r="AN142" s="131"/>
      <c r="AO142" s="131"/>
      <c r="AP142" s="131"/>
      <c r="AQ142" s="131"/>
      <c r="AR142" s="131"/>
      <c r="AS142" s="131"/>
      <c r="AT142" s="131"/>
      <c r="AU142" s="91"/>
      <c r="AV142" s="91"/>
      <c r="AW142" s="131"/>
      <c r="AX142" s="131"/>
      <c r="AY142" s="131"/>
    </row>
    <row r="143" spans="1:51" ht="15" x14ac:dyDescent="0.25">
      <c r="A143" s="123"/>
      <c r="B143" s="124"/>
      <c r="C143" s="125">
        <v>259268</v>
      </c>
      <c r="D143" s="89"/>
      <c r="E143" s="86" t="s">
        <v>6</v>
      </c>
      <c r="F143" s="86" t="s">
        <v>418</v>
      </c>
      <c r="H143" s="126" t="s">
        <v>51</v>
      </c>
      <c r="I143" s="89">
        <v>1</v>
      </c>
      <c r="J143" s="127">
        <v>12178.829900000001</v>
      </c>
      <c r="K143" s="127">
        <v>60006.619999999995</v>
      </c>
      <c r="L143" s="127">
        <v>696.17</v>
      </c>
      <c r="M143" s="127">
        <v>0</v>
      </c>
      <c r="N143" s="127">
        <v>50350.119999999995</v>
      </c>
      <c r="O143" s="127">
        <v>0</v>
      </c>
      <c r="P143" s="128">
        <f t="shared" si="18"/>
        <v>0</v>
      </c>
      <c r="Q143" s="128">
        <f t="shared" si="19"/>
        <v>0.83907608860489058</v>
      </c>
      <c r="R143" s="128">
        <f t="shared" si="20"/>
        <v>0</v>
      </c>
      <c r="S143" s="129">
        <v>0</v>
      </c>
      <c r="T143" s="129">
        <v>1</v>
      </c>
      <c r="U143" s="129">
        <v>0</v>
      </c>
      <c r="V143" s="138">
        <f t="shared" si="21"/>
        <v>3</v>
      </c>
      <c r="W143" s="138">
        <f t="shared" si="22"/>
        <v>3</v>
      </c>
      <c r="X143" s="138">
        <f t="shared" si="23"/>
        <v>1</v>
      </c>
      <c r="Y143" s="138">
        <f t="shared" si="24"/>
        <v>0</v>
      </c>
      <c r="Z143" s="138">
        <f t="shared" si="25"/>
        <v>3</v>
      </c>
      <c r="AA143" s="138">
        <f t="shared" si="26"/>
        <v>0</v>
      </c>
      <c r="AB143" s="127" t="s">
        <v>32</v>
      </c>
      <c r="AC143" s="127"/>
      <c r="AD143" s="127"/>
      <c r="AE143" s="130"/>
      <c r="AF143" s="136">
        <v>0</v>
      </c>
      <c r="AG143" s="136">
        <v>11.33</v>
      </c>
      <c r="AH143" s="136">
        <v>36.770000000000003</v>
      </c>
      <c r="AI143" s="136">
        <v>5.99</v>
      </c>
      <c r="AJ143" s="136">
        <v>0</v>
      </c>
      <c r="AK143" s="136">
        <v>0.49</v>
      </c>
      <c r="AL143" s="136">
        <v>3.31</v>
      </c>
      <c r="AM143" s="136">
        <v>57.890000000000008</v>
      </c>
      <c r="AN143" s="131"/>
      <c r="AO143" s="131"/>
      <c r="AP143" s="131"/>
      <c r="AQ143" s="131"/>
      <c r="AR143" s="131"/>
      <c r="AS143" s="131"/>
      <c r="AT143" s="131"/>
      <c r="AU143" s="91"/>
      <c r="AV143" s="91"/>
      <c r="AW143" s="131"/>
      <c r="AX143" s="131"/>
      <c r="AY143" s="131"/>
    </row>
    <row r="144" spans="1:51" ht="15" x14ac:dyDescent="0.25">
      <c r="A144" s="123"/>
      <c r="B144" s="124"/>
      <c r="C144" s="125">
        <v>283726</v>
      </c>
      <c r="D144" s="89"/>
      <c r="E144" s="86" t="s">
        <v>6</v>
      </c>
      <c r="F144" s="86" t="s">
        <v>418</v>
      </c>
      <c r="H144" s="126" t="s">
        <v>51</v>
      </c>
      <c r="I144" s="89">
        <v>1</v>
      </c>
      <c r="J144" s="127">
        <v>12178.829900000001</v>
      </c>
      <c r="K144" s="127">
        <v>60006.619999999995</v>
      </c>
      <c r="L144" s="127">
        <v>696.17</v>
      </c>
      <c r="M144" s="127">
        <v>0</v>
      </c>
      <c r="N144" s="127">
        <v>50350.119999999995</v>
      </c>
      <c r="O144" s="127">
        <v>0</v>
      </c>
      <c r="P144" s="128">
        <f t="shared" si="18"/>
        <v>0</v>
      </c>
      <c r="Q144" s="128">
        <f t="shared" si="19"/>
        <v>0.83907608860489058</v>
      </c>
      <c r="R144" s="128">
        <f t="shared" si="20"/>
        <v>0</v>
      </c>
      <c r="S144" s="129">
        <v>0</v>
      </c>
      <c r="T144" s="129">
        <v>1</v>
      </c>
      <c r="U144" s="129">
        <v>0</v>
      </c>
      <c r="V144" s="138">
        <f t="shared" si="21"/>
        <v>3</v>
      </c>
      <c r="W144" s="138">
        <f t="shared" si="22"/>
        <v>3</v>
      </c>
      <c r="X144" s="138">
        <f t="shared" si="23"/>
        <v>1</v>
      </c>
      <c r="Y144" s="138">
        <f t="shared" si="24"/>
        <v>0</v>
      </c>
      <c r="Z144" s="138">
        <f t="shared" si="25"/>
        <v>3</v>
      </c>
      <c r="AA144" s="138">
        <f t="shared" si="26"/>
        <v>0</v>
      </c>
      <c r="AB144" s="127" t="s">
        <v>32</v>
      </c>
      <c r="AC144" s="127"/>
      <c r="AD144" s="127"/>
      <c r="AE144" s="130"/>
      <c r="AF144" s="136">
        <v>0</v>
      </c>
      <c r="AG144" s="136">
        <v>11.33</v>
      </c>
      <c r="AH144" s="136">
        <v>36.770000000000003</v>
      </c>
      <c r="AI144" s="136">
        <v>5.99</v>
      </c>
      <c r="AJ144" s="136">
        <v>0</v>
      </c>
      <c r="AK144" s="136">
        <v>0.49</v>
      </c>
      <c r="AL144" s="136">
        <v>3.31</v>
      </c>
      <c r="AM144" s="136">
        <v>57.890000000000008</v>
      </c>
      <c r="AN144" s="131"/>
      <c r="AO144" s="131"/>
      <c r="AP144" s="131"/>
      <c r="AQ144" s="131"/>
      <c r="AR144" s="131"/>
      <c r="AS144" s="131"/>
      <c r="AT144" s="131"/>
      <c r="AU144" s="91"/>
      <c r="AV144" s="91"/>
      <c r="AW144" s="131"/>
      <c r="AX144" s="131"/>
      <c r="AY144" s="131"/>
    </row>
    <row r="145" spans="1:51" ht="15" x14ac:dyDescent="0.25">
      <c r="A145" s="123"/>
      <c r="B145" s="124"/>
      <c r="C145" s="125">
        <v>316904</v>
      </c>
      <c r="D145" s="89"/>
      <c r="E145" s="86" t="s">
        <v>6</v>
      </c>
      <c r="F145" s="86" t="s">
        <v>418</v>
      </c>
      <c r="H145" s="126" t="s">
        <v>51</v>
      </c>
      <c r="I145" s="89">
        <v>1</v>
      </c>
      <c r="J145" s="127">
        <v>12178.829900000001</v>
      </c>
      <c r="K145" s="127">
        <v>60006.619999999995</v>
      </c>
      <c r="L145" s="127">
        <v>696.17</v>
      </c>
      <c r="M145" s="127">
        <v>0</v>
      </c>
      <c r="N145" s="127">
        <v>50350.119999999995</v>
      </c>
      <c r="O145" s="127">
        <v>0</v>
      </c>
      <c r="P145" s="128">
        <f t="shared" si="18"/>
        <v>0</v>
      </c>
      <c r="Q145" s="128">
        <f t="shared" si="19"/>
        <v>0.83907608860489058</v>
      </c>
      <c r="R145" s="128">
        <f t="shared" si="20"/>
        <v>0</v>
      </c>
      <c r="S145" s="129">
        <v>0</v>
      </c>
      <c r="T145" s="129">
        <v>1</v>
      </c>
      <c r="U145" s="129">
        <v>0</v>
      </c>
      <c r="V145" s="138">
        <f t="shared" si="21"/>
        <v>3</v>
      </c>
      <c r="W145" s="138">
        <f t="shared" si="22"/>
        <v>3</v>
      </c>
      <c r="X145" s="138">
        <f t="shared" si="23"/>
        <v>1</v>
      </c>
      <c r="Y145" s="138">
        <f t="shared" si="24"/>
        <v>0</v>
      </c>
      <c r="Z145" s="138">
        <f t="shared" si="25"/>
        <v>3</v>
      </c>
      <c r="AA145" s="138">
        <f t="shared" si="26"/>
        <v>0</v>
      </c>
      <c r="AB145" s="127" t="s">
        <v>32</v>
      </c>
      <c r="AC145" s="127"/>
      <c r="AD145" s="127"/>
      <c r="AE145" s="130"/>
      <c r="AF145" s="136">
        <v>0</v>
      </c>
      <c r="AG145" s="136">
        <v>11.33</v>
      </c>
      <c r="AH145" s="136">
        <v>36.770000000000003</v>
      </c>
      <c r="AI145" s="136">
        <v>5.99</v>
      </c>
      <c r="AJ145" s="136">
        <v>0</v>
      </c>
      <c r="AK145" s="136">
        <v>0.49</v>
      </c>
      <c r="AL145" s="136">
        <v>3.31</v>
      </c>
      <c r="AM145" s="136">
        <v>57.890000000000008</v>
      </c>
      <c r="AN145" s="131"/>
      <c r="AO145" s="131"/>
      <c r="AP145" s="131"/>
      <c r="AQ145" s="131"/>
      <c r="AR145" s="131"/>
      <c r="AS145" s="131"/>
      <c r="AT145" s="131"/>
      <c r="AU145" s="91"/>
      <c r="AV145" s="91"/>
      <c r="AW145" s="131"/>
      <c r="AX145" s="131"/>
      <c r="AY145" s="131"/>
    </row>
    <row r="146" spans="1:51" ht="15" x14ac:dyDescent="0.25">
      <c r="A146" s="123"/>
      <c r="B146" s="124"/>
      <c r="C146" s="125">
        <v>334292</v>
      </c>
      <c r="D146" s="89"/>
      <c r="E146" s="86" t="s">
        <v>6</v>
      </c>
      <c r="F146" s="86" t="s">
        <v>418</v>
      </c>
      <c r="H146" s="126" t="s">
        <v>51</v>
      </c>
      <c r="I146" s="89">
        <v>0</v>
      </c>
      <c r="J146" s="127">
        <v>12178.829900000001</v>
      </c>
      <c r="K146" s="127">
        <v>60006.619999999995</v>
      </c>
      <c r="L146" s="127">
        <v>696.17</v>
      </c>
      <c r="M146" s="127">
        <v>0</v>
      </c>
      <c r="N146" s="127">
        <v>50350.119999999995</v>
      </c>
      <c r="O146" s="127">
        <v>0</v>
      </c>
      <c r="P146" s="128">
        <f t="shared" si="18"/>
        <v>0</v>
      </c>
      <c r="Q146" s="128">
        <f t="shared" si="19"/>
        <v>0.83907608860489058</v>
      </c>
      <c r="R146" s="128">
        <f t="shared" si="20"/>
        <v>0</v>
      </c>
      <c r="S146" s="129">
        <v>0</v>
      </c>
      <c r="T146" s="129">
        <v>1</v>
      </c>
      <c r="U146" s="129">
        <v>0</v>
      </c>
      <c r="V146" s="138">
        <f t="shared" si="21"/>
        <v>2</v>
      </c>
      <c r="W146" s="138">
        <f t="shared" si="22"/>
        <v>2</v>
      </c>
      <c r="X146" s="138">
        <f t="shared" si="23"/>
        <v>0</v>
      </c>
      <c r="Y146" s="138">
        <f t="shared" si="24"/>
        <v>0</v>
      </c>
      <c r="Z146" s="138">
        <f t="shared" si="25"/>
        <v>2</v>
      </c>
      <c r="AA146" s="138">
        <f t="shared" si="26"/>
        <v>0</v>
      </c>
      <c r="AB146" s="127" t="s">
        <v>32</v>
      </c>
      <c r="AC146" s="127"/>
      <c r="AD146" s="127"/>
      <c r="AE146" s="130"/>
      <c r="AF146" s="136">
        <v>0</v>
      </c>
      <c r="AG146" s="136">
        <v>11.33</v>
      </c>
      <c r="AH146" s="136">
        <v>24.51</v>
      </c>
      <c r="AI146" s="136">
        <v>5.99</v>
      </c>
      <c r="AJ146" s="136">
        <v>0</v>
      </c>
      <c r="AK146" s="136">
        <v>0.49</v>
      </c>
      <c r="AL146" s="136">
        <v>3.31</v>
      </c>
      <c r="AM146" s="136">
        <v>45.63000000000001</v>
      </c>
      <c r="AN146" s="131"/>
      <c r="AO146" s="131"/>
      <c r="AP146" s="131"/>
      <c r="AQ146" s="131"/>
      <c r="AR146" s="131"/>
      <c r="AS146" s="131"/>
      <c r="AT146" s="131"/>
      <c r="AU146" s="91"/>
      <c r="AV146" s="91"/>
      <c r="AW146" s="131"/>
      <c r="AX146" s="131"/>
      <c r="AY146" s="131"/>
    </row>
    <row r="147" spans="1:51" ht="15" x14ac:dyDescent="0.25">
      <c r="A147" s="123"/>
      <c r="B147" s="124"/>
      <c r="C147" s="125">
        <v>357856</v>
      </c>
      <c r="D147" s="89"/>
      <c r="E147" s="86" t="s">
        <v>6</v>
      </c>
      <c r="F147" s="86" t="s">
        <v>418</v>
      </c>
      <c r="H147" s="126" t="s">
        <v>51</v>
      </c>
      <c r="I147" s="89">
        <v>0</v>
      </c>
      <c r="J147" s="127">
        <v>12178.829900000001</v>
      </c>
      <c r="K147" s="127">
        <v>60006.619999999995</v>
      </c>
      <c r="L147" s="127">
        <v>696.17</v>
      </c>
      <c r="M147" s="127">
        <v>0</v>
      </c>
      <c r="N147" s="127">
        <v>50350.119999999995</v>
      </c>
      <c r="O147" s="127">
        <v>0</v>
      </c>
      <c r="P147" s="128">
        <f t="shared" si="18"/>
        <v>0</v>
      </c>
      <c r="Q147" s="128">
        <f t="shared" si="19"/>
        <v>0.83907608860489058</v>
      </c>
      <c r="R147" s="128">
        <f t="shared" si="20"/>
        <v>0</v>
      </c>
      <c r="S147" s="129">
        <v>0</v>
      </c>
      <c r="T147" s="129">
        <v>1</v>
      </c>
      <c r="U147" s="129">
        <v>0</v>
      </c>
      <c r="V147" s="138">
        <f t="shared" si="21"/>
        <v>2</v>
      </c>
      <c r="W147" s="138">
        <f t="shared" si="22"/>
        <v>2</v>
      </c>
      <c r="X147" s="138">
        <f t="shared" si="23"/>
        <v>0</v>
      </c>
      <c r="Y147" s="138">
        <f t="shared" si="24"/>
        <v>0</v>
      </c>
      <c r="Z147" s="138">
        <f t="shared" si="25"/>
        <v>2</v>
      </c>
      <c r="AA147" s="138">
        <f t="shared" si="26"/>
        <v>0</v>
      </c>
      <c r="AB147" s="127" t="s">
        <v>32</v>
      </c>
      <c r="AC147" s="127"/>
      <c r="AD147" s="127"/>
      <c r="AE147" s="130"/>
      <c r="AF147" s="136">
        <v>0</v>
      </c>
      <c r="AG147" s="136">
        <v>11.33</v>
      </c>
      <c r="AH147" s="136">
        <v>24.51</v>
      </c>
      <c r="AI147" s="136">
        <v>5.99</v>
      </c>
      <c r="AJ147" s="136">
        <v>0</v>
      </c>
      <c r="AK147" s="136">
        <v>0.49</v>
      </c>
      <c r="AL147" s="136">
        <v>3.31</v>
      </c>
      <c r="AM147" s="136">
        <v>45.63000000000001</v>
      </c>
      <c r="AN147" s="131"/>
      <c r="AO147" s="131"/>
      <c r="AP147" s="131"/>
      <c r="AQ147" s="131"/>
      <c r="AR147" s="131"/>
      <c r="AS147" s="131"/>
      <c r="AT147" s="131"/>
      <c r="AU147" s="91"/>
      <c r="AV147" s="91"/>
      <c r="AW147" s="131"/>
      <c r="AX147" s="131"/>
      <c r="AY147" s="131"/>
    </row>
    <row r="148" spans="1:51" ht="15" x14ac:dyDescent="0.25">
      <c r="A148" s="123"/>
      <c r="B148" s="124"/>
      <c r="C148" s="125">
        <v>394673</v>
      </c>
      <c r="D148" s="89"/>
      <c r="E148" s="86" t="s">
        <v>6</v>
      </c>
      <c r="F148" s="86" t="s">
        <v>418</v>
      </c>
      <c r="H148" s="126" t="s">
        <v>51</v>
      </c>
      <c r="I148" s="89">
        <v>1</v>
      </c>
      <c r="J148" s="127">
        <v>12178.829900000001</v>
      </c>
      <c r="K148" s="127">
        <v>60006.619999999995</v>
      </c>
      <c r="L148" s="127">
        <v>696.17</v>
      </c>
      <c r="M148" s="127">
        <v>0</v>
      </c>
      <c r="N148" s="127">
        <v>50350.119999999995</v>
      </c>
      <c r="O148" s="127">
        <v>0</v>
      </c>
      <c r="P148" s="128">
        <f t="shared" si="18"/>
        <v>0</v>
      </c>
      <c r="Q148" s="128">
        <f t="shared" si="19"/>
        <v>0.83907608860489058</v>
      </c>
      <c r="R148" s="128">
        <f t="shared" si="20"/>
        <v>0</v>
      </c>
      <c r="S148" s="129">
        <v>0</v>
      </c>
      <c r="T148" s="129">
        <v>1</v>
      </c>
      <c r="U148" s="129">
        <v>0</v>
      </c>
      <c r="V148" s="138">
        <f t="shared" si="21"/>
        <v>3</v>
      </c>
      <c r="W148" s="138">
        <f t="shared" si="22"/>
        <v>3</v>
      </c>
      <c r="X148" s="138">
        <f t="shared" si="23"/>
        <v>1</v>
      </c>
      <c r="Y148" s="138">
        <f t="shared" si="24"/>
        <v>0</v>
      </c>
      <c r="Z148" s="138">
        <f t="shared" si="25"/>
        <v>3</v>
      </c>
      <c r="AA148" s="138">
        <f t="shared" si="26"/>
        <v>0</v>
      </c>
      <c r="AB148" s="127" t="s">
        <v>32</v>
      </c>
      <c r="AC148" s="127"/>
      <c r="AD148" s="127"/>
      <c r="AE148" s="130"/>
      <c r="AF148" s="136">
        <v>0</v>
      </c>
      <c r="AG148" s="136">
        <v>11.33</v>
      </c>
      <c r="AH148" s="136">
        <v>36.770000000000003</v>
      </c>
      <c r="AI148" s="136">
        <v>5.99</v>
      </c>
      <c r="AJ148" s="136">
        <v>0</v>
      </c>
      <c r="AK148" s="136">
        <v>0.49</v>
      </c>
      <c r="AL148" s="136">
        <v>3.31</v>
      </c>
      <c r="AM148" s="136">
        <v>57.890000000000008</v>
      </c>
      <c r="AN148" s="131"/>
      <c r="AO148" s="131"/>
      <c r="AP148" s="131"/>
      <c r="AQ148" s="131"/>
      <c r="AR148" s="131"/>
      <c r="AS148" s="131"/>
      <c r="AT148" s="131"/>
      <c r="AU148" s="91"/>
      <c r="AV148" s="91"/>
      <c r="AW148" s="131"/>
      <c r="AX148" s="131"/>
      <c r="AY148" s="131"/>
    </row>
    <row r="149" spans="1:51" ht="15" x14ac:dyDescent="0.25">
      <c r="A149" s="123"/>
      <c r="B149" s="124"/>
      <c r="C149" s="125">
        <v>396196</v>
      </c>
      <c r="D149" s="89"/>
      <c r="E149" s="86" t="s">
        <v>6</v>
      </c>
      <c r="F149" s="86" t="s">
        <v>418</v>
      </c>
      <c r="H149" s="126" t="s">
        <v>51</v>
      </c>
      <c r="I149" s="89">
        <v>1</v>
      </c>
      <c r="J149" s="127">
        <v>12178.829900000001</v>
      </c>
      <c r="K149" s="127">
        <v>60006.619999999995</v>
      </c>
      <c r="L149" s="127">
        <v>696.17</v>
      </c>
      <c r="M149" s="127">
        <v>0</v>
      </c>
      <c r="N149" s="127">
        <v>50350.119999999995</v>
      </c>
      <c r="O149" s="127">
        <v>0</v>
      </c>
      <c r="P149" s="128">
        <f t="shared" si="18"/>
        <v>0</v>
      </c>
      <c r="Q149" s="128">
        <f t="shared" si="19"/>
        <v>0.83907608860489058</v>
      </c>
      <c r="R149" s="128">
        <f t="shared" si="20"/>
        <v>0</v>
      </c>
      <c r="S149" s="129">
        <v>0</v>
      </c>
      <c r="T149" s="129">
        <v>1</v>
      </c>
      <c r="U149" s="129">
        <v>0</v>
      </c>
      <c r="V149" s="138">
        <f t="shared" si="21"/>
        <v>3</v>
      </c>
      <c r="W149" s="138">
        <f t="shared" si="22"/>
        <v>3</v>
      </c>
      <c r="X149" s="138">
        <f t="shared" si="23"/>
        <v>1</v>
      </c>
      <c r="Y149" s="138">
        <f t="shared" si="24"/>
        <v>0</v>
      </c>
      <c r="Z149" s="138">
        <f t="shared" si="25"/>
        <v>3</v>
      </c>
      <c r="AA149" s="138">
        <f t="shared" si="26"/>
        <v>0</v>
      </c>
      <c r="AB149" s="127" t="s">
        <v>32</v>
      </c>
      <c r="AC149" s="127"/>
      <c r="AD149" s="127"/>
      <c r="AE149" s="130"/>
      <c r="AF149" s="136">
        <v>0</v>
      </c>
      <c r="AG149" s="136">
        <v>11.33</v>
      </c>
      <c r="AH149" s="136">
        <v>36.770000000000003</v>
      </c>
      <c r="AI149" s="136">
        <v>5.99</v>
      </c>
      <c r="AJ149" s="136">
        <v>0</v>
      </c>
      <c r="AK149" s="136">
        <v>0.49</v>
      </c>
      <c r="AL149" s="136">
        <v>3.31</v>
      </c>
      <c r="AM149" s="136">
        <v>57.890000000000008</v>
      </c>
      <c r="AN149" s="131"/>
      <c r="AO149" s="131"/>
      <c r="AP149" s="131"/>
      <c r="AQ149" s="131"/>
      <c r="AR149" s="131"/>
      <c r="AS149" s="131"/>
      <c r="AT149" s="131"/>
      <c r="AU149" s="91"/>
      <c r="AV149" s="91"/>
      <c r="AW149" s="131"/>
      <c r="AX149" s="131"/>
      <c r="AY149" s="131"/>
    </row>
    <row r="150" spans="1:51" ht="15" x14ac:dyDescent="0.25">
      <c r="A150" s="123"/>
      <c r="B150" s="124"/>
      <c r="C150" s="125">
        <v>409337</v>
      </c>
      <c r="D150" s="89"/>
      <c r="E150" s="86" t="s">
        <v>6</v>
      </c>
      <c r="F150" s="86" t="s">
        <v>418</v>
      </c>
      <c r="H150" s="126" t="s">
        <v>51</v>
      </c>
      <c r="I150" s="89">
        <v>0</v>
      </c>
      <c r="J150" s="127">
        <v>12178.829900000001</v>
      </c>
      <c r="K150" s="127">
        <v>60006.619999999995</v>
      </c>
      <c r="L150" s="127">
        <v>696.17</v>
      </c>
      <c r="M150" s="127">
        <v>0</v>
      </c>
      <c r="N150" s="127">
        <v>50350.119999999995</v>
      </c>
      <c r="O150" s="127">
        <v>0</v>
      </c>
      <c r="P150" s="128">
        <f t="shared" si="18"/>
        <v>0</v>
      </c>
      <c r="Q150" s="128">
        <f t="shared" si="19"/>
        <v>0.83907608860489058</v>
      </c>
      <c r="R150" s="128">
        <f t="shared" si="20"/>
        <v>0</v>
      </c>
      <c r="S150" s="129">
        <v>0</v>
      </c>
      <c r="T150" s="129">
        <v>1</v>
      </c>
      <c r="U150" s="129">
        <v>0</v>
      </c>
      <c r="V150" s="138">
        <f t="shared" si="21"/>
        <v>2</v>
      </c>
      <c r="W150" s="138">
        <f t="shared" si="22"/>
        <v>2</v>
      </c>
      <c r="X150" s="138">
        <f t="shared" si="23"/>
        <v>0</v>
      </c>
      <c r="Y150" s="138">
        <f t="shared" si="24"/>
        <v>0</v>
      </c>
      <c r="Z150" s="138">
        <f t="shared" si="25"/>
        <v>2</v>
      </c>
      <c r="AA150" s="138">
        <f t="shared" si="26"/>
        <v>0</v>
      </c>
      <c r="AB150" s="127" t="s">
        <v>32</v>
      </c>
      <c r="AC150" s="127"/>
      <c r="AD150" s="127"/>
      <c r="AE150" s="130"/>
      <c r="AF150" s="136">
        <v>0</v>
      </c>
      <c r="AG150" s="136">
        <v>11.33</v>
      </c>
      <c r="AH150" s="136">
        <v>24.51</v>
      </c>
      <c r="AI150" s="136">
        <v>5.99</v>
      </c>
      <c r="AJ150" s="136">
        <v>0</v>
      </c>
      <c r="AK150" s="136">
        <v>0.49</v>
      </c>
      <c r="AL150" s="136">
        <v>3.31</v>
      </c>
      <c r="AM150" s="136">
        <v>45.63000000000001</v>
      </c>
      <c r="AN150" s="131"/>
      <c r="AO150" s="131"/>
      <c r="AP150" s="131"/>
      <c r="AQ150" s="131"/>
      <c r="AR150" s="131"/>
      <c r="AS150" s="131"/>
      <c r="AT150" s="131"/>
      <c r="AU150" s="91"/>
      <c r="AV150" s="91"/>
      <c r="AW150" s="131"/>
      <c r="AX150" s="131"/>
      <c r="AY150" s="131"/>
    </row>
    <row r="151" spans="1:51" ht="15" x14ac:dyDescent="0.25">
      <c r="A151" s="123"/>
      <c r="B151" s="124"/>
      <c r="C151" s="125">
        <v>414748</v>
      </c>
      <c r="D151" s="89"/>
      <c r="E151" s="86" t="s">
        <v>6</v>
      </c>
      <c r="F151" s="86" t="s">
        <v>418</v>
      </c>
      <c r="H151" s="126" t="s">
        <v>51</v>
      </c>
      <c r="I151" s="89">
        <v>2</v>
      </c>
      <c r="J151" s="127">
        <v>12178.829900000001</v>
      </c>
      <c r="K151" s="127">
        <v>60006.619999999995</v>
      </c>
      <c r="L151" s="127">
        <v>696.17</v>
      </c>
      <c r="M151" s="127">
        <v>0</v>
      </c>
      <c r="N151" s="127">
        <v>50350.119999999995</v>
      </c>
      <c r="O151" s="127">
        <v>0</v>
      </c>
      <c r="P151" s="128">
        <f t="shared" si="18"/>
        <v>0</v>
      </c>
      <c r="Q151" s="128">
        <f t="shared" si="19"/>
        <v>0.83907608860489058</v>
      </c>
      <c r="R151" s="128">
        <f t="shared" si="20"/>
        <v>0</v>
      </c>
      <c r="S151" s="129">
        <v>0</v>
      </c>
      <c r="T151" s="129">
        <v>1</v>
      </c>
      <c r="U151" s="129">
        <v>0</v>
      </c>
      <c r="V151" s="138">
        <f t="shared" si="21"/>
        <v>4</v>
      </c>
      <c r="W151" s="138">
        <f t="shared" si="22"/>
        <v>4</v>
      </c>
      <c r="X151" s="138">
        <f t="shared" si="23"/>
        <v>2</v>
      </c>
      <c r="Y151" s="138">
        <f t="shared" si="24"/>
        <v>0</v>
      </c>
      <c r="Z151" s="138">
        <f t="shared" si="25"/>
        <v>4</v>
      </c>
      <c r="AA151" s="138">
        <f t="shared" si="26"/>
        <v>0</v>
      </c>
      <c r="AB151" s="127" t="s">
        <v>32</v>
      </c>
      <c r="AC151" s="127"/>
      <c r="AD151" s="127"/>
      <c r="AE151" s="130"/>
      <c r="AF151" s="136">
        <v>0</v>
      </c>
      <c r="AG151" s="136">
        <v>11.33</v>
      </c>
      <c r="AH151" s="136">
        <v>49.03</v>
      </c>
      <c r="AI151" s="136">
        <v>5.99</v>
      </c>
      <c r="AJ151" s="136">
        <v>0</v>
      </c>
      <c r="AK151" s="136">
        <v>0.49</v>
      </c>
      <c r="AL151" s="136">
        <v>3.31</v>
      </c>
      <c r="AM151" s="136">
        <v>70.149999999999991</v>
      </c>
      <c r="AN151" s="131"/>
      <c r="AO151" s="131"/>
      <c r="AP151" s="131"/>
      <c r="AQ151" s="131"/>
      <c r="AR151" s="131"/>
      <c r="AS151" s="131"/>
      <c r="AT151" s="131"/>
      <c r="AU151" s="91"/>
      <c r="AV151" s="91"/>
      <c r="AW151" s="131"/>
      <c r="AX151" s="131"/>
      <c r="AY151" s="131"/>
    </row>
    <row r="152" spans="1:51" ht="15" x14ac:dyDescent="0.25">
      <c r="A152" s="123"/>
      <c r="B152" s="124"/>
      <c r="C152" s="125">
        <v>435228</v>
      </c>
      <c r="D152" s="89"/>
      <c r="E152" s="86" t="s">
        <v>6</v>
      </c>
      <c r="F152" s="86" t="s">
        <v>418</v>
      </c>
      <c r="H152" s="126" t="s">
        <v>51</v>
      </c>
      <c r="I152" s="89">
        <v>0</v>
      </c>
      <c r="J152" s="127">
        <v>12178.829900000001</v>
      </c>
      <c r="K152" s="127">
        <v>60006.619999999995</v>
      </c>
      <c r="L152" s="127">
        <v>696.17</v>
      </c>
      <c r="M152" s="127">
        <v>0</v>
      </c>
      <c r="N152" s="127">
        <v>50350.119999999995</v>
      </c>
      <c r="O152" s="127">
        <v>0</v>
      </c>
      <c r="P152" s="128">
        <f t="shared" si="18"/>
        <v>0</v>
      </c>
      <c r="Q152" s="128">
        <f t="shared" si="19"/>
        <v>0.83907608860489058</v>
      </c>
      <c r="R152" s="128">
        <f t="shared" si="20"/>
        <v>0</v>
      </c>
      <c r="S152" s="129">
        <v>0</v>
      </c>
      <c r="T152" s="129">
        <v>1</v>
      </c>
      <c r="U152" s="129">
        <v>0</v>
      </c>
      <c r="V152" s="138">
        <f t="shared" si="21"/>
        <v>2</v>
      </c>
      <c r="W152" s="138">
        <f t="shared" si="22"/>
        <v>2</v>
      </c>
      <c r="X152" s="138">
        <f t="shared" si="23"/>
        <v>0</v>
      </c>
      <c r="Y152" s="138">
        <f t="shared" si="24"/>
        <v>0</v>
      </c>
      <c r="Z152" s="138">
        <f t="shared" si="25"/>
        <v>2</v>
      </c>
      <c r="AA152" s="138">
        <f t="shared" si="26"/>
        <v>0</v>
      </c>
      <c r="AB152" s="127" t="s">
        <v>32</v>
      </c>
      <c r="AC152" s="127"/>
      <c r="AD152" s="127"/>
      <c r="AE152" s="130"/>
      <c r="AF152" s="136">
        <v>0</v>
      </c>
      <c r="AG152" s="136">
        <v>11.33</v>
      </c>
      <c r="AH152" s="136">
        <v>24.51</v>
      </c>
      <c r="AI152" s="136">
        <v>5.99</v>
      </c>
      <c r="AJ152" s="136">
        <v>0</v>
      </c>
      <c r="AK152" s="136">
        <v>0.49</v>
      </c>
      <c r="AL152" s="136">
        <v>3.31</v>
      </c>
      <c r="AM152" s="136">
        <v>45.63000000000001</v>
      </c>
      <c r="AN152" s="131"/>
      <c r="AO152" s="131"/>
      <c r="AP152" s="131"/>
      <c r="AQ152" s="131"/>
      <c r="AR152" s="131"/>
      <c r="AS152" s="131"/>
      <c r="AT152" s="131"/>
      <c r="AU152" s="91"/>
      <c r="AV152" s="91"/>
      <c r="AW152" s="131"/>
      <c r="AX152" s="131"/>
      <c r="AY152" s="131"/>
    </row>
    <row r="153" spans="1:51" ht="15" x14ac:dyDescent="0.25">
      <c r="A153" s="123"/>
      <c r="B153" s="124"/>
      <c r="C153" s="125">
        <v>491148</v>
      </c>
      <c r="D153" s="89"/>
      <c r="E153" s="86" t="s">
        <v>6</v>
      </c>
      <c r="F153" s="86" t="s">
        <v>418</v>
      </c>
      <c r="H153" s="126" t="s">
        <v>51</v>
      </c>
      <c r="I153" s="89">
        <v>1</v>
      </c>
      <c r="J153" s="127">
        <v>12178.829900000001</v>
      </c>
      <c r="K153" s="127">
        <v>60006.619999999995</v>
      </c>
      <c r="L153" s="127">
        <v>696.17</v>
      </c>
      <c r="M153" s="127">
        <v>0</v>
      </c>
      <c r="N153" s="127">
        <v>50350.119999999995</v>
      </c>
      <c r="O153" s="127">
        <v>0</v>
      </c>
      <c r="P153" s="128">
        <f t="shared" si="18"/>
        <v>0</v>
      </c>
      <c r="Q153" s="128">
        <f t="shared" si="19"/>
        <v>0.83907608860489058</v>
      </c>
      <c r="R153" s="128">
        <f t="shared" si="20"/>
        <v>0</v>
      </c>
      <c r="S153" s="129">
        <v>0</v>
      </c>
      <c r="T153" s="129">
        <v>1</v>
      </c>
      <c r="U153" s="129">
        <v>0</v>
      </c>
      <c r="V153" s="138">
        <f t="shared" si="21"/>
        <v>3</v>
      </c>
      <c r="W153" s="138">
        <f t="shared" si="22"/>
        <v>3</v>
      </c>
      <c r="X153" s="138">
        <f t="shared" si="23"/>
        <v>1</v>
      </c>
      <c r="Y153" s="138">
        <f t="shared" si="24"/>
        <v>0</v>
      </c>
      <c r="Z153" s="138">
        <f t="shared" si="25"/>
        <v>3</v>
      </c>
      <c r="AA153" s="138">
        <f t="shared" si="26"/>
        <v>0</v>
      </c>
      <c r="AB153" s="127" t="s">
        <v>32</v>
      </c>
      <c r="AC153" s="127"/>
      <c r="AD153" s="127"/>
      <c r="AE153" s="130"/>
      <c r="AF153" s="136">
        <v>0</v>
      </c>
      <c r="AG153" s="136">
        <v>11.33</v>
      </c>
      <c r="AH153" s="136">
        <v>36.770000000000003</v>
      </c>
      <c r="AI153" s="136">
        <v>5.99</v>
      </c>
      <c r="AJ153" s="136">
        <v>0</v>
      </c>
      <c r="AK153" s="136">
        <v>0.49</v>
      </c>
      <c r="AL153" s="136">
        <v>3.31</v>
      </c>
      <c r="AM153" s="136">
        <v>57.890000000000008</v>
      </c>
      <c r="AN153" s="131"/>
      <c r="AO153" s="131"/>
      <c r="AP153" s="131"/>
      <c r="AQ153" s="131"/>
      <c r="AR153" s="131"/>
      <c r="AS153" s="131"/>
      <c r="AT153" s="131"/>
      <c r="AU153" s="91"/>
      <c r="AV153" s="91"/>
      <c r="AW153" s="131"/>
      <c r="AX153" s="131"/>
      <c r="AY153" s="131"/>
    </row>
    <row r="154" spans="1:51" ht="15" x14ac:dyDescent="0.25">
      <c r="A154" s="123"/>
      <c r="B154" s="124"/>
      <c r="C154" s="125">
        <v>550867</v>
      </c>
      <c r="D154" s="89"/>
      <c r="E154" s="86" t="s">
        <v>6</v>
      </c>
      <c r="F154" s="86" t="s">
        <v>418</v>
      </c>
      <c r="H154" s="126" t="s">
        <v>51</v>
      </c>
      <c r="I154" s="89">
        <v>0</v>
      </c>
      <c r="J154" s="127">
        <v>12178.829900000001</v>
      </c>
      <c r="K154" s="127">
        <v>60006.619999999995</v>
      </c>
      <c r="L154" s="127">
        <v>696.17</v>
      </c>
      <c r="M154" s="127">
        <v>0</v>
      </c>
      <c r="N154" s="127">
        <v>50350.119999999995</v>
      </c>
      <c r="O154" s="127">
        <v>0</v>
      </c>
      <c r="P154" s="128">
        <f t="shared" si="18"/>
        <v>0</v>
      </c>
      <c r="Q154" s="128">
        <f t="shared" si="19"/>
        <v>0.83907608860489058</v>
      </c>
      <c r="R154" s="128">
        <f t="shared" si="20"/>
        <v>0</v>
      </c>
      <c r="S154" s="129">
        <v>0</v>
      </c>
      <c r="T154" s="129">
        <v>1</v>
      </c>
      <c r="U154" s="129">
        <v>0</v>
      </c>
      <c r="V154" s="138">
        <f t="shared" si="21"/>
        <v>2</v>
      </c>
      <c r="W154" s="138">
        <f t="shared" si="22"/>
        <v>2</v>
      </c>
      <c r="X154" s="138">
        <f t="shared" si="23"/>
        <v>0</v>
      </c>
      <c r="Y154" s="138">
        <f t="shared" si="24"/>
        <v>0</v>
      </c>
      <c r="Z154" s="138">
        <f t="shared" si="25"/>
        <v>2</v>
      </c>
      <c r="AA154" s="138">
        <f t="shared" si="26"/>
        <v>0</v>
      </c>
      <c r="AB154" s="127" t="s">
        <v>32</v>
      </c>
      <c r="AC154" s="127"/>
      <c r="AD154" s="127"/>
      <c r="AE154" s="130"/>
      <c r="AF154" s="136">
        <v>0</v>
      </c>
      <c r="AG154" s="136">
        <v>11.33</v>
      </c>
      <c r="AH154" s="136">
        <v>24.51</v>
      </c>
      <c r="AI154" s="136">
        <v>5.99</v>
      </c>
      <c r="AJ154" s="136">
        <v>0</v>
      </c>
      <c r="AK154" s="136">
        <v>0.49</v>
      </c>
      <c r="AL154" s="136">
        <v>3.31</v>
      </c>
      <c r="AM154" s="136">
        <v>45.63000000000001</v>
      </c>
      <c r="AN154" s="131"/>
      <c r="AO154" s="131"/>
      <c r="AP154" s="131"/>
      <c r="AQ154" s="131"/>
      <c r="AR154" s="131"/>
      <c r="AS154" s="131"/>
      <c r="AT154" s="131"/>
      <c r="AU154" s="91"/>
      <c r="AV154" s="91"/>
      <c r="AW154" s="131"/>
      <c r="AX154" s="131"/>
      <c r="AY154" s="131"/>
    </row>
    <row r="155" spans="1:51" ht="15" x14ac:dyDescent="0.25">
      <c r="A155" s="123"/>
      <c r="B155" s="124"/>
      <c r="C155" s="125">
        <v>572683</v>
      </c>
      <c r="D155" s="89"/>
      <c r="E155" s="86" t="s">
        <v>6</v>
      </c>
      <c r="F155" s="86" t="s">
        <v>418</v>
      </c>
      <c r="H155" s="126" t="s">
        <v>51</v>
      </c>
      <c r="I155" s="89">
        <v>0</v>
      </c>
      <c r="J155" s="127">
        <v>12178.829900000001</v>
      </c>
      <c r="K155" s="127">
        <v>60006.619999999995</v>
      </c>
      <c r="L155" s="127">
        <v>696.17</v>
      </c>
      <c r="M155" s="127">
        <v>0</v>
      </c>
      <c r="N155" s="127">
        <v>50350.119999999995</v>
      </c>
      <c r="O155" s="127">
        <v>0</v>
      </c>
      <c r="P155" s="128">
        <f t="shared" si="18"/>
        <v>0</v>
      </c>
      <c r="Q155" s="128">
        <f t="shared" si="19"/>
        <v>0.83907608860489058</v>
      </c>
      <c r="R155" s="128">
        <f t="shared" si="20"/>
        <v>0</v>
      </c>
      <c r="S155" s="129">
        <v>0</v>
      </c>
      <c r="T155" s="129">
        <v>1</v>
      </c>
      <c r="U155" s="129">
        <v>0</v>
      </c>
      <c r="V155" s="138">
        <f t="shared" si="21"/>
        <v>2</v>
      </c>
      <c r="W155" s="138">
        <f t="shared" si="22"/>
        <v>2</v>
      </c>
      <c r="X155" s="138">
        <f t="shared" si="23"/>
        <v>0</v>
      </c>
      <c r="Y155" s="138">
        <f t="shared" si="24"/>
        <v>0</v>
      </c>
      <c r="Z155" s="138">
        <f t="shared" si="25"/>
        <v>2</v>
      </c>
      <c r="AA155" s="138">
        <f t="shared" si="26"/>
        <v>0</v>
      </c>
      <c r="AB155" s="127" t="s">
        <v>32</v>
      </c>
      <c r="AC155" s="127"/>
      <c r="AD155" s="127"/>
      <c r="AE155" s="130"/>
      <c r="AF155" s="136">
        <v>0</v>
      </c>
      <c r="AG155" s="136">
        <v>11.33</v>
      </c>
      <c r="AH155" s="136">
        <v>24.51</v>
      </c>
      <c r="AI155" s="136">
        <v>5.99</v>
      </c>
      <c r="AJ155" s="136">
        <v>0</v>
      </c>
      <c r="AK155" s="136">
        <v>0.49</v>
      </c>
      <c r="AL155" s="136">
        <v>3.31</v>
      </c>
      <c r="AM155" s="136">
        <v>45.63000000000001</v>
      </c>
      <c r="AN155" s="131"/>
      <c r="AO155" s="131"/>
      <c r="AP155" s="131"/>
      <c r="AQ155" s="131"/>
      <c r="AR155" s="131"/>
      <c r="AS155" s="131"/>
      <c r="AT155" s="131"/>
      <c r="AU155" s="91"/>
      <c r="AV155" s="91"/>
      <c r="AW155" s="131"/>
      <c r="AX155" s="131"/>
      <c r="AY155" s="131"/>
    </row>
    <row r="156" spans="1:51" ht="15" x14ac:dyDescent="0.25">
      <c r="A156" s="123"/>
      <c r="B156" s="124"/>
      <c r="C156" s="125">
        <v>656392</v>
      </c>
      <c r="D156" s="89"/>
      <c r="E156" s="86" t="s">
        <v>6</v>
      </c>
      <c r="F156" s="86" t="s">
        <v>418</v>
      </c>
      <c r="H156" s="126" t="s">
        <v>51</v>
      </c>
      <c r="I156" s="89">
        <v>1</v>
      </c>
      <c r="J156" s="127">
        <v>12178.829900000001</v>
      </c>
      <c r="K156" s="127">
        <v>60006.619999999995</v>
      </c>
      <c r="L156" s="127">
        <v>696.17</v>
      </c>
      <c r="M156" s="127">
        <v>0</v>
      </c>
      <c r="N156" s="127">
        <v>50350.119999999995</v>
      </c>
      <c r="O156" s="127">
        <v>0</v>
      </c>
      <c r="P156" s="128">
        <f t="shared" si="18"/>
        <v>0</v>
      </c>
      <c r="Q156" s="128">
        <f t="shared" si="19"/>
        <v>0.83907608860489058</v>
      </c>
      <c r="R156" s="128">
        <f t="shared" si="20"/>
        <v>0</v>
      </c>
      <c r="S156" s="129">
        <v>0</v>
      </c>
      <c r="T156" s="129">
        <v>1</v>
      </c>
      <c r="U156" s="129">
        <v>0</v>
      </c>
      <c r="V156" s="138">
        <f t="shared" si="21"/>
        <v>3</v>
      </c>
      <c r="W156" s="138">
        <f t="shared" si="22"/>
        <v>3</v>
      </c>
      <c r="X156" s="138">
        <f t="shared" si="23"/>
        <v>1</v>
      </c>
      <c r="Y156" s="138">
        <f t="shared" si="24"/>
        <v>0</v>
      </c>
      <c r="Z156" s="138">
        <f t="shared" si="25"/>
        <v>3</v>
      </c>
      <c r="AA156" s="138">
        <f t="shared" si="26"/>
        <v>0</v>
      </c>
      <c r="AB156" s="127" t="s">
        <v>32</v>
      </c>
      <c r="AC156" s="127"/>
      <c r="AD156" s="127"/>
      <c r="AE156" s="130"/>
      <c r="AF156" s="136">
        <v>0</v>
      </c>
      <c r="AG156" s="136">
        <v>11.33</v>
      </c>
      <c r="AH156" s="136">
        <v>36.770000000000003</v>
      </c>
      <c r="AI156" s="136">
        <v>5.99</v>
      </c>
      <c r="AJ156" s="136">
        <v>0</v>
      </c>
      <c r="AK156" s="136">
        <v>0.49</v>
      </c>
      <c r="AL156" s="136">
        <v>3.31</v>
      </c>
      <c r="AM156" s="136">
        <v>57.890000000000008</v>
      </c>
      <c r="AN156" s="131"/>
      <c r="AO156" s="131"/>
      <c r="AP156" s="131"/>
      <c r="AQ156" s="131"/>
      <c r="AR156" s="131"/>
      <c r="AS156" s="131"/>
      <c r="AT156" s="131"/>
      <c r="AU156" s="91"/>
      <c r="AV156" s="91"/>
      <c r="AW156" s="131"/>
      <c r="AX156" s="131"/>
      <c r="AY156" s="131"/>
    </row>
    <row r="157" spans="1:51" ht="15" x14ac:dyDescent="0.25">
      <c r="A157" s="123"/>
      <c r="B157" s="124"/>
      <c r="C157" s="125">
        <v>662288</v>
      </c>
      <c r="D157" s="89"/>
      <c r="E157" s="86" t="s">
        <v>6</v>
      </c>
      <c r="F157" s="86" t="s">
        <v>418</v>
      </c>
      <c r="H157" s="126" t="s">
        <v>51</v>
      </c>
      <c r="I157" s="89">
        <v>1</v>
      </c>
      <c r="J157" s="127">
        <v>12178.829900000001</v>
      </c>
      <c r="K157" s="127">
        <v>60006.619999999995</v>
      </c>
      <c r="L157" s="127">
        <v>696.17</v>
      </c>
      <c r="M157" s="127">
        <v>0</v>
      </c>
      <c r="N157" s="127">
        <v>50350.119999999995</v>
      </c>
      <c r="O157" s="127">
        <v>0</v>
      </c>
      <c r="P157" s="128">
        <f t="shared" si="18"/>
        <v>0</v>
      </c>
      <c r="Q157" s="128">
        <f t="shared" si="19"/>
        <v>0.83907608860489058</v>
      </c>
      <c r="R157" s="128">
        <f t="shared" si="20"/>
        <v>0</v>
      </c>
      <c r="S157" s="129">
        <v>0</v>
      </c>
      <c r="T157" s="129">
        <v>1</v>
      </c>
      <c r="U157" s="129">
        <v>0</v>
      </c>
      <c r="V157" s="138">
        <f t="shared" si="21"/>
        <v>3</v>
      </c>
      <c r="W157" s="138">
        <f t="shared" si="22"/>
        <v>3</v>
      </c>
      <c r="X157" s="138">
        <f t="shared" si="23"/>
        <v>1</v>
      </c>
      <c r="Y157" s="138">
        <f t="shared" si="24"/>
        <v>0</v>
      </c>
      <c r="Z157" s="138">
        <f t="shared" si="25"/>
        <v>3</v>
      </c>
      <c r="AA157" s="138">
        <f t="shared" si="26"/>
        <v>0</v>
      </c>
      <c r="AB157" s="127" t="s">
        <v>32</v>
      </c>
      <c r="AC157" s="127"/>
      <c r="AD157" s="127"/>
      <c r="AE157" s="130"/>
      <c r="AF157" s="136">
        <v>0</v>
      </c>
      <c r="AG157" s="136">
        <v>11.33</v>
      </c>
      <c r="AH157" s="136">
        <v>36.770000000000003</v>
      </c>
      <c r="AI157" s="136">
        <v>5.99</v>
      </c>
      <c r="AJ157" s="136">
        <v>0</v>
      </c>
      <c r="AK157" s="136">
        <v>0.49</v>
      </c>
      <c r="AL157" s="136">
        <v>3.31</v>
      </c>
      <c r="AM157" s="136">
        <v>57.890000000000008</v>
      </c>
      <c r="AN157" s="131"/>
      <c r="AO157" s="131"/>
      <c r="AP157" s="131"/>
      <c r="AQ157" s="131"/>
      <c r="AR157" s="131"/>
      <c r="AS157" s="131"/>
      <c r="AT157" s="131"/>
      <c r="AU157" s="91"/>
      <c r="AV157" s="91"/>
      <c r="AW157" s="131"/>
      <c r="AX157" s="131"/>
      <c r="AY157" s="131"/>
    </row>
    <row r="158" spans="1:51" ht="15" x14ac:dyDescent="0.25">
      <c r="A158" s="123"/>
      <c r="B158" s="124"/>
      <c r="C158" s="125">
        <v>677302</v>
      </c>
      <c r="D158" s="89"/>
      <c r="E158" s="86" t="s">
        <v>6</v>
      </c>
      <c r="F158" s="86" t="s">
        <v>418</v>
      </c>
      <c r="H158" s="126" t="s">
        <v>51</v>
      </c>
      <c r="I158" s="89">
        <v>0</v>
      </c>
      <c r="J158" s="127">
        <v>12178.829900000001</v>
      </c>
      <c r="K158" s="127">
        <v>60006.619999999995</v>
      </c>
      <c r="L158" s="127">
        <v>696.17</v>
      </c>
      <c r="M158" s="127">
        <v>0</v>
      </c>
      <c r="N158" s="127">
        <v>50350.119999999995</v>
      </c>
      <c r="O158" s="127">
        <v>0</v>
      </c>
      <c r="P158" s="128">
        <f t="shared" si="18"/>
        <v>0</v>
      </c>
      <c r="Q158" s="128">
        <f t="shared" si="19"/>
        <v>0.83907608860489058</v>
      </c>
      <c r="R158" s="128">
        <f t="shared" si="20"/>
        <v>0</v>
      </c>
      <c r="S158" s="129">
        <v>0</v>
      </c>
      <c r="T158" s="129">
        <v>1</v>
      </c>
      <c r="U158" s="129">
        <v>0</v>
      </c>
      <c r="V158" s="138">
        <f t="shared" si="21"/>
        <v>2</v>
      </c>
      <c r="W158" s="138">
        <f t="shared" si="22"/>
        <v>2</v>
      </c>
      <c r="X158" s="138">
        <f t="shared" si="23"/>
        <v>0</v>
      </c>
      <c r="Y158" s="138">
        <f t="shared" si="24"/>
        <v>0</v>
      </c>
      <c r="Z158" s="138">
        <f t="shared" si="25"/>
        <v>2</v>
      </c>
      <c r="AA158" s="138">
        <f t="shared" si="26"/>
        <v>0</v>
      </c>
      <c r="AB158" s="127" t="s">
        <v>32</v>
      </c>
      <c r="AC158" s="127"/>
      <c r="AD158" s="127"/>
      <c r="AE158" s="130"/>
      <c r="AF158" s="136">
        <v>0</v>
      </c>
      <c r="AG158" s="136">
        <v>11.33</v>
      </c>
      <c r="AH158" s="136">
        <v>24.51</v>
      </c>
      <c r="AI158" s="136">
        <v>5.99</v>
      </c>
      <c r="AJ158" s="136">
        <v>0</v>
      </c>
      <c r="AK158" s="136">
        <v>0.49</v>
      </c>
      <c r="AL158" s="136">
        <v>3.31</v>
      </c>
      <c r="AM158" s="136">
        <v>45.63000000000001</v>
      </c>
      <c r="AN158" s="131"/>
      <c r="AO158" s="131"/>
      <c r="AP158" s="131"/>
      <c r="AQ158" s="131"/>
      <c r="AR158" s="131"/>
      <c r="AS158" s="131"/>
      <c r="AT158" s="131"/>
      <c r="AU158" s="91"/>
      <c r="AV158" s="91"/>
      <c r="AW158" s="131"/>
      <c r="AX158" s="131"/>
      <c r="AY158" s="131"/>
    </row>
    <row r="159" spans="1:51" ht="15" x14ac:dyDescent="0.25">
      <c r="A159" s="123"/>
      <c r="B159" s="124"/>
      <c r="C159" s="125">
        <v>683982</v>
      </c>
      <c r="D159" s="89"/>
      <c r="E159" s="86" t="s">
        <v>6</v>
      </c>
      <c r="F159" s="86" t="s">
        <v>418</v>
      </c>
      <c r="H159" s="126" t="s">
        <v>51</v>
      </c>
      <c r="I159" s="89">
        <v>1</v>
      </c>
      <c r="J159" s="127">
        <v>12178.829900000001</v>
      </c>
      <c r="K159" s="127">
        <v>60006.619999999995</v>
      </c>
      <c r="L159" s="127">
        <v>696.17</v>
      </c>
      <c r="M159" s="127">
        <v>0</v>
      </c>
      <c r="N159" s="127">
        <v>50350.119999999995</v>
      </c>
      <c r="O159" s="127">
        <v>0</v>
      </c>
      <c r="P159" s="128">
        <f t="shared" si="18"/>
        <v>0</v>
      </c>
      <c r="Q159" s="128">
        <f t="shared" si="19"/>
        <v>0.83907608860489058</v>
      </c>
      <c r="R159" s="128">
        <f t="shared" si="20"/>
        <v>0</v>
      </c>
      <c r="S159" s="129">
        <v>0</v>
      </c>
      <c r="T159" s="129">
        <v>1</v>
      </c>
      <c r="U159" s="129">
        <v>0</v>
      </c>
      <c r="V159" s="138">
        <f t="shared" si="21"/>
        <v>3</v>
      </c>
      <c r="W159" s="138">
        <f t="shared" si="22"/>
        <v>3</v>
      </c>
      <c r="X159" s="138">
        <f t="shared" si="23"/>
        <v>1</v>
      </c>
      <c r="Y159" s="138">
        <f t="shared" si="24"/>
        <v>0</v>
      </c>
      <c r="Z159" s="138">
        <f t="shared" si="25"/>
        <v>3</v>
      </c>
      <c r="AA159" s="138">
        <f t="shared" si="26"/>
        <v>0</v>
      </c>
      <c r="AB159" s="127" t="s">
        <v>32</v>
      </c>
      <c r="AC159" s="127"/>
      <c r="AD159" s="127"/>
      <c r="AE159" s="130"/>
      <c r="AF159" s="136">
        <v>0</v>
      </c>
      <c r="AG159" s="136">
        <v>11.33</v>
      </c>
      <c r="AH159" s="136">
        <v>36.770000000000003</v>
      </c>
      <c r="AI159" s="136">
        <v>5.99</v>
      </c>
      <c r="AJ159" s="136">
        <v>0</v>
      </c>
      <c r="AK159" s="136">
        <v>0.49</v>
      </c>
      <c r="AL159" s="136">
        <v>3.31</v>
      </c>
      <c r="AM159" s="136">
        <v>57.890000000000008</v>
      </c>
      <c r="AN159" s="131"/>
      <c r="AO159" s="131"/>
      <c r="AP159" s="131"/>
      <c r="AQ159" s="131"/>
      <c r="AR159" s="131"/>
      <c r="AS159" s="131"/>
      <c r="AT159" s="131"/>
      <c r="AU159" s="91"/>
      <c r="AV159" s="91"/>
      <c r="AW159" s="131"/>
      <c r="AX159" s="131"/>
      <c r="AY159" s="131"/>
    </row>
    <row r="160" spans="1:51" ht="15" x14ac:dyDescent="0.25">
      <c r="A160" s="123"/>
      <c r="B160" s="124"/>
      <c r="C160" s="125">
        <v>694370</v>
      </c>
      <c r="D160" s="89"/>
      <c r="E160" s="86" t="s">
        <v>6</v>
      </c>
      <c r="F160" s="86" t="s">
        <v>418</v>
      </c>
      <c r="H160" s="126" t="s">
        <v>51</v>
      </c>
      <c r="I160" s="89">
        <v>0</v>
      </c>
      <c r="J160" s="127">
        <v>12178.829900000001</v>
      </c>
      <c r="K160" s="127">
        <v>60006.619999999995</v>
      </c>
      <c r="L160" s="127">
        <v>696.17</v>
      </c>
      <c r="M160" s="127">
        <v>0</v>
      </c>
      <c r="N160" s="127">
        <v>50350.119999999995</v>
      </c>
      <c r="O160" s="127">
        <v>0</v>
      </c>
      <c r="P160" s="128">
        <f t="shared" si="18"/>
        <v>0</v>
      </c>
      <c r="Q160" s="128">
        <f t="shared" si="19"/>
        <v>0.83907608860489058</v>
      </c>
      <c r="R160" s="128">
        <f t="shared" si="20"/>
        <v>0</v>
      </c>
      <c r="S160" s="129">
        <v>0</v>
      </c>
      <c r="T160" s="129">
        <v>1</v>
      </c>
      <c r="U160" s="129">
        <v>0</v>
      </c>
      <c r="V160" s="138">
        <f t="shared" si="21"/>
        <v>2</v>
      </c>
      <c r="W160" s="138">
        <f t="shared" si="22"/>
        <v>2</v>
      </c>
      <c r="X160" s="138">
        <f t="shared" si="23"/>
        <v>0</v>
      </c>
      <c r="Y160" s="138">
        <f t="shared" si="24"/>
        <v>0</v>
      </c>
      <c r="Z160" s="138">
        <f t="shared" si="25"/>
        <v>2</v>
      </c>
      <c r="AA160" s="138">
        <f t="shared" si="26"/>
        <v>0</v>
      </c>
      <c r="AB160" s="127" t="s">
        <v>32</v>
      </c>
      <c r="AC160" s="127"/>
      <c r="AD160" s="127"/>
      <c r="AE160" s="130"/>
      <c r="AF160" s="136">
        <v>0</v>
      </c>
      <c r="AG160" s="136">
        <v>11.33</v>
      </c>
      <c r="AH160" s="136">
        <v>24.51</v>
      </c>
      <c r="AI160" s="136">
        <v>5.99</v>
      </c>
      <c r="AJ160" s="136">
        <v>0</v>
      </c>
      <c r="AK160" s="136">
        <v>0.49</v>
      </c>
      <c r="AL160" s="136">
        <v>3.31</v>
      </c>
      <c r="AM160" s="136">
        <v>45.63000000000001</v>
      </c>
      <c r="AN160" s="131"/>
      <c r="AO160" s="131"/>
      <c r="AP160" s="131"/>
      <c r="AQ160" s="131"/>
      <c r="AR160" s="131"/>
      <c r="AS160" s="131"/>
      <c r="AT160" s="131"/>
      <c r="AU160" s="91"/>
      <c r="AV160" s="91"/>
      <c r="AW160" s="131"/>
      <c r="AX160" s="131"/>
      <c r="AY160" s="131"/>
    </row>
    <row r="161" spans="1:51" ht="15" x14ac:dyDescent="0.25">
      <c r="A161" s="123"/>
      <c r="B161" s="124"/>
      <c r="C161" s="125">
        <v>699988</v>
      </c>
      <c r="D161" s="89"/>
      <c r="E161" s="86" t="s">
        <v>6</v>
      </c>
      <c r="F161" s="86" t="s">
        <v>418</v>
      </c>
      <c r="H161" s="126" t="s">
        <v>51</v>
      </c>
      <c r="I161" s="89">
        <v>0</v>
      </c>
      <c r="J161" s="127">
        <v>12178.829900000001</v>
      </c>
      <c r="K161" s="127">
        <v>60006.619999999995</v>
      </c>
      <c r="L161" s="127">
        <v>696.17</v>
      </c>
      <c r="M161" s="127">
        <v>0</v>
      </c>
      <c r="N161" s="127">
        <v>50350.119999999995</v>
      </c>
      <c r="O161" s="127">
        <v>0</v>
      </c>
      <c r="P161" s="128">
        <f t="shared" si="18"/>
        <v>0</v>
      </c>
      <c r="Q161" s="128">
        <f t="shared" si="19"/>
        <v>0.83907608860489058</v>
      </c>
      <c r="R161" s="128">
        <f t="shared" si="20"/>
        <v>0</v>
      </c>
      <c r="S161" s="129">
        <v>0</v>
      </c>
      <c r="T161" s="129">
        <v>1</v>
      </c>
      <c r="U161" s="129">
        <v>0</v>
      </c>
      <c r="V161" s="138">
        <f t="shared" si="21"/>
        <v>2</v>
      </c>
      <c r="W161" s="138">
        <f t="shared" si="22"/>
        <v>2</v>
      </c>
      <c r="X161" s="138">
        <f t="shared" si="23"/>
        <v>0</v>
      </c>
      <c r="Y161" s="138">
        <f t="shared" si="24"/>
        <v>0</v>
      </c>
      <c r="Z161" s="138">
        <f t="shared" si="25"/>
        <v>2</v>
      </c>
      <c r="AA161" s="138">
        <f t="shared" si="26"/>
        <v>0</v>
      </c>
      <c r="AB161" s="127" t="s">
        <v>32</v>
      </c>
      <c r="AC161" s="127"/>
      <c r="AD161" s="127"/>
      <c r="AE161" s="130"/>
      <c r="AF161" s="136">
        <v>0</v>
      </c>
      <c r="AG161" s="136">
        <v>11.33</v>
      </c>
      <c r="AH161" s="136">
        <v>24.51</v>
      </c>
      <c r="AI161" s="136">
        <v>5.99</v>
      </c>
      <c r="AJ161" s="136">
        <v>0</v>
      </c>
      <c r="AK161" s="136">
        <v>0.49</v>
      </c>
      <c r="AL161" s="136">
        <v>3.31</v>
      </c>
      <c r="AM161" s="136">
        <v>45.63000000000001</v>
      </c>
      <c r="AN161" s="131"/>
      <c r="AO161" s="131"/>
      <c r="AP161" s="131"/>
      <c r="AQ161" s="131"/>
      <c r="AR161" s="131"/>
      <c r="AS161" s="131"/>
      <c r="AT161" s="131"/>
      <c r="AU161" s="91"/>
      <c r="AV161" s="91"/>
      <c r="AW161" s="131"/>
      <c r="AX161" s="131"/>
      <c r="AY161" s="131"/>
    </row>
    <row r="162" spans="1:51" ht="15" x14ac:dyDescent="0.25">
      <c r="A162" s="123"/>
      <c r="B162" s="124"/>
      <c r="C162" s="125">
        <v>709976</v>
      </c>
      <c r="D162" s="89"/>
      <c r="E162" s="86" t="s">
        <v>6</v>
      </c>
      <c r="F162" s="86" t="s">
        <v>418</v>
      </c>
      <c r="H162" s="126" t="s">
        <v>51</v>
      </c>
      <c r="I162" s="89">
        <v>1</v>
      </c>
      <c r="J162" s="127">
        <v>12178.829900000001</v>
      </c>
      <c r="K162" s="127">
        <v>60006.619999999995</v>
      </c>
      <c r="L162" s="127">
        <v>696.17</v>
      </c>
      <c r="M162" s="127">
        <v>0</v>
      </c>
      <c r="N162" s="127">
        <v>50350.119999999995</v>
      </c>
      <c r="O162" s="127">
        <v>0</v>
      </c>
      <c r="P162" s="128">
        <f t="shared" si="18"/>
        <v>0</v>
      </c>
      <c r="Q162" s="128">
        <f t="shared" si="19"/>
        <v>0.83907608860489058</v>
      </c>
      <c r="R162" s="128">
        <f t="shared" si="20"/>
        <v>0</v>
      </c>
      <c r="S162" s="129">
        <v>0</v>
      </c>
      <c r="T162" s="129">
        <v>1</v>
      </c>
      <c r="U162" s="129">
        <v>0</v>
      </c>
      <c r="V162" s="138">
        <f t="shared" si="21"/>
        <v>3</v>
      </c>
      <c r="W162" s="138">
        <f t="shared" si="22"/>
        <v>3</v>
      </c>
      <c r="X162" s="138">
        <f t="shared" si="23"/>
        <v>1</v>
      </c>
      <c r="Y162" s="138">
        <f t="shared" si="24"/>
        <v>0</v>
      </c>
      <c r="Z162" s="138">
        <f t="shared" si="25"/>
        <v>3</v>
      </c>
      <c r="AA162" s="138">
        <f t="shared" si="26"/>
        <v>0</v>
      </c>
      <c r="AB162" s="127" t="s">
        <v>32</v>
      </c>
      <c r="AC162" s="127"/>
      <c r="AD162" s="127"/>
      <c r="AE162" s="130"/>
      <c r="AF162" s="136">
        <v>0</v>
      </c>
      <c r="AG162" s="136">
        <v>11.33</v>
      </c>
      <c r="AH162" s="136">
        <v>36.770000000000003</v>
      </c>
      <c r="AI162" s="136">
        <v>5.99</v>
      </c>
      <c r="AJ162" s="136">
        <v>0</v>
      </c>
      <c r="AK162" s="136">
        <v>0.49</v>
      </c>
      <c r="AL162" s="136">
        <v>3.31</v>
      </c>
      <c r="AM162" s="136">
        <v>57.890000000000008</v>
      </c>
      <c r="AN162" s="131"/>
      <c r="AO162" s="131"/>
      <c r="AP162" s="131"/>
      <c r="AQ162" s="131"/>
      <c r="AR162" s="131"/>
      <c r="AS162" s="131"/>
      <c r="AT162" s="131"/>
      <c r="AU162" s="91"/>
      <c r="AV162" s="91"/>
      <c r="AW162" s="131"/>
      <c r="AX162" s="131"/>
      <c r="AY162" s="131"/>
    </row>
    <row r="163" spans="1:51" ht="15" x14ac:dyDescent="0.25">
      <c r="A163" s="123"/>
      <c r="B163" s="124"/>
      <c r="C163" s="125">
        <v>755389</v>
      </c>
      <c r="D163" s="89"/>
      <c r="E163" s="86" t="s">
        <v>6</v>
      </c>
      <c r="F163" s="86" t="s">
        <v>418</v>
      </c>
      <c r="H163" s="126" t="s">
        <v>51</v>
      </c>
      <c r="I163" s="89">
        <v>0</v>
      </c>
      <c r="J163" s="127">
        <v>12178.829900000001</v>
      </c>
      <c r="K163" s="127">
        <v>60006.619999999995</v>
      </c>
      <c r="L163" s="127">
        <v>696.17</v>
      </c>
      <c r="M163" s="127">
        <v>0</v>
      </c>
      <c r="N163" s="127">
        <v>50350.119999999995</v>
      </c>
      <c r="O163" s="127">
        <v>0</v>
      </c>
      <c r="P163" s="128">
        <f t="shared" si="18"/>
        <v>0</v>
      </c>
      <c r="Q163" s="128">
        <f t="shared" si="19"/>
        <v>0.83907608860489058</v>
      </c>
      <c r="R163" s="128">
        <f t="shared" si="20"/>
        <v>0</v>
      </c>
      <c r="S163" s="129">
        <v>0</v>
      </c>
      <c r="T163" s="129">
        <v>1</v>
      </c>
      <c r="U163" s="129">
        <v>0</v>
      </c>
      <c r="V163" s="138">
        <f t="shared" si="21"/>
        <v>2</v>
      </c>
      <c r="W163" s="138">
        <f t="shared" si="22"/>
        <v>2</v>
      </c>
      <c r="X163" s="138">
        <f t="shared" si="23"/>
        <v>0</v>
      </c>
      <c r="Y163" s="138">
        <f t="shared" si="24"/>
        <v>0</v>
      </c>
      <c r="Z163" s="138">
        <f t="shared" si="25"/>
        <v>2</v>
      </c>
      <c r="AA163" s="138">
        <f t="shared" si="26"/>
        <v>0</v>
      </c>
      <c r="AB163" s="127" t="s">
        <v>32</v>
      </c>
      <c r="AC163" s="127"/>
      <c r="AD163" s="127"/>
      <c r="AE163" s="130"/>
      <c r="AF163" s="136">
        <v>0</v>
      </c>
      <c r="AG163" s="136">
        <v>11.33</v>
      </c>
      <c r="AH163" s="136">
        <v>24.51</v>
      </c>
      <c r="AI163" s="136">
        <v>5.99</v>
      </c>
      <c r="AJ163" s="136">
        <v>0</v>
      </c>
      <c r="AK163" s="136">
        <v>0.49</v>
      </c>
      <c r="AL163" s="136">
        <v>3.31</v>
      </c>
      <c r="AM163" s="136">
        <v>45.63000000000001</v>
      </c>
      <c r="AN163" s="131"/>
      <c r="AO163" s="131"/>
      <c r="AP163" s="131"/>
      <c r="AQ163" s="131"/>
      <c r="AR163" s="131"/>
      <c r="AS163" s="131"/>
      <c r="AT163" s="131"/>
      <c r="AU163" s="91"/>
      <c r="AV163" s="91"/>
      <c r="AW163" s="131"/>
      <c r="AX163" s="131"/>
      <c r="AY163" s="131"/>
    </row>
    <row r="164" spans="1:51" ht="15" x14ac:dyDescent="0.25">
      <c r="A164" s="123"/>
      <c r="B164" s="124"/>
      <c r="C164" s="125">
        <v>755581</v>
      </c>
      <c r="D164" s="89"/>
      <c r="E164" s="86" t="s">
        <v>6</v>
      </c>
      <c r="F164" s="86" t="s">
        <v>418</v>
      </c>
      <c r="H164" s="126" t="s">
        <v>51</v>
      </c>
      <c r="I164" s="89">
        <v>1</v>
      </c>
      <c r="J164" s="127">
        <v>12178.829900000001</v>
      </c>
      <c r="K164" s="127">
        <v>60006.619999999995</v>
      </c>
      <c r="L164" s="127">
        <v>696.17</v>
      </c>
      <c r="M164" s="127">
        <v>0</v>
      </c>
      <c r="N164" s="127">
        <v>50350.119999999995</v>
      </c>
      <c r="O164" s="127">
        <v>0</v>
      </c>
      <c r="P164" s="128">
        <f t="shared" si="18"/>
        <v>0</v>
      </c>
      <c r="Q164" s="128">
        <f t="shared" si="19"/>
        <v>0.83907608860489058</v>
      </c>
      <c r="R164" s="128">
        <f t="shared" si="20"/>
        <v>0</v>
      </c>
      <c r="S164" s="129">
        <v>0</v>
      </c>
      <c r="T164" s="129">
        <v>1</v>
      </c>
      <c r="U164" s="129">
        <v>0</v>
      </c>
      <c r="V164" s="138">
        <f t="shared" si="21"/>
        <v>3</v>
      </c>
      <c r="W164" s="138">
        <f t="shared" si="22"/>
        <v>3</v>
      </c>
      <c r="X164" s="138">
        <f t="shared" si="23"/>
        <v>1</v>
      </c>
      <c r="Y164" s="138">
        <f t="shared" si="24"/>
        <v>0</v>
      </c>
      <c r="Z164" s="138">
        <f t="shared" si="25"/>
        <v>3</v>
      </c>
      <c r="AA164" s="138">
        <f t="shared" si="26"/>
        <v>0</v>
      </c>
      <c r="AB164" s="127" t="s">
        <v>32</v>
      </c>
      <c r="AC164" s="127"/>
      <c r="AD164" s="127"/>
      <c r="AE164" s="130"/>
      <c r="AF164" s="136">
        <v>0</v>
      </c>
      <c r="AG164" s="136">
        <v>11.33</v>
      </c>
      <c r="AH164" s="136">
        <v>36.770000000000003</v>
      </c>
      <c r="AI164" s="136">
        <v>5.99</v>
      </c>
      <c r="AJ164" s="136">
        <v>0</v>
      </c>
      <c r="AK164" s="136">
        <v>0.49</v>
      </c>
      <c r="AL164" s="136">
        <v>3.31</v>
      </c>
      <c r="AM164" s="136">
        <v>57.890000000000008</v>
      </c>
      <c r="AN164" s="131"/>
      <c r="AO164" s="131"/>
      <c r="AP164" s="131"/>
      <c r="AQ164" s="131"/>
      <c r="AR164" s="131"/>
      <c r="AS164" s="131"/>
      <c r="AT164" s="131"/>
      <c r="AU164" s="91"/>
      <c r="AV164" s="91"/>
      <c r="AW164" s="131"/>
      <c r="AX164" s="131"/>
      <c r="AY164" s="131"/>
    </row>
    <row r="165" spans="1:51" ht="15" x14ac:dyDescent="0.25">
      <c r="A165" s="123"/>
      <c r="B165" s="124"/>
      <c r="C165" s="125">
        <v>801114</v>
      </c>
      <c r="D165" s="89"/>
      <c r="E165" s="86" t="s">
        <v>6</v>
      </c>
      <c r="F165" s="86" t="s">
        <v>418</v>
      </c>
      <c r="H165" s="126" t="s">
        <v>51</v>
      </c>
      <c r="I165" s="89">
        <v>0</v>
      </c>
      <c r="J165" s="127">
        <v>12178.829900000001</v>
      </c>
      <c r="K165" s="127">
        <v>60006.619999999995</v>
      </c>
      <c r="L165" s="127">
        <v>696.17</v>
      </c>
      <c r="M165" s="127">
        <v>0</v>
      </c>
      <c r="N165" s="127">
        <v>50350.119999999995</v>
      </c>
      <c r="O165" s="127">
        <v>0</v>
      </c>
      <c r="P165" s="128">
        <f t="shared" si="18"/>
        <v>0</v>
      </c>
      <c r="Q165" s="128">
        <f t="shared" si="19"/>
        <v>0.83907608860489058</v>
      </c>
      <c r="R165" s="128">
        <f t="shared" si="20"/>
        <v>0</v>
      </c>
      <c r="S165" s="129">
        <v>0</v>
      </c>
      <c r="T165" s="129">
        <v>1</v>
      </c>
      <c r="U165" s="129">
        <v>0</v>
      </c>
      <c r="V165" s="138">
        <f t="shared" si="21"/>
        <v>2</v>
      </c>
      <c r="W165" s="138">
        <f t="shared" si="22"/>
        <v>2</v>
      </c>
      <c r="X165" s="138">
        <f t="shared" si="23"/>
        <v>0</v>
      </c>
      <c r="Y165" s="138">
        <f t="shared" si="24"/>
        <v>0</v>
      </c>
      <c r="Z165" s="138">
        <f t="shared" si="25"/>
        <v>2</v>
      </c>
      <c r="AA165" s="138">
        <f t="shared" si="26"/>
        <v>0</v>
      </c>
      <c r="AB165" s="127" t="s">
        <v>32</v>
      </c>
      <c r="AC165" s="127"/>
      <c r="AD165" s="127"/>
      <c r="AE165" s="130"/>
      <c r="AF165" s="136">
        <v>0</v>
      </c>
      <c r="AG165" s="136">
        <v>11.33</v>
      </c>
      <c r="AH165" s="136">
        <v>24.51</v>
      </c>
      <c r="AI165" s="136">
        <v>5.99</v>
      </c>
      <c r="AJ165" s="136">
        <v>0</v>
      </c>
      <c r="AK165" s="136">
        <v>0.49</v>
      </c>
      <c r="AL165" s="136">
        <v>3.31</v>
      </c>
      <c r="AM165" s="136">
        <v>45.63000000000001</v>
      </c>
      <c r="AN165" s="131"/>
      <c r="AO165" s="131"/>
      <c r="AP165" s="131"/>
      <c r="AQ165" s="131"/>
      <c r="AR165" s="131"/>
      <c r="AS165" s="131"/>
      <c r="AT165" s="131"/>
      <c r="AU165" s="91"/>
      <c r="AV165" s="91"/>
      <c r="AW165" s="131"/>
      <c r="AX165" s="131"/>
      <c r="AY165" s="131"/>
    </row>
    <row r="166" spans="1:51" ht="15" x14ac:dyDescent="0.25">
      <c r="A166" s="123"/>
      <c r="B166" s="124"/>
      <c r="C166" s="125">
        <v>822103</v>
      </c>
      <c r="D166" s="89"/>
      <c r="E166" s="86" t="s">
        <v>6</v>
      </c>
      <c r="F166" s="86" t="s">
        <v>418</v>
      </c>
      <c r="H166" s="126" t="s">
        <v>51</v>
      </c>
      <c r="I166" s="89">
        <v>1</v>
      </c>
      <c r="J166" s="127">
        <v>12178.829900000001</v>
      </c>
      <c r="K166" s="127">
        <v>60006.619999999995</v>
      </c>
      <c r="L166" s="127">
        <v>696.17</v>
      </c>
      <c r="M166" s="127">
        <v>0</v>
      </c>
      <c r="N166" s="127">
        <v>50350.119999999995</v>
      </c>
      <c r="O166" s="127">
        <v>0</v>
      </c>
      <c r="P166" s="128">
        <f t="shared" si="18"/>
        <v>0</v>
      </c>
      <c r="Q166" s="128">
        <f t="shared" si="19"/>
        <v>0.83907608860489058</v>
      </c>
      <c r="R166" s="128">
        <f t="shared" si="20"/>
        <v>0</v>
      </c>
      <c r="S166" s="129">
        <v>0</v>
      </c>
      <c r="T166" s="129">
        <v>1</v>
      </c>
      <c r="U166" s="129">
        <v>0</v>
      </c>
      <c r="V166" s="138">
        <f t="shared" si="21"/>
        <v>3</v>
      </c>
      <c r="W166" s="138">
        <f t="shared" si="22"/>
        <v>3</v>
      </c>
      <c r="X166" s="138">
        <f t="shared" si="23"/>
        <v>1</v>
      </c>
      <c r="Y166" s="138">
        <f t="shared" si="24"/>
        <v>0</v>
      </c>
      <c r="Z166" s="138">
        <f t="shared" si="25"/>
        <v>3</v>
      </c>
      <c r="AA166" s="138">
        <f t="shared" si="26"/>
        <v>0</v>
      </c>
      <c r="AB166" s="127" t="s">
        <v>32</v>
      </c>
      <c r="AC166" s="127"/>
      <c r="AD166" s="127"/>
      <c r="AE166" s="130"/>
      <c r="AF166" s="136">
        <v>0</v>
      </c>
      <c r="AG166" s="136">
        <v>11.33</v>
      </c>
      <c r="AH166" s="136">
        <v>36.770000000000003</v>
      </c>
      <c r="AI166" s="136">
        <v>5.99</v>
      </c>
      <c r="AJ166" s="136">
        <v>0</v>
      </c>
      <c r="AK166" s="136">
        <v>0.49</v>
      </c>
      <c r="AL166" s="136">
        <v>3.31</v>
      </c>
      <c r="AM166" s="136">
        <v>57.890000000000008</v>
      </c>
      <c r="AN166" s="131"/>
      <c r="AO166" s="131"/>
      <c r="AP166" s="131"/>
      <c r="AQ166" s="131"/>
      <c r="AR166" s="131"/>
      <c r="AS166" s="131"/>
      <c r="AT166" s="131"/>
      <c r="AU166" s="91"/>
      <c r="AV166" s="91"/>
      <c r="AW166" s="131"/>
      <c r="AX166" s="131"/>
      <c r="AY166" s="131"/>
    </row>
    <row r="167" spans="1:51" ht="15" x14ac:dyDescent="0.25">
      <c r="A167" s="123"/>
      <c r="B167" s="124"/>
      <c r="C167" s="125">
        <v>831138</v>
      </c>
      <c r="D167" s="89"/>
      <c r="E167" s="86" t="s">
        <v>6</v>
      </c>
      <c r="F167" s="86" t="s">
        <v>418</v>
      </c>
      <c r="H167" s="126" t="s">
        <v>51</v>
      </c>
      <c r="I167" s="89">
        <v>1</v>
      </c>
      <c r="J167" s="127">
        <v>12178.829900000001</v>
      </c>
      <c r="K167" s="127">
        <v>60006.619999999995</v>
      </c>
      <c r="L167" s="127">
        <v>696.17</v>
      </c>
      <c r="M167" s="127">
        <v>0</v>
      </c>
      <c r="N167" s="127">
        <v>50350.119999999995</v>
      </c>
      <c r="O167" s="127">
        <v>0</v>
      </c>
      <c r="P167" s="128">
        <f t="shared" si="18"/>
        <v>0</v>
      </c>
      <c r="Q167" s="128">
        <f t="shared" si="19"/>
        <v>0.83907608860489058</v>
      </c>
      <c r="R167" s="128">
        <f t="shared" si="20"/>
        <v>0</v>
      </c>
      <c r="S167" s="129">
        <v>0</v>
      </c>
      <c r="T167" s="129">
        <v>1</v>
      </c>
      <c r="U167" s="129">
        <v>0</v>
      </c>
      <c r="V167" s="138">
        <f t="shared" si="21"/>
        <v>3</v>
      </c>
      <c r="W167" s="138">
        <f t="shared" si="22"/>
        <v>3</v>
      </c>
      <c r="X167" s="138">
        <f t="shared" si="23"/>
        <v>1</v>
      </c>
      <c r="Y167" s="138">
        <f t="shared" si="24"/>
        <v>0</v>
      </c>
      <c r="Z167" s="138">
        <f t="shared" si="25"/>
        <v>3</v>
      </c>
      <c r="AA167" s="138">
        <f t="shared" si="26"/>
        <v>0</v>
      </c>
      <c r="AB167" s="127" t="s">
        <v>32</v>
      </c>
      <c r="AC167" s="127"/>
      <c r="AD167" s="127"/>
      <c r="AE167" s="130"/>
      <c r="AF167" s="136">
        <v>0</v>
      </c>
      <c r="AG167" s="136">
        <v>11.33</v>
      </c>
      <c r="AH167" s="136">
        <v>36.770000000000003</v>
      </c>
      <c r="AI167" s="136">
        <v>5.99</v>
      </c>
      <c r="AJ167" s="136">
        <v>0</v>
      </c>
      <c r="AK167" s="136">
        <v>0.49</v>
      </c>
      <c r="AL167" s="136">
        <v>3.31</v>
      </c>
      <c r="AM167" s="136">
        <v>57.890000000000008</v>
      </c>
      <c r="AN167" s="131"/>
      <c r="AO167" s="131"/>
      <c r="AP167" s="131"/>
      <c r="AQ167" s="131"/>
      <c r="AR167" s="131"/>
      <c r="AS167" s="131"/>
      <c r="AT167" s="131"/>
      <c r="AU167" s="91"/>
      <c r="AV167" s="91"/>
      <c r="AW167" s="131"/>
      <c r="AX167" s="131"/>
      <c r="AY167" s="131"/>
    </row>
    <row r="168" spans="1:51" ht="15" x14ac:dyDescent="0.25">
      <c r="A168" s="123"/>
      <c r="B168" s="124"/>
      <c r="C168" s="125">
        <v>839451</v>
      </c>
      <c r="D168" s="89"/>
      <c r="E168" s="86" t="s">
        <v>6</v>
      </c>
      <c r="F168" s="86" t="s">
        <v>418</v>
      </c>
      <c r="H168" s="126" t="s">
        <v>51</v>
      </c>
      <c r="I168" s="89">
        <v>1</v>
      </c>
      <c r="J168" s="127">
        <v>12178.829900000001</v>
      </c>
      <c r="K168" s="127">
        <v>60006.619999999995</v>
      </c>
      <c r="L168" s="127">
        <v>696.17</v>
      </c>
      <c r="M168" s="127">
        <v>0</v>
      </c>
      <c r="N168" s="127">
        <v>50350.119999999995</v>
      </c>
      <c r="O168" s="127">
        <v>0</v>
      </c>
      <c r="P168" s="128">
        <f t="shared" si="18"/>
        <v>0</v>
      </c>
      <c r="Q168" s="128">
        <f t="shared" si="19"/>
        <v>0.83907608860489058</v>
      </c>
      <c r="R168" s="128">
        <f t="shared" si="20"/>
        <v>0</v>
      </c>
      <c r="S168" s="129">
        <v>0</v>
      </c>
      <c r="T168" s="129">
        <v>1</v>
      </c>
      <c r="U168" s="129">
        <v>0</v>
      </c>
      <c r="V168" s="138">
        <f t="shared" si="21"/>
        <v>3</v>
      </c>
      <c r="W168" s="138">
        <f t="shared" si="22"/>
        <v>3</v>
      </c>
      <c r="X168" s="138">
        <f t="shared" si="23"/>
        <v>1</v>
      </c>
      <c r="Y168" s="138">
        <f t="shared" si="24"/>
        <v>0</v>
      </c>
      <c r="Z168" s="138">
        <f t="shared" si="25"/>
        <v>3</v>
      </c>
      <c r="AA168" s="138">
        <f t="shared" si="26"/>
        <v>0</v>
      </c>
      <c r="AB168" s="127" t="s">
        <v>32</v>
      </c>
      <c r="AC168" s="127"/>
      <c r="AD168" s="127"/>
      <c r="AE168" s="130"/>
      <c r="AF168" s="136">
        <v>0</v>
      </c>
      <c r="AG168" s="136">
        <v>11.33</v>
      </c>
      <c r="AH168" s="136">
        <v>36.770000000000003</v>
      </c>
      <c r="AI168" s="136">
        <v>5.99</v>
      </c>
      <c r="AJ168" s="136">
        <v>0</v>
      </c>
      <c r="AK168" s="136">
        <v>0.49</v>
      </c>
      <c r="AL168" s="136">
        <v>3.31</v>
      </c>
      <c r="AM168" s="136">
        <v>57.890000000000008</v>
      </c>
      <c r="AN168" s="131"/>
      <c r="AO168" s="131"/>
      <c r="AP168" s="131"/>
      <c r="AQ168" s="131"/>
      <c r="AR168" s="131"/>
      <c r="AS168" s="131"/>
      <c r="AT168" s="131"/>
      <c r="AU168" s="91"/>
      <c r="AV168" s="91"/>
      <c r="AW168" s="131"/>
      <c r="AX168" s="131"/>
      <c r="AY168" s="131"/>
    </row>
    <row r="169" spans="1:51" ht="15" x14ac:dyDescent="0.25">
      <c r="A169" s="123"/>
      <c r="B169" s="124"/>
      <c r="C169" s="125">
        <v>926908</v>
      </c>
      <c r="D169" s="89"/>
      <c r="E169" s="86" t="s">
        <v>6</v>
      </c>
      <c r="F169" s="86" t="s">
        <v>418</v>
      </c>
      <c r="H169" s="126" t="s">
        <v>51</v>
      </c>
      <c r="I169" s="89">
        <v>1</v>
      </c>
      <c r="J169" s="127">
        <v>12178.829900000001</v>
      </c>
      <c r="K169" s="127">
        <v>60006.619999999995</v>
      </c>
      <c r="L169" s="127">
        <v>696.17</v>
      </c>
      <c r="M169" s="127">
        <v>0</v>
      </c>
      <c r="N169" s="127">
        <v>50350.119999999995</v>
      </c>
      <c r="O169" s="127">
        <v>0</v>
      </c>
      <c r="P169" s="128">
        <f t="shared" si="18"/>
        <v>0</v>
      </c>
      <c r="Q169" s="128">
        <f t="shared" si="19"/>
        <v>0.83907608860489058</v>
      </c>
      <c r="R169" s="128">
        <f t="shared" si="20"/>
        <v>0</v>
      </c>
      <c r="S169" s="129">
        <v>0</v>
      </c>
      <c r="T169" s="129">
        <v>1</v>
      </c>
      <c r="U169" s="129">
        <v>0</v>
      </c>
      <c r="V169" s="138">
        <f t="shared" si="21"/>
        <v>3</v>
      </c>
      <c r="W169" s="138">
        <f t="shared" si="22"/>
        <v>3</v>
      </c>
      <c r="X169" s="138">
        <f t="shared" si="23"/>
        <v>1</v>
      </c>
      <c r="Y169" s="138">
        <f t="shared" si="24"/>
        <v>0</v>
      </c>
      <c r="Z169" s="138">
        <f t="shared" si="25"/>
        <v>3</v>
      </c>
      <c r="AA169" s="138">
        <f t="shared" si="26"/>
        <v>0</v>
      </c>
      <c r="AB169" s="127" t="s">
        <v>32</v>
      </c>
      <c r="AC169" s="127"/>
      <c r="AD169" s="127"/>
      <c r="AE169" s="130"/>
      <c r="AF169" s="136">
        <v>0</v>
      </c>
      <c r="AG169" s="136">
        <v>11.33</v>
      </c>
      <c r="AH169" s="136">
        <v>36.770000000000003</v>
      </c>
      <c r="AI169" s="136">
        <v>5.99</v>
      </c>
      <c r="AJ169" s="136">
        <v>0</v>
      </c>
      <c r="AK169" s="136">
        <v>0.49</v>
      </c>
      <c r="AL169" s="136">
        <v>3.31</v>
      </c>
      <c r="AM169" s="136">
        <v>57.890000000000008</v>
      </c>
      <c r="AN169" s="131"/>
      <c r="AO169" s="131"/>
      <c r="AP169" s="131"/>
      <c r="AQ169" s="131"/>
      <c r="AR169" s="131"/>
      <c r="AS169" s="131"/>
      <c r="AT169" s="131"/>
      <c r="AU169" s="91"/>
      <c r="AV169" s="91"/>
      <c r="AW169" s="131"/>
      <c r="AX169" s="131"/>
      <c r="AY169" s="131"/>
    </row>
    <row r="170" spans="1:51" ht="15" x14ac:dyDescent="0.25">
      <c r="A170" s="123"/>
      <c r="B170" s="124"/>
      <c r="C170" s="125">
        <v>76566</v>
      </c>
      <c r="D170" s="89"/>
      <c r="E170" s="86" t="s">
        <v>13</v>
      </c>
      <c r="F170" s="86" t="s">
        <v>418</v>
      </c>
      <c r="H170" s="126" t="s">
        <v>51</v>
      </c>
      <c r="I170" s="89">
        <v>1</v>
      </c>
      <c r="J170" s="127">
        <v>32111.279900000001</v>
      </c>
      <c r="K170" s="127">
        <v>53999.91</v>
      </c>
      <c r="L170" s="127">
        <v>6625.67</v>
      </c>
      <c r="M170" s="127">
        <v>13263.279900000016</v>
      </c>
      <c r="N170" s="127">
        <v>44031.91</v>
      </c>
      <c r="O170" s="127">
        <v>5809.67</v>
      </c>
      <c r="P170" s="128">
        <f t="shared" si="18"/>
        <v>0.41304114757506177</v>
      </c>
      <c r="Q170" s="128">
        <f t="shared" si="19"/>
        <v>0.81540709975257364</v>
      </c>
      <c r="R170" s="128">
        <f t="shared" si="20"/>
        <v>0.87684264383828348</v>
      </c>
      <c r="S170" s="129">
        <v>1</v>
      </c>
      <c r="T170" s="129">
        <v>1</v>
      </c>
      <c r="U170" s="129">
        <v>1</v>
      </c>
      <c r="V170" s="138">
        <f t="shared" si="21"/>
        <v>3</v>
      </c>
      <c r="W170" s="138">
        <f t="shared" si="22"/>
        <v>3</v>
      </c>
      <c r="X170" s="138">
        <f t="shared" si="23"/>
        <v>1</v>
      </c>
      <c r="Y170" s="138">
        <f t="shared" si="24"/>
        <v>3</v>
      </c>
      <c r="Z170" s="138">
        <f t="shared" si="25"/>
        <v>3</v>
      </c>
      <c r="AA170" s="138">
        <f t="shared" si="26"/>
        <v>1</v>
      </c>
      <c r="AB170" s="127" t="s">
        <v>32</v>
      </c>
      <c r="AC170" s="127"/>
      <c r="AD170" s="127"/>
      <c r="AE170" s="130"/>
      <c r="AF170" s="136">
        <v>7.81</v>
      </c>
      <c r="AG170" s="136">
        <v>11.33</v>
      </c>
      <c r="AH170" s="136">
        <v>25.92</v>
      </c>
      <c r="AI170" s="136">
        <v>5.99</v>
      </c>
      <c r="AJ170" s="136">
        <v>3.49</v>
      </c>
      <c r="AK170" s="136">
        <v>0.49</v>
      </c>
      <c r="AL170" s="136">
        <v>3.31</v>
      </c>
      <c r="AM170" s="136">
        <v>58.340000000000011</v>
      </c>
      <c r="AN170" s="131"/>
      <c r="AO170" s="131"/>
      <c r="AP170" s="131"/>
      <c r="AQ170" s="131"/>
      <c r="AR170" s="131"/>
      <c r="AS170" s="131"/>
      <c r="AT170" s="131"/>
      <c r="AU170" s="91"/>
      <c r="AV170" s="91"/>
      <c r="AW170" s="131"/>
      <c r="AX170" s="131"/>
      <c r="AY170" s="131"/>
    </row>
    <row r="171" spans="1:51" ht="15" x14ac:dyDescent="0.25">
      <c r="A171" s="123"/>
      <c r="B171" s="124"/>
      <c r="C171" s="125">
        <v>85852</v>
      </c>
      <c r="D171" s="89"/>
      <c r="E171" s="86" t="s">
        <v>13</v>
      </c>
      <c r="F171" s="86" t="s">
        <v>418</v>
      </c>
      <c r="H171" s="126" t="s">
        <v>51</v>
      </c>
      <c r="I171" s="89">
        <v>1</v>
      </c>
      <c r="J171" s="127">
        <v>32111.279900000001</v>
      </c>
      <c r="K171" s="127">
        <v>53999.91</v>
      </c>
      <c r="L171" s="127">
        <v>6625.67</v>
      </c>
      <c r="M171" s="127">
        <v>13263.279900000016</v>
      </c>
      <c r="N171" s="127">
        <v>44031.91</v>
      </c>
      <c r="O171" s="127">
        <v>5809.67</v>
      </c>
      <c r="P171" s="128">
        <f t="shared" si="18"/>
        <v>0.41304114757506177</v>
      </c>
      <c r="Q171" s="128">
        <f t="shared" si="19"/>
        <v>0.81540709975257364</v>
      </c>
      <c r="R171" s="128">
        <f t="shared" si="20"/>
        <v>0.87684264383828348</v>
      </c>
      <c r="S171" s="129">
        <v>1</v>
      </c>
      <c r="T171" s="129">
        <v>1</v>
      </c>
      <c r="U171" s="129">
        <v>1</v>
      </c>
      <c r="V171" s="138">
        <f t="shared" si="21"/>
        <v>3</v>
      </c>
      <c r="W171" s="138">
        <f t="shared" si="22"/>
        <v>3</v>
      </c>
      <c r="X171" s="138">
        <f t="shared" si="23"/>
        <v>1</v>
      </c>
      <c r="Y171" s="138">
        <f t="shared" si="24"/>
        <v>3</v>
      </c>
      <c r="Z171" s="138">
        <f t="shared" si="25"/>
        <v>3</v>
      </c>
      <c r="AA171" s="138">
        <f t="shared" si="26"/>
        <v>1</v>
      </c>
      <c r="AB171" s="127" t="s">
        <v>32</v>
      </c>
      <c r="AC171" s="127"/>
      <c r="AD171" s="127"/>
      <c r="AE171" s="130"/>
      <c r="AF171" s="136">
        <v>7.81</v>
      </c>
      <c r="AG171" s="136">
        <v>11.33</v>
      </c>
      <c r="AH171" s="136">
        <v>25.92</v>
      </c>
      <c r="AI171" s="136">
        <v>5.99</v>
      </c>
      <c r="AJ171" s="136">
        <v>3.49</v>
      </c>
      <c r="AK171" s="136">
        <v>0.49</v>
      </c>
      <c r="AL171" s="136">
        <v>3.31</v>
      </c>
      <c r="AM171" s="136">
        <v>58.340000000000011</v>
      </c>
      <c r="AN171" s="131"/>
      <c r="AO171" s="131"/>
      <c r="AP171" s="131"/>
      <c r="AQ171" s="131"/>
      <c r="AR171" s="131"/>
      <c r="AS171" s="131"/>
      <c r="AT171" s="131"/>
      <c r="AU171" s="91"/>
      <c r="AV171" s="91"/>
      <c r="AW171" s="131"/>
      <c r="AX171" s="131"/>
      <c r="AY171" s="131"/>
    </row>
    <row r="172" spans="1:51" ht="15" x14ac:dyDescent="0.25">
      <c r="A172" s="123"/>
      <c r="B172" s="124"/>
      <c r="C172" s="125">
        <v>223219</v>
      </c>
      <c r="D172" s="89"/>
      <c r="E172" s="86" t="s">
        <v>13</v>
      </c>
      <c r="F172" s="86" t="s">
        <v>418</v>
      </c>
      <c r="H172" s="126" t="s">
        <v>51</v>
      </c>
      <c r="I172" s="89">
        <v>1</v>
      </c>
      <c r="J172" s="127">
        <v>32111.279900000001</v>
      </c>
      <c r="K172" s="127">
        <v>53999.91</v>
      </c>
      <c r="L172" s="127">
        <v>6625.67</v>
      </c>
      <c r="M172" s="127">
        <v>13263.279900000016</v>
      </c>
      <c r="N172" s="127">
        <v>44031.91</v>
      </c>
      <c r="O172" s="127">
        <v>5809.67</v>
      </c>
      <c r="P172" s="128">
        <f t="shared" si="18"/>
        <v>0.41304114757506177</v>
      </c>
      <c r="Q172" s="128">
        <f t="shared" si="19"/>
        <v>0.81540709975257364</v>
      </c>
      <c r="R172" s="128">
        <f t="shared" si="20"/>
        <v>0.87684264383828348</v>
      </c>
      <c r="S172" s="129">
        <v>1</v>
      </c>
      <c r="T172" s="129">
        <v>1</v>
      </c>
      <c r="U172" s="129">
        <v>1</v>
      </c>
      <c r="V172" s="138">
        <f t="shared" si="21"/>
        <v>3</v>
      </c>
      <c r="W172" s="138">
        <f t="shared" si="22"/>
        <v>3</v>
      </c>
      <c r="X172" s="138">
        <f t="shared" si="23"/>
        <v>1</v>
      </c>
      <c r="Y172" s="138">
        <f t="shared" si="24"/>
        <v>3</v>
      </c>
      <c r="Z172" s="138">
        <f t="shared" si="25"/>
        <v>3</v>
      </c>
      <c r="AA172" s="138">
        <f t="shared" si="26"/>
        <v>1</v>
      </c>
      <c r="AB172" s="127" t="s">
        <v>32</v>
      </c>
      <c r="AC172" s="127"/>
      <c r="AD172" s="127"/>
      <c r="AE172" s="130"/>
      <c r="AF172" s="136">
        <v>7.81</v>
      </c>
      <c r="AG172" s="136">
        <v>11.33</v>
      </c>
      <c r="AH172" s="136">
        <v>25.92</v>
      </c>
      <c r="AI172" s="136">
        <v>5.99</v>
      </c>
      <c r="AJ172" s="136">
        <v>3.49</v>
      </c>
      <c r="AK172" s="136">
        <v>0.49</v>
      </c>
      <c r="AL172" s="136">
        <v>3.31</v>
      </c>
      <c r="AM172" s="136">
        <v>58.340000000000011</v>
      </c>
      <c r="AN172" s="131"/>
      <c r="AO172" s="131"/>
      <c r="AP172" s="131"/>
      <c r="AQ172" s="131"/>
      <c r="AR172" s="131"/>
      <c r="AS172" s="131"/>
      <c r="AT172" s="131"/>
      <c r="AU172" s="91"/>
      <c r="AV172" s="91"/>
      <c r="AW172" s="131"/>
      <c r="AX172" s="131"/>
      <c r="AY172" s="131"/>
    </row>
    <row r="173" spans="1:51" ht="15" x14ac:dyDescent="0.25">
      <c r="A173" s="123"/>
      <c r="B173" s="124"/>
      <c r="C173" s="125">
        <v>256299</v>
      </c>
      <c r="D173" s="89"/>
      <c r="E173" s="86" t="s">
        <v>13</v>
      </c>
      <c r="F173" s="86" t="s">
        <v>418</v>
      </c>
      <c r="H173" s="126" t="s">
        <v>51</v>
      </c>
      <c r="I173" s="89">
        <v>1</v>
      </c>
      <c r="J173" s="127">
        <v>32111.279900000001</v>
      </c>
      <c r="K173" s="127">
        <v>53999.91</v>
      </c>
      <c r="L173" s="127">
        <v>6625.67</v>
      </c>
      <c r="M173" s="127">
        <v>13263.279900000016</v>
      </c>
      <c r="N173" s="127">
        <v>44031.91</v>
      </c>
      <c r="O173" s="127">
        <v>5809.67</v>
      </c>
      <c r="P173" s="128">
        <f t="shared" si="18"/>
        <v>0.41304114757506177</v>
      </c>
      <c r="Q173" s="128">
        <f t="shared" si="19"/>
        <v>0.81540709975257364</v>
      </c>
      <c r="R173" s="128">
        <f t="shared" si="20"/>
        <v>0.87684264383828348</v>
      </c>
      <c r="S173" s="129">
        <v>1</v>
      </c>
      <c r="T173" s="129">
        <v>1</v>
      </c>
      <c r="U173" s="129">
        <v>1</v>
      </c>
      <c r="V173" s="138">
        <f t="shared" si="21"/>
        <v>3</v>
      </c>
      <c r="W173" s="138">
        <f t="shared" si="22"/>
        <v>3</v>
      </c>
      <c r="X173" s="138">
        <f t="shared" si="23"/>
        <v>1</v>
      </c>
      <c r="Y173" s="138">
        <f t="shared" si="24"/>
        <v>3</v>
      </c>
      <c r="Z173" s="138">
        <f t="shared" si="25"/>
        <v>3</v>
      </c>
      <c r="AA173" s="138">
        <f t="shared" si="26"/>
        <v>1</v>
      </c>
      <c r="AB173" s="127" t="s">
        <v>32</v>
      </c>
      <c r="AC173" s="127"/>
      <c r="AD173" s="127"/>
      <c r="AE173" s="130"/>
      <c r="AF173" s="136">
        <v>7.81</v>
      </c>
      <c r="AG173" s="136">
        <v>11.33</v>
      </c>
      <c r="AH173" s="136">
        <v>25.92</v>
      </c>
      <c r="AI173" s="136">
        <v>5.99</v>
      </c>
      <c r="AJ173" s="136">
        <v>3.49</v>
      </c>
      <c r="AK173" s="136">
        <v>0.49</v>
      </c>
      <c r="AL173" s="136">
        <v>3.31</v>
      </c>
      <c r="AM173" s="136">
        <v>58.340000000000011</v>
      </c>
      <c r="AN173" s="131"/>
      <c r="AO173" s="131"/>
      <c r="AP173" s="131"/>
      <c r="AQ173" s="131"/>
      <c r="AR173" s="131"/>
      <c r="AS173" s="131"/>
      <c r="AT173" s="131"/>
      <c r="AU173" s="91"/>
      <c r="AV173" s="91"/>
      <c r="AW173" s="131"/>
      <c r="AX173" s="131"/>
      <c r="AY173" s="131"/>
    </row>
    <row r="174" spans="1:51" ht="15" x14ac:dyDescent="0.25">
      <c r="A174" s="123"/>
      <c r="B174" s="124"/>
      <c r="C174" s="125">
        <v>270827</v>
      </c>
      <c r="D174" s="89"/>
      <c r="E174" s="86" t="s">
        <v>13</v>
      </c>
      <c r="F174" s="86" t="s">
        <v>418</v>
      </c>
      <c r="H174" s="126" t="s">
        <v>51</v>
      </c>
      <c r="I174" s="89">
        <v>1</v>
      </c>
      <c r="J174" s="127">
        <v>32111.279900000001</v>
      </c>
      <c r="K174" s="127">
        <v>53999.91</v>
      </c>
      <c r="L174" s="127">
        <v>6625.67</v>
      </c>
      <c r="M174" s="127">
        <v>13263.279900000016</v>
      </c>
      <c r="N174" s="127">
        <v>44031.91</v>
      </c>
      <c r="O174" s="127">
        <v>5809.67</v>
      </c>
      <c r="P174" s="128">
        <f t="shared" si="18"/>
        <v>0.41304114757506177</v>
      </c>
      <c r="Q174" s="128">
        <f t="shared" si="19"/>
        <v>0.81540709975257364</v>
      </c>
      <c r="R174" s="128">
        <f t="shared" si="20"/>
        <v>0.87684264383828348</v>
      </c>
      <c r="S174" s="129">
        <v>1</v>
      </c>
      <c r="T174" s="129">
        <v>1</v>
      </c>
      <c r="U174" s="129">
        <v>1</v>
      </c>
      <c r="V174" s="138">
        <f t="shared" si="21"/>
        <v>3</v>
      </c>
      <c r="W174" s="138">
        <f t="shared" si="22"/>
        <v>3</v>
      </c>
      <c r="X174" s="138">
        <f t="shared" si="23"/>
        <v>1</v>
      </c>
      <c r="Y174" s="138">
        <f t="shared" si="24"/>
        <v>3</v>
      </c>
      <c r="Z174" s="138">
        <f t="shared" si="25"/>
        <v>3</v>
      </c>
      <c r="AA174" s="138">
        <f t="shared" si="26"/>
        <v>1</v>
      </c>
      <c r="AB174" s="127" t="s">
        <v>32</v>
      </c>
      <c r="AC174" s="127"/>
      <c r="AD174" s="127"/>
      <c r="AE174" s="130"/>
      <c r="AF174" s="136">
        <v>7.81</v>
      </c>
      <c r="AG174" s="136">
        <v>11.33</v>
      </c>
      <c r="AH174" s="136">
        <v>25.92</v>
      </c>
      <c r="AI174" s="136">
        <v>5.99</v>
      </c>
      <c r="AJ174" s="136">
        <v>3.49</v>
      </c>
      <c r="AK174" s="136">
        <v>0.49</v>
      </c>
      <c r="AL174" s="136">
        <v>3.31</v>
      </c>
      <c r="AM174" s="136">
        <v>58.340000000000011</v>
      </c>
      <c r="AN174" s="131"/>
      <c r="AO174" s="131"/>
      <c r="AP174" s="131"/>
      <c r="AQ174" s="131"/>
      <c r="AR174" s="131"/>
      <c r="AS174" s="131"/>
      <c r="AT174" s="131"/>
      <c r="AU174" s="91"/>
      <c r="AV174" s="91"/>
      <c r="AW174" s="131"/>
      <c r="AX174" s="131"/>
      <c r="AY174" s="131"/>
    </row>
    <row r="175" spans="1:51" ht="15" x14ac:dyDescent="0.25">
      <c r="A175" s="123"/>
      <c r="B175" s="124"/>
      <c r="C175" s="125">
        <v>276042</v>
      </c>
      <c r="D175" s="89"/>
      <c r="E175" s="86" t="s">
        <v>13</v>
      </c>
      <c r="F175" s="86" t="s">
        <v>418</v>
      </c>
      <c r="H175" s="126" t="s">
        <v>51</v>
      </c>
      <c r="I175" s="89">
        <v>1</v>
      </c>
      <c r="J175" s="127">
        <v>32111.279900000001</v>
      </c>
      <c r="K175" s="127">
        <v>53999.91</v>
      </c>
      <c r="L175" s="127">
        <v>6625.67</v>
      </c>
      <c r="M175" s="127">
        <v>13263.279900000016</v>
      </c>
      <c r="N175" s="127">
        <v>44031.91</v>
      </c>
      <c r="O175" s="127">
        <v>5809.67</v>
      </c>
      <c r="P175" s="128">
        <f t="shared" si="18"/>
        <v>0.41304114757506177</v>
      </c>
      <c r="Q175" s="128">
        <f t="shared" si="19"/>
        <v>0.81540709975257364</v>
      </c>
      <c r="R175" s="128">
        <f t="shared" si="20"/>
        <v>0.87684264383828348</v>
      </c>
      <c r="S175" s="129">
        <v>1</v>
      </c>
      <c r="T175" s="129">
        <v>1</v>
      </c>
      <c r="U175" s="129">
        <v>1</v>
      </c>
      <c r="V175" s="138">
        <f t="shared" si="21"/>
        <v>3</v>
      </c>
      <c r="W175" s="138">
        <f t="shared" si="22"/>
        <v>3</v>
      </c>
      <c r="X175" s="138">
        <f t="shared" si="23"/>
        <v>1</v>
      </c>
      <c r="Y175" s="138">
        <f t="shared" si="24"/>
        <v>3</v>
      </c>
      <c r="Z175" s="138">
        <f t="shared" si="25"/>
        <v>3</v>
      </c>
      <c r="AA175" s="138">
        <f t="shared" si="26"/>
        <v>1</v>
      </c>
      <c r="AB175" s="127" t="s">
        <v>32</v>
      </c>
      <c r="AC175" s="127"/>
      <c r="AD175" s="127"/>
      <c r="AE175" s="130"/>
      <c r="AF175" s="136">
        <v>7.81</v>
      </c>
      <c r="AG175" s="136">
        <v>11.33</v>
      </c>
      <c r="AH175" s="136">
        <v>25.92</v>
      </c>
      <c r="AI175" s="136">
        <v>5.99</v>
      </c>
      <c r="AJ175" s="136">
        <v>3.49</v>
      </c>
      <c r="AK175" s="136">
        <v>0.49</v>
      </c>
      <c r="AL175" s="136">
        <v>3.31</v>
      </c>
      <c r="AM175" s="136">
        <v>58.340000000000011</v>
      </c>
      <c r="AN175" s="131"/>
      <c r="AO175" s="131"/>
      <c r="AP175" s="131"/>
      <c r="AQ175" s="131"/>
      <c r="AR175" s="131"/>
      <c r="AS175" s="131"/>
      <c r="AT175" s="131"/>
      <c r="AU175" s="91"/>
      <c r="AV175" s="91"/>
      <c r="AW175" s="131"/>
      <c r="AX175" s="131"/>
      <c r="AY175" s="131"/>
    </row>
    <row r="176" spans="1:51" ht="15" x14ac:dyDescent="0.25">
      <c r="A176" s="123"/>
      <c r="B176" s="124"/>
      <c r="C176" s="125">
        <v>371214</v>
      </c>
      <c r="D176" s="89"/>
      <c r="E176" s="86" t="s">
        <v>13</v>
      </c>
      <c r="F176" s="86" t="s">
        <v>418</v>
      </c>
      <c r="H176" s="126" t="s">
        <v>51</v>
      </c>
      <c r="I176" s="89">
        <v>1</v>
      </c>
      <c r="J176" s="127">
        <v>32111.279900000001</v>
      </c>
      <c r="K176" s="127">
        <v>53999.91</v>
      </c>
      <c r="L176" s="127">
        <v>6625.67</v>
      </c>
      <c r="M176" s="127">
        <v>13263.279900000016</v>
      </c>
      <c r="N176" s="127">
        <v>44031.91</v>
      </c>
      <c r="O176" s="127">
        <v>5809.67</v>
      </c>
      <c r="P176" s="128">
        <f t="shared" si="18"/>
        <v>0.41304114757506177</v>
      </c>
      <c r="Q176" s="128">
        <f t="shared" si="19"/>
        <v>0.81540709975257364</v>
      </c>
      <c r="R176" s="128">
        <f t="shared" si="20"/>
        <v>0.87684264383828348</v>
      </c>
      <c r="S176" s="129">
        <v>1</v>
      </c>
      <c r="T176" s="129">
        <v>1</v>
      </c>
      <c r="U176" s="129">
        <v>1</v>
      </c>
      <c r="V176" s="138">
        <f t="shared" si="21"/>
        <v>3</v>
      </c>
      <c r="W176" s="138">
        <f t="shared" si="22"/>
        <v>3</v>
      </c>
      <c r="X176" s="138">
        <f t="shared" si="23"/>
        <v>1</v>
      </c>
      <c r="Y176" s="138">
        <f t="shared" si="24"/>
        <v>3</v>
      </c>
      <c r="Z176" s="138">
        <f t="shared" si="25"/>
        <v>3</v>
      </c>
      <c r="AA176" s="138">
        <f t="shared" si="26"/>
        <v>1</v>
      </c>
      <c r="AB176" s="127" t="s">
        <v>32</v>
      </c>
      <c r="AC176" s="127"/>
      <c r="AD176" s="127"/>
      <c r="AE176" s="130"/>
      <c r="AF176" s="136">
        <v>7.81</v>
      </c>
      <c r="AG176" s="136">
        <v>11.33</v>
      </c>
      <c r="AH176" s="136">
        <v>25.92</v>
      </c>
      <c r="AI176" s="136">
        <v>5.99</v>
      </c>
      <c r="AJ176" s="136">
        <v>3.49</v>
      </c>
      <c r="AK176" s="136">
        <v>0.49</v>
      </c>
      <c r="AL176" s="136">
        <v>3.31</v>
      </c>
      <c r="AM176" s="136">
        <v>58.340000000000011</v>
      </c>
      <c r="AN176" s="131"/>
      <c r="AO176" s="131"/>
      <c r="AP176" s="131"/>
      <c r="AQ176" s="131"/>
      <c r="AR176" s="131"/>
      <c r="AS176" s="131"/>
      <c r="AT176" s="131"/>
      <c r="AU176" s="91"/>
      <c r="AV176" s="91"/>
      <c r="AW176" s="131"/>
      <c r="AX176" s="131"/>
      <c r="AY176" s="131"/>
    </row>
    <row r="177" spans="1:51" ht="15" x14ac:dyDescent="0.25">
      <c r="A177" s="123"/>
      <c r="B177" s="124"/>
      <c r="C177" s="125">
        <v>399510</v>
      </c>
      <c r="D177" s="89"/>
      <c r="E177" s="86" t="s">
        <v>13</v>
      </c>
      <c r="F177" s="86" t="s">
        <v>418</v>
      </c>
      <c r="H177" s="126" t="s">
        <v>51</v>
      </c>
      <c r="I177" s="89">
        <v>1</v>
      </c>
      <c r="J177" s="127">
        <v>32111.279900000001</v>
      </c>
      <c r="K177" s="127">
        <v>53999.91</v>
      </c>
      <c r="L177" s="127">
        <v>6625.67</v>
      </c>
      <c r="M177" s="127">
        <v>13263.279900000016</v>
      </c>
      <c r="N177" s="127">
        <v>44031.91</v>
      </c>
      <c r="O177" s="127">
        <v>5809.67</v>
      </c>
      <c r="P177" s="128">
        <f t="shared" si="18"/>
        <v>0.41304114757506177</v>
      </c>
      <c r="Q177" s="128">
        <f t="shared" si="19"/>
        <v>0.81540709975257364</v>
      </c>
      <c r="R177" s="128">
        <f t="shared" si="20"/>
        <v>0.87684264383828348</v>
      </c>
      <c r="S177" s="129">
        <v>1</v>
      </c>
      <c r="T177" s="129">
        <v>1</v>
      </c>
      <c r="U177" s="129">
        <v>1</v>
      </c>
      <c r="V177" s="138">
        <f t="shared" si="21"/>
        <v>3</v>
      </c>
      <c r="W177" s="138">
        <f t="shared" si="22"/>
        <v>3</v>
      </c>
      <c r="X177" s="138">
        <f t="shared" si="23"/>
        <v>1</v>
      </c>
      <c r="Y177" s="138">
        <f t="shared" si="24"/>
        <v>3</v>
      </c>
      <c r="Z177" s="138">
        <f t="shared" si="25"/>
        <v>3</v>
      </c>
      <c r="AA177" s="138">
        <f t="shared" si="26"/>
        <v>1</v>
      </c>
      <c r="AB177" s="127" t="s">
        <v>32</v>
      </c>
      <c r="AC177" s="127"/>
      <c r="AD177" s="127"/>
      <c r="AE177" s="130"/>
      <c r="AF177" s="136">
        <v>7.81</v>
      </c>
      <c r="AG177" s="136">
        <v>11.33</v>
      </c>
      <c r="AH177" s="136">
        <v>25.92</v>
      </c>
      <c r="AI177" s="136">
        <v>5.99</v>
      </c>
      <c r="AJ177" s="136">
        <v>3.49</v>
      </c>
      <c r="AK177" s="136">
        <v>0.49</v>
      </c>
      <c r="AL177" s="136">
        <v>3.31</v>
      </c>
      <c r="AM177" s="136">
        <v>58.340000000000011</v>
      </c>
      <c r="AN177" s="131"/>
      <c r="AO177" s="131"/>
      <c r="AP177" s="131"/>
      <c r="AQ177" s="131"/>
      <c r="AR177" s="131"/>
      <c r="AS177" s="131"/>
      <c r="AT177" s="131"/>
      <c r="AU177" s="91"/>
      <c r="AV177" s="91"/>
      <c r="AW177" s="131"/>
      <c r="AX177" s="131"/>
      <c r="AY177" s="131"/>
    </row>
    <row r="178" spans="1:51" ht="15" x14ac:dyDescent="0.25">
      <c r="A178" s="123"/>
      <c r="B178" s="124"/>
      <c r="C178" s="125">
        <v>417457</v>
      </c>
      <c r="D178" s="89"/>
      <c r="E178" s="86" t="s">
        <v>13</v>
      </c>
      <c r="F178" s="86" t="s">
        <v>418</v>
      </c>
      <c r="H178" s="126" t="s">
        <v>51</v>
      </c>
      <c r="I178" s="89">
        <v>1</v>
      </c>
      <c r="J178" s="127">
        <v>32111.279900000001</v>
      </c>
      <c r="K178" s="127">
        <v>53999.91</v>
      </c>
      <c r="L178" s="127">
        <v>6625.67</v>
      </c>
      <c r="M178" s="127">
        <v>13263.279900000016</v>
      </c>
      <c r="N178" s="127">
        <v>44031.91</v>
      </c>
      <c r="O178" s="127">
        <v>5809.67</v>
      </c>
      <c r="P178" s="128">
        <f t="shared" si="18"/>
        <v>0.41304114757506177</v>
      </c>
      <c r="Q178" s="128">
        <f t="shared" si="19"/>
        <v>0.81540709975257364</v>
      </c>
      <c r="R178" s="128">
        <f t="shared" si="20"/>
        <v>0.87684264383828348</v>
      </c>
      <c r="S178" s="129">
        <v>1</v>
      </c>
      <c r="T178" s="129">
        <v>1</v>
      </c>
      <c r="U178" s="129">
        <v>1</v>
      </c>
      <c r="V178" s="138">
        <f t="shared" si="21"/>
        <v>3</v>
      </c>
      <c r="W178" s="138">
        <f t="shared" si="22"/>
        <v>3</v>
      </c>
      <c r="X178" s="138">
        <f t="shared" si="23"/>
        <v>1</v>
      </c>
      <c r="Y178" s="138">
        <f t="shared" si="24"/>
        <v>3</v>
      </c>
      <c r="Z178" s="138">
        <f t="shared" si="25"/>
        <v>3</v>
      </c>
      <c r="AA178" s="138">
        <f t="shared" si="26"/>
        <v>1</v>
      </c>
      <c r="AB178" s="127" t="s">
        <v>32</v>
      </c>
      <c r="AC178" s="127"/>
      <c r="AD178" s="127"/>
      <c r="AE178" s="130"/>
      <c r="AF178" s="136">
        <v>7.81</v>
      </c>
      <c r="AG178" s="136">
        <v>11.33</v>
      </c>
      <c r="AH178" s="136">
        <v>25.92</v>
      </c>
      <c r="AI178" s="136">
        <v>5.99</v>
      </c>
      <c r="AJ178" s="136">
        <v>3.49</v>
      </c>
      <c r="AK178" s="136">
        <v>0.49</v>
      </c>
      <c r="AL178" s="136">
        <v>3.31</v>
      </c>
      <c r="AM178" s="136">
        <v>58.340000000000011</v>
      </c>
      <c r="AN178" s="131"/>
      <c r="AO178" s="131"/>
      <c r="AP178" s="131"/>
      <c r="AQ178" s="131"/>
      <c r="AR178" s="131"/>
      <c r="AS178" s="131"/>
      <c r="AT178" s="131"/>
      <c r="AU178" s="91"/>
      <c r="AV178" s="91"/>
      <c r="AW178" s="131"/>
      <c r="AX178" s="131"/>
      <c r="AY178" s="131"/>
    </row>
    <row r="179" spans="1:51" ht="15" x14ac:dyDescent="0.25">
      <c r="A179" s="123"/>
      <c r="B179" s="124"/>
      <c r="C179" s="125">
        <v>434347</v>
      </c>
      <c r="D179" s="89"/>
      <c r="E179" s="86" t="s">
        <v>13</v>
      </c>
      <c r="F179" s="86" t="s">
        <v>418</v>
      </c>
      <c r="H179" s="126" t="s">
        <v>51</v>
      </c>
      <c r="I179" s="89">
        <v>1</v>
      </c>
      <c r="J179" s="127">
        <v>32111.279900000001</v>
      </c>
      <c r="K179" s="127">
        <v>53999.91</v>
      </c>
      <c r="L179" s="127">
        <v>6625.67</v>
      </c>
      <c r="M179" s="127">
        <v>13263.279900000016</v>
      </c>
      <c r="N179" s="127">
        <v>44031.91</v>
      </c>
      <c r="O179" s="127">
        <v>5809.67</v>
      </c>
      <c r="P179" s="128">
        <f t="shared" si="18"/>
        <v>0.41304114757506177</v>
      </c>
      <c r="Q179" s="128">
        <f t="shared" si="19"/>
        <v>0.81540709975257364</v>
      </c>
      <c r="R179" s="128">
        <f t="shared" si="20"/>
        <v>0.87684264383828348</v>
      </c>
      <c r="S179" s="129">
        <v>1</v>
      </c>
      <c r="T179" s="129">
        <v>1</v>
      </c>
      <c r="U179" s="129">
        <v>1</v>
      </c>
      <c r="V179" s="138">
        <f t="shared" si="21"/>
        <v>3</v>
      </c>
      <c r="W179" s="138">
        <f t="shared" si="22"/>
        <v>3</v>
      </c>
      <c r="X179" s="138">
        <f t="shared" si="23"/>
        <v>1</v>
      </c>
      <c r="Y179" s="138">
        <f t="shared" si="24"/>
        <v>3</v>
      </c>
      <c r="Z179" s="138">
        <f t="shared" si="25"/>
        <v>3</v>
      </c>
      <c r="AA179" s="138">
        <f t="shared" si="26"/>
        <v>1</v>
      </c>
      <c r="AB179" s="127" t="s">
        <v>32</v>
      </c>
      <c r="AC179" s="127"/>
      <c r="AD179" s="127"/>
      <c r="AE179" s="130"/>
      <c r="AF179" s="136">
        <v>7.81</v>
      </c>
      <c r="AG179" s="136">
        <v>11.33</v>
      </c>
      <c r="AH179" s="136">
        <v>25.92</v>
      </c>
      <c r="AI179" s="136">
        <v>5.99</v>
      </c>
      <c r="AJ179" s="136">
        <v>3.49</v>
      </c>
      <c r="AK179" s="136">
        <v>0.49</v>
      </c>
      <c r="AL179" s="136">
        <v>3.31</v>
      </c>
      <c r="AM179" s="136">
        <v>58.340000000000011</v>
      </c>
      <c r="AN179" s="131"/>
      <c r="AO179" s="131"/>
      <c r="AP179" s="131"/>
      <c r="AQ179" s="131"/>
      <c r="AR179" s="131"/>
      <c r="AS179" s="131"/>
      <c r="AT179" s="131"/>
      <c r="AU179" s="91"/>
      <c r="AV179" s="91"/>
      <c r="AW179" s="131"/>
      <c r="AX179" s="131"/>
      <c r="AY179" s="131"/>
    </row>
    <row r="180" spans="1:51" ht="15" x14ac:dyDescent="0.25">
      <c r="A180" s="123"/>
      <c r="B180" s="124"/>
      <c r="C180" s="125">
        <v>482881</v>
      </c>
      <c r="D180" s="89"/>
      <c r="E180" s="86" t="s">
        <v>13</v>
      </c>
      <c r="F180" s="86" t="s">
        <v>418</v>
      </c>
      <c r="H180" s="126" t="s">
        <v>51</v>
      </c>
      <c r="I180" s="89">
        <v>1</v>
      </c>
      <c r="J180" s="127">
        <v>32111.279900000001</v>
      </c>
      <c r="K180" s="127">
        <v>53999.91</v>
      </c>
      <c r="L180" s="127">
        <v>6625.67</v>
      </c>
      <c r="M180" s="127">
        <v>13263.279900000016</v>
      </c>
      <c r="N180" s="127">
        <v>44031.91</v>
      </c>
      <c r="O180" s="127">
        <v>5809.67</v>
      </c>
      <c r="P180" s="128">
        <f t="shared" si="18"/>
        <v>0.41304114757506177</v>
      </c>
      <c r="Q180" s="128">
        <f t="shared" si="19"/>
        <v>0.81540709975257364</v>
      </c>
      <c r="R180" s="128">
        <f t="shared" si="20"/>
        <v>0.87684264383828348</v>
      </c>
      <c r="S180" s="129">
        <v>1</v>
      </c>
      <c r="T180" s="129">
        <v>1</v>
      </c>
      <c r="U180" s="129">
        <v>1</v>
      </c>
      <c r="V180" s="138">
        <f t="shared" si="21"/>
        <v>3</v>
      </c>
      <c r="W180" s="138">
        <f t="shared" si="22"/>
        <v>3</v>
      </c>
      <c r="X180" s="138">
        <f t="shared" si="23"/>
        <v>1</v>
      </c>
      <c r="Y180" s="138">
        <f t="shared" si="24"/>
        <v>3</v>
      </c>
      <c r="Z180" s="138">
        <f t="shared" si="25"/>
        <v>3</v>
      </c>
      <c r="AA180" s="138">
        <f t="shared" si="26"/>
        <v>1</v>
      </c>
      <c r="AB180" s="127" t="s">
        <v>32</v>
      </c>
      <c r="AC180" s="127"/>
      <c r="AD180" s="127"/>
      <c r="AE180" s="130"/>
      <c r="AF180" s="136">
        <v>7.81</v>
      </c>
      <c r="AG180" s="136">
        <v>11.33</v>
      </c>
      <c r="AH180" s="136">
        <v>25.92</v>
      </c>
      <c r="AI180" s="136">
        <v>5.99</v>
      </c>
      <c r="AJ180" s="136">
        <v>3.49</v>
      </c>
      <c r="AK180" s="136">
        <v>0.49</v>
      </c>
      <c r="AL180" s="136">
        <v>3.31</v>
      </c>
      <c r="AM180" s="136">
        <v>58.340000000000011</v>
      </c>
      <c r="AN180" s="131"/>
      <c r="AO180" s="131"/>
      <c r="AP180" s="131"/>
      <c r="AQ180" s="131"/>
      <c r="AR180" s="131"/>
      <c r="AS180" s="131"/>
      <c r="AT180" s="131"/>
      <c r="AU180" s="91"/>
      <c r="AV180" s="91"/>
      <c r="AW180" s="131"/>
      <c r="AX180" s="131"/>
      <c r="AY180" s="131"/>
    </row>
    <row r="181" spans="1:51" ht="15" x14ac:dyDescent="0.25">
      <c r="A181" s="123"/>
      <c r="B181" s="124"/>
      <c r="C181" s="125">
        <v>488371</v>
      </c>
      <c r="D181" s="89"/>
      <c r="E181" s="86" t="s">
        <v>13</v>
      </c>
      <c r="F181" s="86" t="s">
        <v>418</v>
      </c>
      <c r="H181" s="126" t="s">
        <v>51</v>
      </c>
      <c r="I181" s="89">
        <v>1</v>
      </c>
      <c r="J181" s="127">
        <v>32111.279900000001</v>
      </c>
      <c r="K181" s="127">
        <v>53999.91</v>
      </c>
      <c r="L181" s="127">
        <v>6625.67</v>
      </c>
      <c r="M181" s="127">
        <v>13263.279900000016</v>
      </c>
      <c r="N181" s="127">
        <v>44031.91</v>
      </c>
      <c r="O181" s="127">
        <v>5809.67</v>
      </c>
      <c r="P181" s="128">
        <f t="shared" si="18"/>
        <v>0.41304114757506177</v>
      </c>
      <c r="Q181" s="128">
        <f t="shared" si="19"/>
        <v>0.81540709975257364</v>
      </c>
      <c r="R181" s="128">
        <f t="shared" si="20"/>
        <v>0.87684264383828348</v>
      </c>
      <c r="S181" s="129">
        <v>1</v>
      </c>
      <c r="T181" s="129">
        <v>1</v>
      </c>
      <c r="U181" s="129">
        <v>1</v>
      </c>
      <c r="V181" s="138">
        <f t="shared" si="21"/>
        <v>3</v>
      </c>
      <c r="W181" s="138">
        <f t="shared" si="22"/>
        <v>3</v>
      </c>
      <c r="X181" s="138">
        <f t="shared" si="23"/>
        <v>1</v>
      </c>
      <c r="Y181" s="138">
        <f t="shared" si="24"/>
        <v>3</v>
      </c>
      <c r="Z181" s="138">
        <f t="shared" si="25"/>
        <v>3</v>
      </c>
      <c r="AA181" s="138">
        <f t="shared" si="26"/>
        <v>1</v>
      </c>
      <c r="AB181" s="127" t="s">
        <v>32</v>
      </c>
      <c r="AC181" s="127"/>
      <c r="AD181" s="127"/>
      <c r="AE181" s="130"/>
      <c r="AF181" s="136">
        <v>7.81</v>
      </c>
      <c r="AG181" s="136">
        <v>11.33</v>
      </c>
      <c r="AH181" s="136">
        <v>25.92</v>
      </c>
      <c r="AI181" s="136">
        <v>5.99</v>
      </c>
      <c r="AJ181" s="136">
        <v>3.49</v>
      </c>
      <c r="AK181" s="136">
        <v>0.49</v>
      </c>
      <c r="AL181" s="136">
        <v>3.31</v>
      </c>
      <c r="AM181" s="136">
        <v>58.340000000000011</v>
      </c>
      <c r="AN181" s="131"/>
      <c r="AO181" s="131"/>
      <c r="AP181" s="131"/>
      <c r="AQ181" s="131"/>
      <c r="AR181" s="131"/>
      <c r="AS181" s="131"/>
      <c r="AT181" s="131"/>
      <c r="AU181" s="91"/>
      <c r="AV181" s="91"/>
      <c r="AW181" s="131"/>
      <c r="AX181" s="131"/>
      <c r="AY181" s="131"/>
    </row>
    <row r="182" spans="1:51" ht="15" x14ac:dyDescent="0.25">
      <c r="A182" s="123"/>
      <c r="B182" s="124"/>
      <c r="C182" s="125">
        <v>501866.99999999994</v>
      </c>
      <c r="D182" s="89"/>
      <c r="E182" s="86" t="s">
        <v>13</v>
      </c>
      <c r="F182" s="86" t="s">
        <v>418</v>
      </c>
      <c r="H182" s="126" t="s">
        <v>51</v>
      </c>
      <c r="I182" s="89">
        <v>1</v>
      </c>
      <c r="J182" s="127">
        <v>32111.279900000001</v>
      </c>
      <c r="K182" s="127">
        <v>53999.91</v>
      </c>
      <c r="L182" s="127">
        <v>6625.67</v>
      </c>
      <c r="M182" s="127">
        <v>13263.279900000016</v>
      </c>
      <c r="N182" s="127">
        <v>44031.91</v>
      </c>
      <c r="O182" s="127">
        <v>5809.67</v>
      </c>
      <c r="P182" s="128">
        <f t="shared" si="18"/>
        <v>0.41304114757506177</v>
      </c>
      <c r="Q182" s="128">
        <f t="shared" si="19"/>
        <v>0.81540709975257364</v>
      </c>
      <c r="R182" s="128">
        <f t="shared" si="20"/>
        <v>0.87684264383828348</v>
      </c>
      <c r="S182" s="129">
        <v>1</v>
      </c>
      <c r="T182" s="129">
        <v>1</v>
      </c>
      <c r="U182" s="129">
        <v>1</v>
      </c>
      <c r="V182" s="138">
        <f t="shared" si="21"/>
        <v>3</v>
      </c>
      <c r="W182" s="138">
        <f t="shared" si="22"/>
        <v>3</v>
      </c>
      <c r="X182" s="138">
        <f t="shared" si="23"/>
        <v>1</v>
      </c>
      <c r="Y182" s="138">
        <f t="shared" si="24"/>
        <v>3</v>
      </c>
      <c r="Z182" s="138">
        <f t="shared" si="25"/>
        <v>3</v>
      </c>
      <c r="AA182" s="138">
        <f t="shared" si="26"/>
        <v>1</v>
      </c>
      <c r="AB182" s="127" t="s">
        <v>32</v>
      </c>
      <c r="AC182" s="127"/>
      <c r="AD182" s="127"/>
      <c r="AE182" s="130"/>
      <c r="AF182" s="136">
        <v>7.81</v>
      </c>
      <c r="AG182" s="136">
        <v>11.33</v>
      </c>
      <c r="AH182" s="136">
        <v>25.92</v>
      </c>
      <c r="AI182" s="136">
        <v>5.99</v>
      </c>
      <c r="AJ182" s="136">
        <v>3.49</v>
      </c>
      <c r="AK182" s="136">
        <v>0.49</v>
      </c>
      <c r="AL182" s="136">
        <v>3.31</v>
      </c>
      <c r="AM182" s="136">
        <v>58.340000000000011</v>
      </c>
      <c r="AN182" s="131"/>
      <c r="AO182" s="131"/>
      <c r="AP182" s="131"/>
      <c r="AQ182" s="131"/>
      <c r="AR182" s="131"/>
      <c r="AS182" s="131"/>
      <c r="AT182" s="131"/>
      <c r="AU182" s="91"/>
      <c r="AV182" s="91"/>
      <c r="AW182" s="131"/>
      <c r="AX182" s="131"/>
      <c r="AY182" s="131"/>
    </row>
    <row r="183" spans="1:51" ht="15" x14ac:dyDescent="0.25">
      <c r="A183" s="123"/>
      <c r="B183" s="124"/>
      <c r="C183" s="125">
        <v>512428</v>
      </c>
      <c r="D183" s="89"/>
      <c r="E183" s="86" t="s">
        <v>13</v>
      </c>
      <c r="F183" s="86" t="s">
        <v>418</v>
      </c>
      <c r="H183" s="126" t="s">
        <v>51</v>
      </c>
      <c r="I183" s="89">
        <v>1</v>
      </c>
      <c r="J183" s="127">
        <v>32111.279900000001</v>
      </c>
      <c r="K183" s="127">
        <v>53999.91</v>
      </c>
      <c r="L183" s="127">
        <v>6625.67</v>
      </c>
      <c r="M183" s="127">
        <v>13263.279900000016</v>
      </c>
      <c r="N183" s="127">
        <v>44031.91</v>
      </c>
      <c r="O183" s="127">
        <v>5809.67</v>
      </c>
      <c r="P183" s="128">
        <f t="shared" si="18"/>
        <v>0.41304114757506177</v>
      </c>
      <c r="Q183" s="128">
        <f t="shared" si="19"/>
        <v>0.81540709975257364</v>
      </c>
      <c r="R183" s="128">
        <f t="shared" si="20"/>
        <v>0.87684264383828348</v>
      </c>
      <c r="S183" s="129">
        <v>1</v>
      </c>
      <c r="T183" s="129">
        <v>1</v>
      </c>
      <c r="U183" s="129">
        <v>1</v>
      </c>
      <c r="V183" s="138">
        <f t="shared" si="21"/>
        <v>3</v>
      </c>
      <c r="W183" s="138">
        <f t="shared" si="22"/>
        <v>3</v>
      </c>
      <c r="X183" s="138">
        <f t="shared" si="23"/>
        <v>1</v>
      </c>
      <c r="Y183" s="138">
        <f t="shared" si="24"/>
        <v>3</v>
      </c>
      <c r="Z183" s="138">
        <f t="shared" si="25"/>
        <v>3</v>
      </c>
      <c r="AA183" s="138">
        <f t="shared" si="26"/>
        <v>1</v>
      </c>
      <c r="AB183" s="127" t="s">
        <v>32</v>
      </c>
      <c r="AC183" s="127"/>
      <c r="AD183" s="127"/>
      <c r="AE183" s="130"/>
      <c r="AF183" s="136">
        <v>7.81</v>
      </c>
      <c r="AG183" s="136">
        <v>11.33</v>
      </c>
      <c r="AH183" s="136">
        <v>25.92</v>
      </c>
      <c r="AI183" s="136">
        <v>5.99</v>
      </c>
      <c r="AJ183" s="136">
        <v>3.49</v>
      </c>
      <c r="AK183" s="136">
        <v>0.49</v>
      </c>
      <c r="AL183" s="136">
        <v>3.31</v>
      </c>
      <c r="AM183" s="136">
        <v>58.340000000000011</v>
      </c>
      <c r="AN183" s="131"/>
      <c r="AO183" s="131"/>
      <c r="AP183" s="131"/>
      <c r="AQ183" s="131"/>
      <c r="AR183" s="131"/>
      <c r="AS183" s="131"/>
      <c r="AT183" s="131"/>
      <c r="AU183" s="91"/>
      <c r="AV183" s="91"/>
      <c r="AW183" s="131"/>
      <c r="AX183" s="131"/>
      <c r="AY183" s="131"/>
    </row>
    <row r="184" spans="1:51" ht="15" x14ac:dyDescent="0.25">
      <c r="A184" s="123"/>
      <c r="B184" s="124"/>
      <c r="C184" s="125">
        <v>522174</v>
      </c>
      <c r="D184" s="89"/>
      <c r="E184" s="86" t="s">
        <v>13</v>
      </c>
      <c r="F184" s="86" t="s">
        <v>418</v>
      </c>
      <c r="H184" s="126" t="s">
        <v>51</v>
      </c>
      <c r="I184" s="89">
        <v>1</v>
      </c>
      <c r="J184" s="127">
        <v>32111.279900000001</v>
      </c>
      <c r="K184" s="127">
        <v>53999.91</v>
      </c>
      <c r="L184" s="127">
        <v>6625.67</v>
      </c>
      <c r="M184" s="127">
        <v>13263.279900000016</v>
      </c>
      <c r="N184" s="127">
        <v>44031.91</v>
      </c>
      <c r="O184" s="127">
        <v>5809.67</v>
      </c>
      <c r="P184" s="128">
        <f t="shared" si="18"/>
        <v>0.41304114757506177</v>
      </c>
      <c r="Q184" s="128">
        <f t="shared" si="19"/>
        <v>0.81540709975257364</v>
      </c>
      <c r="R184" s="128">
        <f t="shared" si="20"/>
        <v>0.87684264383828348</v>
      </c>
      <c r="S184" s="129">
        <v>1</v>
      </c>
      <c r="T184" s="129">
        <v>1</v>
      </c>
      <c r="U184" s="129">
        <v>1</v>
      </c>
      <c r="V184" s="138">
        <f t="shared" si="21"/>
        <v>3</v>
      </c>
      <c r="W184" s="138">
        <f t="shared" si="22"/>
        <v>3</v>
      </c>
      <c r="X184" s="138">
        <f t="shared" si="23"/>
        <v>1</v>
      </c>
      <c r="Y184" s="138">
        <f t="shared" si="24"/>
        <v>3</v>
      </c>
      <c r="Z184" s="138">
        <f t="shared" si="25"/>
        <v>3</v>
      </c>
      <c r="AA184" s="138">
        <f t="shared" si="26"/>
        <v>1</v>
      </c>
      <c r="AB184" s="127" t="s">
        <v>32</v>
      </c>
      <c r="AC184" s="127"/>
      <c r="AD184" s="127"/>
      <c r="AE184" s="130"/>
      <c r="AF184" s="136">
        <v>7.81</v>
      </c>
      <c r="AG184" s="136">
        <v>11.33</v>
      </c>
      <c r="AH184" s="136">
        <v>25.92</v>
      </c>
      <c r="AI184" s="136">
        <v>5.99</v>
      </c>
      <c r="AJ184" s="136">
        <v>3.49</v>
      </c>
      <c r="AK184" s="136">
        <v>0.49</v>
      </c>
      <c r="AL184" s="136">
        <v>3.31</v>
      </c>
      <c r="AM184" s="136">
        <v>58.340000000000011</v>
      </c>
      <c r="AN184" s="131"/>
      <c r="AO184" s="131"/>
      <c r="AP184" s="131"/>
      <c r="AQ184" s="131"/>
      <c r="AR184" s="131"/>
      <c r="AS184" s="131"/>
      <c r="AT184" s="131"/>
      <c r="AU184" s="91"/>
      <c r="AV184" s="91"/>
      <c r="AW184" s="131"/>
      <c r="AX184" s="131"/>
      <c r="AY184" s="131"/>
    </row>
    <row r="185" spans="1:51" ht="15" x14ac:dyDescent="0.25">
      <c r="A185" s="123"/>
      <c r="B185" s="124"/>
      <c r="C185" s="125">
        <v>558037</v>
      </c>
      <c r="D185" s="89"/>
      <c r="E185" s="86" t="s">
        <v>13</v>
      </c>
      <c r="F185" s="86" t="s">
        <v>418</v>
      </c>
      <c r="H185" s="126" t="s">
        <v>51</v>
      </c>
      <c r="I185" s="89">
        <v>2</v>
      </c>
      <c r="J185" s="127">
        <v>32111.279900000001</v>
      </c>
      <c r="K185" s="127">
        <v>53999.91</v>
      </c>
      <c r="L185" s="127">
        <v>6625.67</v>
      </c>
      <c r="M185" s="127">
        <v>13263.279900000016</v>
      </c>
      <c r="N185" s="127">
        <v>44031.91</v>
      </c>
      <c r="O185" s="127">
        <v>5809.67</v>
      </c>
      <c r="P185" s="128">
        <f t="shared" si="18"/>
        <v>0.41304114757506177</v>
      </c>
      <c r="Q185" s="128">
        <f t="shared" si="19"/>
        <v>0.81540709975257364</v>
      </c>
      <c r="R185" s="128">
        <f t="shared" si="20"/>
        <v>0.87684264383828348</v>
      </c>
      <c r="S185" s="129">
        <v>1</v>
      </c>
      <c r="T185" s="129">
        <v>1</v>
      </c>
      <c r="U185" s="129">
        <v>1</v>
      </c>
      <c r="V185" s="138">
        <f t="shared" si="21"/>
        <v>4</v>
      </c>
      <c r="W185" s="138">
        <f t="shared" si="22"/>
        <v>4</v>
      </c>
      <c r="X185" s="138">
        <f t="shared" si="23"/>
        <v>2</v>
      </c>
      <c r="Y185" s="138">
        <f t="shared" si="24"/>
        <v>4</v>
      </c>
      <c r="Z185" s="138">
        <f t="shared" si="25"/>
        <v>4</v>
      </c>
      <c r="AA185" s="138">
        <f t="shared" si="26"/>
        <v>1</v>
      </c>
      <c r="AB185" s="127" t="s">
        <v>32</v>
      </c>
      <c r="AC185" s="127"/>
      <c r="AD185" s="127"/>
      <c r="AE185" s="130"/>
      <c r="AF185" s="136">
        <v>10.41</v>
      </c>
      <c r="AG185" s="136">
        <v>11.33</v>
      </c>
      <c r="AH185" s="136">
        <v>34.56</v>
      </c>
      <c r="AI185" s="136">
        <v>5.99</v>
      </c>
      <c r="AJ185" s="136">
        <v>3.49</v>
      </c>
      <c r="AK185" s="136">
        <v>0.49</v>
      </c>
      <c r="AL185" s="136">
        <v>3.31</v>
      </c>
      <c r="AM185" s="136">
        <v>69.58</v>
      </c>
      <c r="AN185" s="131"/>
      <c r="AO185" s="131"/>
      <c r="AP185" s="131"/>
      <c r="AQ185" s="131"/>
      <c r="AR185" s="131"/>
      <c r="AS185" s="131"/>
      <c r="AT185" s="131"/>
      <c r="AU185" s="91"/>
      <c r="AV185" s="91"/>
      <c r="AW185" s="131"/>
      <c r="AX185" s="131"/>
      <c r="AY185" s="131"/>
    </row>
    <row r="186" spans="1:51" ht="15" x14ac:dyDescent="0.25">
      <c r="A186" s="123"/>
      <c r="B186" s="124"/>
      <c r="C186" s="125">
        <v>561613</v>
      </c>
      <c r="D186" s="89"/>
      <c r="E186" s="86" t="s">
        <v>13</v>
      </c>
      <c r="F186" s="86" t="s">
        <v>418</v>
      </c>
      <c r="H186" s="126" t="s">
        <v>51</v>
      </c>
      <c r="I186" s="89">
        <v>1</v>
      </c>
      <c r="J186" s="127">
        <v>32111.279900000001</v>
      </c>
      <c r="K186" s="127">
        <v>53999.91</v>
      </c>
      <c r="L186" s="127">
        <v>6625.67</v>
      </c>
      <c r="M186" s="127">
        <v>13263.279900000016</v>
      </c>
      <c r="N186" s="127">
        <v>44031.91</v>
      </c>
      <c r="O186" s="127">
        <v>5809.67</v>
      </c>
      <c r="P186" s="128">
        <f t="shared" si="18"/>
        <v>0.41304114757506177</v>
      </c>
      <c r="Q186" s="128">
        <f t="shared" si="19"/>
        <v>0.81540709975257364</v>
      </c>
      <c r="R186" s="128">
        <f t="shared" si="20"/>
        <v>0.87684264383828348</v>
      </c>
      <c r="S186" s="129">
        <v>1</v>
      </c>
      <c r="T186" s="129">
        <v>1</v>
      </c>
      <c r="U186" s="129">
        <v>1</v>
      </c>
      <c r="V186" s="138">
        <f t="shared" si="21"/>
        <v>3</v>
      </c>
      <c r="W186" s="138">
        <f t="shared" si="22"/>
        <v>3</v>
      </c>
      <c r="X186" s="138">
        <f t="shared" si="23"/>
        <v>1</v>
      </c>
      <c r="Y186" s="138">
        <f t="shared" si="24"/>
        <v>3</v>
      </c>
      <c r="Z186" s="138">
        <f t="shared" si="25"/>
        <v>3</v>
      </c>
      <c r="AA186" s="138">
        <f t="shared" si="26"/>
        <v>1</v>
      </c>
      <c r="AB186" s="127" t="s">
        <v>32</v>
      </c>
      <c r="AC186" s="127"/>
      <c r="AD186" s="127"/>
      <c r="AE186" s="130"/>
      <c r="AF186" s="136">
        <v>7.81</v>
      </c>
      <c r="AG186" s="136">
        <v>11.33</v>
      </c>
      <c r="AH186" s="136">
        <v>25.92</v>
      </c>
      <c r="AI186" s="136">
        <v>5.99</v>
      </c>
      <c r="AJ186" s="136">
        <v>3.49</v>
      </c>
      <c r="AK186" s="136">
        <v>0.49</v>
      </c>
      <c r="AL186" s="136">
        <v>3.31</v>
      </c>
      <c r="AM186" s="136">
        <v>58.340000000000011</v>
      </c>
      <c r="AN186" s="131"/>
      <c r="AO186" s="131"/>
      <c r="AP186" s="131"/>
      <c r="AQ186" s="131"/>
      <c r="AR186" s="131"/>
      <c r="AS186" s="131"/>
      <c r="AT186" s="131"/>
      <c r="AU186" s="91"/>
      <c r="AV186" s="91"/>
      <c r="AW186" s="131"/>
      <c r="AX186" s="131"/>
      <c r="AY186" s="131"/>
    </row>
    <row r="187" spans="1:51" ht="15" x14ac:dyDescent="0.25">
      <c r="A187" s="123"/>
      <c r="B187" s="124"/>
      <c r="C187" s="125">
        <v>604767</v>
      </c>
      <c r="D187" s="89"/>
      <c r="E187" s="86" t="s">
        <v>13</v>
      </c>
      <c r="F187" s="86" t="s">
        <v>418</v>
      </c>
      <c r="H187" s="126" t="s">
        <v>51</v>
      </c>
      <c r="I187" s="89">
        <v>1</v>
      </c>
      <c r="J187" s="127">
        <v>32111.279900000001</v>
      </c>
      <c r="K187" s="127">
        <v>53999.91</v>
      </c>
      <c r="L187" s="127">
        <v>6625.67</v>
      </c>
      <c r="M187" s="127">
        <v>13263.279900000016</v>
      </c>
      <c r="N187" s="127">
        <v>44031.91</v>
      </c>
      <c r="O187" s="127">
        <v>5809.67</v>
      </c>
      <c r="P187" s="128">
        <f t="shared" si="18"/>
        <v>0.41304114757506177</v>
      </c>
      <c r="Q187" s="128">
        <f t="shared" si="19"/>
        <v>0.81540709975257364</v>
      </c>
      <c r="R187" s="128">
        <f t="shared" si="20"/>
        <v>0.87684264383828348</v>
      </c>
      <c r="S187" s="129">
        <v>1</v>
      </c>
      <c r="T187" s="129">
        <v>1</v>
      </c>
      <c r="U187" s="129">
        <v>1</v>
      </c>
      <c r="V187" s="138">
        <f t="shared" si="21"/>
        <v>3</v>
      </c>
      <c r="W187" s="138">
        <f t="shared" si="22"/>
        <v>3</v>
      </c>
      <c r="X187" s="138">
        <f t="shared" si="23"/>
        <v>1</v>
      </c>
      <c r="Y187" s="138">
        <f t="shared" si="24"/>
        <v>3</v>
      </c>
      <c r="Z187" s="138">
        <f t="shared" si="25"/>
        <v>3</v>
      </c>
      <c r="AA187" s="138">
        <f t="shared" si="26"/>
        <v>1</v>
      </c>
      <c r="AB187" s="127" t="s">
        <v>32</v>
      </c>
      <c r="AC187" s="127"/>
      <c r="AD187" s="127"/>
      <c r="AE187" s="130"/>
      <c r="AF187" s="136">
        <v>7.81</v>
      </c>
      <c r="AG187" s="136">
        <v>11.33</v>
      </c>
      <c r="AH187" s="136">
        <v>25.92</v>
      </c>
      <c r="AI187" s="136">
        <v>5.99</v>
      </c>
      <c r="AJ187" s="136">
        <v>3.49</v>
      </c>
      <c r="AK187" s="136">
        <v>0.49</v>
      </c>
      <c r="AL187" s="136">
        <v>3.31</v>
      </c>
      <c r="AM187" s="136">
        <v>58.340000000000011</v>
      </c>
      <c r="AN187" s="131"/>
      <c r="AO187" s="131"/>
      <c r="AP187" s="131"/>
      <c r="AQ187" s="131"/>
      <c r="AR187" s="131"/>
      <c r="AS187" s="131"/>
      <c r="AT187" s="131"/>
      <c r="AU187" s="91"/>
      <c r="AV187" s="91"/>
      <c r="AW187" s="131"/>
      <c r="AX187" s="131"/>
      <c r="AY187" s="131"/>
    </row>
    <row r="188" spans="1:51" ht="15" x14ac:dyDescent="0.25">
      <c r="A188" s="123"/>
      <c r="B188" s="124"/>
      <c r="C188" s="125">
        <v>616970</v>
      </c>
      <c r="D188" s="89"/>
      <c r="E188" s="86" t="s">
        <v>13</v>
      </c>
      <c r="F188" s="86" t="s">
        <v>418</v>
      </c>
      <c r="H188" s="126" t="s">
        <v>51</v>
      </c>
      <c r="I188" s="89">
        <v>1</v>
      </c>
      <c r="J188" s="127">
        <v>32111.279900000001</v>
      </c>
      <c r="K188" s="127">
        <v>53999.91</v>
      </c>
      <c r="L188" s="127">
        <v>6625.67</v>
      </c>
      <c r="M188" s="127">
        <v>13263.279900000016</v>
      </c>
      <c r="N188" s="127">
        <v>44031.91</v>
      </c>
      <c r="O188" s="127">
        <v>5809.67</v>
      </c>
      <c r="P188" s="128">
        <f t="shared" si="18"/>
        <v>0.41304114757506177</v>
      </c>
      <c r="Q188" s="128">
        <f t="shared" si="19"/>
        <v>0.81540709975257364</v>
      </c>
      <c r="R188" s="128">
        <f t="shared" si="20"/>
        <v>0.87684264383828348</v>
      </c>
      <c r="S188" s="129">
        <v>1</v>
      </c>
      <c r="T188" s="129">
        <v>1</v>
      </c>
      <c r="U188" s="129">
        <v>1</v>
      </c>
      <c r="V188" s="138">
        <f t="shared" si="21"/>
        <v>3</v>
      </c>
      <c r="W188" s="138">
        <f t="shared" si="22"/>
        <v>3</v>
      </c>
      <c r="X188" s="138">
        <f t="shared" si="23"/>
        <v>1</v>
      </c>
      <c r="Y188" s="138">
        <f t="shared" si="24"/>
        <v>3</v>
      </c>
      <c r="Z188" s="138">
        <f t="shared" si="25"/>
        <v>3</v>
      </c>
      <c r="AA188" s="138">
        <f t="shared" si="26"/>
        <v>1</v>
      </c>
      <c r="AB188" s="127" t="s">
        <v>32</v>
      </c>
      <c r="AC188" s="127"/>
      <c r="AD188" s="127"/>
      <c r="AE188" s="130"/>
      <c r="AF188" s="136">
        <v>7.81</v>
      </c>
      <c r="AG188" s="136">
        <v>11.33</v>
      </c>
      <c r="AH188" s="136">
        <v>25.92</v>
      </c>
      <c r="AI188" s="136">
        <v>5.99</v>
      </c>
      <c r="AJ188" s="136">
        <v>3.49</v>
      </c>
      <c r="AK188" s="136">
        <v>0.49</v>
      </c>
      <c r="AL188" s="136">
        <v>3.31</v>
      </c>
      <c r="AM188" s="136">
        <v>58.340000000000011</v>
      </c>
      <c r="AN188" s="131"/>
      <c r="AO188" s="131"/>
      <c r="AP188" s="131"/>
      <c r="AQ188" s="131"/>
      <c r="AR188" s="131"/>
      <c r="AS188" s="131"/>
      <c r="AT188" s="131"/>
      <c r="AU188" s="91"/>
      <c r="AV188" s="91"/>
      <c r="AW188" s="131"/>
      <c r="AX188" s="131"/>
      <c r="AY188" s="131"/>
    </row>
    <row r="189" spans="1:51" ht="15" x14ac:dyDescent="0.25">
      <c r="A189" s="123"/>
      <c r="B189" s="124"/>
      <c r="C189" s="125">
        <v>618081</v>
      </c>
      <c r="D189" s="89"/>
      <c r="E189" s="86" t="s">
        <v>13</v>
      </c>
      <c r="F189" s="86" t="s">
        <v>418</v>
      </c>
      <c r="H189" s="126" t="s">
        <v>51</v>
      </c>
      <c r="I189" s="89">
        <v>1</v>
      </c>
      <c r="J189" s="127">
        <v>32111.279900000001</v>
      </c>
      <c r="K189" s="127">
        <v>53999.91</v>
      </c>
      <c r="L189" s="127">
        <v>6625.67</v>
      </c>
      <c r="M189" s="127">
        <v>13263.279900000016</v>
      </c>
      <c r="N189" s="127">
        <v>44031.91</v>
      </c>
      <c r="O189" s="127">
        <v>5809.67</v>
      </c>
      <c r="P189" s="128">
        <f t="shared" si="18"/>
        <v>0.41304114757506177</v>
      </c>
      <c r="Q189" s="128">
        <f t="shared" si="19"/>
        <v>0.81540709975257364</v>
      </c>
      <c r="R189" s="128">
        <f t="shared" si="20"/>
        <v>0.87684264383828348</v>
      </c>
      <c r="S189" s="129">
        <v>1</v>
      </c>
      <c r="T189" s="129">
        <v>1</v>
      </c>
      <c r="U189" s="129">
        <v>1</v>
      </c>
      <c r="V189" s="138">
        <f t="shared" si="21"/>
        <v>3</v>
      </c>
      <c r="W189" s="138">
        <f t="shared" si="22"/>
        <v>3</v>
      </c>
      <c r="X189" s="138">
        <f t="shared" si="23"/>
        <v>1</v>
      </c>
      <c r="Y189" s="138">
        <f t="shared" si="24"/>
        <v>3</v>
      </c>
      <c r="Z189" s="138">
        <f t="shared" si="25"/>
        <v>3</v>
      </c>
      <c r="AA189" s="138">
        <f t="shared" si="26"/>
        <v>1</v>
      </c>
      <c r="AB189" s="127" t="s">
        <v>32</v>
      </c>
      <c r="AC189" s="127"/>
      <c r="AD189" s="127"/>
      <c r="AE189" s="130"/>
      <c r="AF189" s="136">
        <v>7.81</v>
      </c>
      <c r="AG189" s="136">
        <v>11.33</v>
      </c>
      <c r="AH189" s="136">
        <v>25.92</v>
      </c>
      <c r="AI189" s="136">
        <v>5.99</v>
      </c>
      <c r="AJ189" s="136">
        <v>3.49</v>
      </c>
      <c r="AK189" s="136">
        <v>0.49</v>
      </c>
      <c r="AL189" s="136">
        <v>3.31</v>
      </c>
      <c r="AM189" s="136">
        <v>58.340000000000011</v>
      </c>
      <c r="AN189" s="131"/>
      <c r="AO189" s="131"/>
      <c r="AP189" s="131"/>
      <c r="AQ189" s="131"/>
      <c r="AR189" s="131"/>
      <c r="AS189" s="131"/>
      <c r="AT189" s="131"/>
      <c r="AU189" s="91"/>
      <c r="AV189" s="91"/>
      <c r="AW189" s="131"/>
      <c r="AX189" s="131"/>
      <c r="AY189" s="131"/>
    </row>
    <row r="190" spans="1:51" ht="15" x14ac:dyDescent="0.25">
      <c r="A190" s="123"/>
      <c r="B190" s="124"/>
      <c r="C190" s="125">
        <v>628034</v>
      </c>
      <c r="D190" s="89"/>
      <c r="E190" s="86" t="s">
        <v>13</v>
      </c>
      <c r="F190" s="86" t="s">
        <v>418</v>
      </c>
      <c r="H190" s="126" t="s">
        <v>51</v>
      </c>
      <c r="I190" s="89">
        <v>1</v>
      </c>
      <c r="J190" s="127">
        <v>32111.279900000001</v>
      </c>
      <c r="K190" s="127">
        <v>53999.91</v>
      </c>
      <c r="L190" s="127">
        <v>6625.67</v>
      </c>
      <c r="M190" s="127">
        <v>13263.279900000016</v>
      </c>
      <c r="N190" s="127">
        <v>44031.91</v>
      </c>
      <c r="O190" s="127">
        <v>5809.67</v>
      </c>
      <c r="P190" s="128">
        <f t="shared" si="18"/>
        <v>0.41304114757506177</v>
      </c>
      <c r="Q190" s="128">
        <f t="shared" si="19"/>
        <v>0.81540709975257364</v>
      </c>
      <c r="R190" s="128">
        <f t="shared" si="20"/>
        <v>0.87684264383828348</v>
      </c>
      <c r="S190" s="129">
        <v>1</v>
      </c>
      <c r="T190" s="129">
        <v>1</v>
      </c>
      <c r="U190" s="129">
        <v>1</v>
      </c>
      <c r="V190" s="138">
        <f t="shared" si="21"/>
        <v>3</v>
      </c>
      <c r="W190" s="138">
        <f t="shared" si="22"/>
        <v>3</v>
      </c>
      <c r="X190" s="138">
        <f t="shared" si="23"/>
        <v>1</v>
      </c>
      <c r="Y190" s="138">
        <f t="shared" si="24"/>
        <v>3</v>
      </c>
      <c r="Z190" s="138">
        <f t="shared" si="25"/>
        <v>3</v>
      </c>
      <c r="AA190" s="138">
        <f t="shared" si="26"/>
        <v>1</v>
      </c>
      <c r="AB190" s="127" t="s">
        <v>32</v>
      </c>
      <c r="AC190" s="127"/>
      <c r="AD190" s="127"/>
      <c r="AE190" s="130"/>
      <c r="AF190" s="136">
        <v>7.81</v>
      </c>
      <c r="AG190" s="136">
        <v>11.33</v>
      </c>
      <c r="AH190" s="136">
        <v>25.92</v>
      </c>
      <c r="AI190" s="136">
        <v>5.99</v>
      </c>
      <c r="AJ190" s="136">
        <v>3.49</v>
      </c>
      <c r="AK190" s="136">
        <v>0.49</v>
      </c>
      <c r="AL190" s="136">
        <v>3.31</v>
      </c>
      <c r="AM190" s="136">
        <v>58.340000000000011</v>
      </c>
      <c r="AN190" s="131"/>
      <c r="AO190" s="131"/>
      <c r="AP190" s="131"/>
      <c r="AQ190" s="131"/>
      <c r="AR190" s="131"/>
      <c r="AS190" s="131"/>
      <c r="AT190" s="131"/>
      <c r="AU190" s="91"/>
      <c r="AV190" s="91"/>
      <c r="AW190" s="131"/>
      <c r="AX190" s="131"/>
      <c r="AY190" s="131"/>
    </row>
    <row r="191" spans="1:51" ht="15" x14ac:dyDescent="0.25">
      <c r="A191" s="123"/>
      <c r="B191" s="124"/>
      <c r="C191" s="125">
        <v>714191</v>
      </c>
      <c r="D191" s="89"/>
      <c r="E191" s="86" t="s">
        <v>13</v>
      </c>
      <c r="F191" s="86" t="s">
        <v>418</v>
      </c>
      <c r="H191" s="126" t="s">
        <v>51</v>
      </c>
      <c r="I191" s="89">
        <v>1</v>
      </c>
      <c r="J191" s="127">
        <v>32111.279900000001</v>
      </c>
      <c r="K191" s="127">
        <v>53999.91</v>
      </c>
      <c r="L191" s="127">
        <v>6625.67</v>
      </c>
      <c r="M191" s="127">
        <v>13263.279900000016</v>
      </c>
      <c r="N191" s="127">
        <v>44031.91</v>
      </c>
      <c r="O191" s="127">
        <v>5809.67</v>
      </c>
      <c r="P191" s="128">
        <f t="shared" si="18"/>
        <v>0.41304114757506177</v>
      </c>
      <c r="Q191" s="128">
        <f t="shared" si="19"/>
        <v>0.81540709975257364</v>
      </c>
      <c r="R191" s="128">
        <f t="shared" si="20"/>
        <v>0.87684264383828348</v>
      </c>
      <c r="S191" s="129">
        <v>1</v>
      </c>
      <c r="T191" s="129">
        <v>1</v>
      </c>
      <c r="U191" s="129">
        <v>1</v>
      </c>
      <c r="V191" s="138">
        <f t="shared" si="21"/>
        <v>3</v>
      </c>
      <c r="W191" s="138">
        <f t="shared" si="22"/>
        <v>3</v>
      </c>
      <c r="X191" s="138">
        <f t="shared" si="23"/>
        <v>1</v>
      </c>
      <c r="Y191" s="138">
        <f t="shared" si="24"/>
        <v>3</v>
      </c>
      <c r="Z191" s="138">
        <f t="shared" si="25"/>
        <v>3</v>
      </c>
      <c r="AA191" s="138">
        <f t="shared" si="26"/>
        <v>1</v>
      </c>
      <c r="AB191" s="127" t="s">
        <v>32</v>
      </c>
      <c r="AC191" s="127"/>
      <c r="AD191" s="127"/>
      <c r="AE191" s="130"/>
      <c r="AF191" s="136">
        <v>7.81</v>
      </c>
      <c r="AG191" s="136">
        <v>11.33</v>
      </c>
      <c r="AH191" s="136">
        <v>25.92</v>
      </c>
      <c r="AI191" s="136">
        <v>5.99</v>
      </c>
      <c r="AJ191" s="136">
        <v>3.49</v>
      </c>
      <c r="AK191" s="136">
        <v>0.49</v>
      </c>
      <c r="AL191" s="136">
        <v>3.31</v>
      </c>
      <c r="AM191" s="136">
        <v>58.340000000000011</v>
      </c>
      <c r="AN191" s="131"/>
      <c r="AO191" s="131"/>
      <c r="AP191" s="131"/>
      <c r="AQ191" s="131"/>
      <c r="AR191" s="131"/>
      <c r="AS191" s="131"/>
      <c r="AT191" s="131"/>
      <c r="AU191" s="91"/>
      <c r="AV191" s="91"/>
      <c r="AW191" s="131"/>
      <c r="AX191" s="131"/>
      <c r="AY191" s="131"/>
    </row>
    <row r="192" spans="1:51" ht="15" x14ac:dyDescent="0.25">
      <c r="A192" s="123"/>
      <c r="B192" s="124"/>
      <c r="C192" s="125">
        <v>767235</v>
      </c>
      <c r="D192" s="89"/>
      <c r="E192" s="86" t="s">
        <v>13</v>
      </c>
      <c r="F192" s="86" t="s">
        <v>418</v>
      </c>
      <c r="H192" s="126" t="s">
        <v>51</v>
      </c>
      <c r="I192" s="89">
        <v>1</v>
      </c>
      <c r="J192" s="127">
        <v>32111.279900000001</v>
      </c>
      <c r="K192" s="127">
        <v>53999.91</v>
      </c>
      <c r="L192" s="127">
        <v>6625.67</v>
      </c>
      <c r="M192" s="127">
        <v>13263.279900000016</v>
      </c>
      <c r="N192" s="127">
        <v>44031.91</v>
      </c>
      <c r="O192" s="127">
        <v>5809.67</v>
      </c>
      <c r="P192" s="128">
        <f t="shared" si="18"/>
        <v>0.41304114757506177</v>
      </c>
      <c r="Q192" s="128">
        <f t="shared" si="19"/>
        <v>0.81540709975257364</v>
      </c>
      <c r="R192" s="128">
        <f t="shared" si="20"/>
        <v>0.87684264383828348</v>
      </c>
      <c r="S192" s="129">
        <v>1</v>
      </c>
      <c r="T192" s="129">
        <v>1</v>
      </c>
      <c r="U192" s="129">
        <v>1</v>
      </c>
      <c r="V192" s="138">
        <f t="shared" si="21"/>
        <v>3</v>
      </c>
      <c r="W192" s="138">
        <f t="shared" si="22"/>
        <v>3</v>
      </c>
      <c r="X192" s="138">
        <f t="shared" si="23"/>
        <v>1</v>
      </c>
      <c r="Y192" s="138">
        <f t="shared" si="24"/>
        <v>3</v>
      </c>
      <c r="Z192" s="138">
        <f t="shared" si="25"/>
        <v>3</v>
      </c>
      <c r="AA192" s="138">
        <f t="shared" si="26"/>
        <v>1</v>
      </c>
      <c r="AB192" s="127" t="s">
        <v>32</v>
      </c>
      <c r="AC192" s="127"/>
      <c r="AD192" s="127"/>
      <c r="AE192" s="130"/>
      <c r="AF192" s="136">
        <v>7.81</v>
      </c>
      <c r="AG192" s="136">
        <v>11.33</v>
      </c>
      <c r="AH192" s="136">
        <v>25.92</v>
      </c>
      <c r="AI192" s="136">
        <v>5.99</v>
      </c>
      <c r="AJ192" s="136">
        <v>3.49</v>
      </c>
      <c r="AK192" s="136">
        <v>0.49</v>
      </c>
      <c r="AL192" s="136">
        <v>3.31</v>
      </c>
      <c r="AM192" s="136">
        <v>58.340000000000011</v>
      </c>
      <c r="AN192" s="131"/>
      <c r="AO192" s="131"/>
      <c r="AP192" s="131"/>
      <c r="AQ192" s="131"/>
      <c r="AR192" s="131"/>
      <c r="AS192" s="131"/>
      <c r="AT192" s="131"/>
      <c r="AU192" s="91"/>
      <c r="AV192" s="91"/>
      <c r="AW192" s="131"/>
      <c r="AX192" s="131"/>
      <c r="AY192" s="131"/>
    </row>
    <row r="193" spans="1:51" ht="15" x14ac:dyDescent="0.25">
      <c r="A193" s="123"/>
      <c r="B193" s="124"/>
      <c r="C193" s="125">
        <v>773012</v>
      </c>
      <c r="D193" s="89"/>
      <c r="E193" s="86" t="s">
        <v>13</v>
      </c>
      <c r="F193" s="86" t="s">
        <v>418</v>
      </c>
      <c r="H193" s="126" t="s">
        <v>51</v>
      </c>
      <c r="I193" s="89">
        <v>1</v>
      </c>
      <c r="J193" s="127">
        <v>32111.279900000001</v>
      </c>
      <c r="K193" s="127">
        <v>53999.91</v>
      </c>
      <c r="L193" s="127">
        <v>6625.67</v>
      </c>
      <c r="M193" s="127">
        <v>13263.279900000016</v>
      </c>
      <c r="N193" s="127">
        <v>44031.91</v>
      </c>
      <c r="O193" s="127">
        <v>5809.67</v>
      </c>
      <c r="P193" s="128">
        <f t="shared" si="18"/>
        <v>0.41304114757506177</v>
      </c>
      <c r="Q193" s="128">
        <f t="shared" si="19"/>
        <v>0.81540709975257364</v>
      </c>
      <c r="R193" s="128">
        <f t="shared" si="20"/>
        <v>0.87684264383828348</v>
      </c>
      <c r="S193" s="129">
        <v>1</v>
      </c>
      <c r="T193" s="129">
        <v>1</v>
      </c>
      <c r="U193" s="129">
        <v>1</v>
      </c>
      <c r="V193" s="138">
        <f t="shared" si="21"/>
        <v>3</v>
      </c>
      <c r="W193" s="138">
        <f t="shared" si="22"/>
        <v>3</v>
      </c>
      <c r="X193" s="138">
        <f t="shared" si="23"/>
        <v>1</v>
      </c>
      <c r="Y193" s="138">
        <f t="shared" si="24"/>
        <v>3</v>
      </c>
      <c r="Z193" s="138">
        <f t="shared" si="25"/>
        <v>3</v>
      </c>
      <c r="AA193" s="138">
        <f t="shared" si="26"/>
        <v>1</v>
      </c>
      <c r="AB193" s="127" t="s">
        <v>32</v>
      </c>
      <c r="AC193" s="127"/>
      <c r="AD193" s="127"/>
      <c r="AE193" s="130"/>
      <c r="AF193" s="136">
        <v>7.81</v>
      </c>
      <c r="AG193" s="136">
        <v>11.33</v>
      </c>
      <c r="AH193" s="136">
        <v>25.92</v>
      </c>
      <c r="AI193" s="136">
        <v>5.99</v>
      </c>
      <c r="AJ193" s="136">
        <v>3.49</v>
      </c>
      <c r="AK193" s="136">
        <v>0.49</v>
      </c>
      <c r="AL193" s="136">
        <v>3.31</v>
      </c>
      <c r="AM193" s="136">
        <v>58.340000000000011</v>
      </c>
      <c r="AN193" s="131"/>
      <c r="AO193" s="131"/>
      <c r="AP193" s="131"/>
      <c r="AQ193" s="131"/>
      <c r="AR193" s="131"/>
      <c r="AS193" s="131"/>
      <c r="AT193" s="131"/>
      <c r="AU193" s="91"/>
      <c r="AV193" s="91"/>
      <c r="AW193" s="131"/>
      <c r="AX193" s="131"/>
      <c r="AY193" s="131"/>
    </row>
    <row r="194" spans="1:51" ht="15" x14ac:dyDescent="0.25">
      <c r="A194" s="123"/>
      <c r="B194" s="124"/>
      <c r="C194" s="125">
        <v>784953</v>
      </c>
      <c r="D194" s="89"/>
      <c r="E194" s="86" t="s">
        <v>13</v>
      </c>
      <c r="F194" s="86" t="s">
        <v>418</v>
      </c>
      <c r="H194" s="126" t="s">
        <v>51</v>
      </c>
      <c r="I194" s="89">
        <v>1</v>
      </c>
      <c r="J194" s="127">
        <v>32111.279900000001</v>
      </c>
      <c r="K194" s="127">
        <v>53999.91</v>
      </c>
      <c r="L194" s="127">
        <v>6625.67</v>
      </c>
      <c r="M194" s="127">
        <v>13263.279900000016</v>
      </c>
      <c r="N194" s="127">
        <v>44031.91</v>
      </c>
      <c r="O194" s="127">
        <v>5809.67</v>
      </c>
      <c r="P194" s="128">
        <f t="shared" si="18"/>
        <v>0.41304114757506177</v>
      </c>
      <c r="Q194" s="128">
        <f t="shared" si="19"/>
        <v>0.81540709975257364</v>
      </c>
      <c r="R194" s="128">
        <f t="shared" si="20"/>
        <v>0.87684264383828348</v>
      </c>
      <c r="S194" s="129">
        <v>1</v>
      </c>
      <c r="T194" s="129">
        <v>1</v>
      </c>
      <c r="U194" s="129">
        <v>1</v>
      </c>
      <c r="V194" s="138">
        <f t="shared" si="21"/>
        <v>3</v>
      </c>
      <c r="W194" s="138">
        <f t="shared" si="22"/>
        <v>3</v>
      </c>
      <c r="X194" s="138">
        <f t="shared" si="23"/>
        <v>1</v>
      </c>
      <c r="Y194" s="138">
        <f t="shared" si="24"/>
        <v>3</v>
      </c>
      <c r="Z194" s="138">
        <f t="shared" si="25"/>
        <v>3</v>
      </c>
      <c r="AA194" s="138">
        <f t="shared" si="26"/>
        <v>1</v>
      </c>
      <c r="AB194" s="127" t="s">
        <v>32</v>
      </c>
      <c r="AC194" s="127"/>
      <c r="AD194" s="127"/>
      <c r="AE194" s="130"/>
      <c r="AF194" s="136">
        <v>7.81</v>
      </c>
      <c r="AG194" s="136">
        <v>11.33</v>
      </c>
      <c r="AH194" s="136">
        <v>25.92</v>
      </c>
      <c r="AI194" s="136">
        <v>5.99</v>
      </c>
      <c r="AJ194" s="136">
        <v>3.49</v>
      </c>
      <c r="AK194" s="136">
        <v>0.49</v>
      </c>
      <c r="AL194" s="136">
        <v>3.31</v>
      </c>
      <c r="AM194" s="136">
        <v>58.340000000000011</v>
      </c>
      <c r="AN194" s="131"/>
      <c r="AO194" s="131"/>
      <c r="AP194" s="131"/>
      <c r="AQ194" s="131"/>
      <c r="AR194" s="131"/>
      <c r="AS194" s="131"/>
      <c r="AT194" s="131"/>
      <c r="AU194" s="91"/>
      <c r="AV194" s="91"/>
      <c r="AW194" s="131"/>
      <c r="AX194" s="131"/>
      <c r="AY194" s="131"/>
    </row>
    <row r="195" spans="1:51" ht="15" x14ac:dyDescent="0.25">
      <c r="A195" s="123"/>
      <c r="B195" s="124"/>
      <c r="C195" s="125">
        <v>798236</v>
      </c>
      <c r="D195" s="89"/>
      <c r="E195" s="86" t="s">
        <v>13</v>
      </c>
      <c r="F195" s="86" t="s">
        <v>418</v>
      </c>
      <c r="H195" s="126" t="s">
        <v>51</v>
      </c>
      <c r="I195" s="89">
        <v>1</v>
      </c>
      <c r="J195" s="127">
        <v>32111.279900000001</v>
      </c>
      <c r="K195" s="127">
        <v>53999.91</v>
      </c>
      <c r="L195" s="127">
        <v>6625.67</v>
      </c>
      <c r="M195" s="127">
        <v>13263.279900000016</v>
      </c>
      <c r="N195" s="127">
        <v>44031.91</v>
      </c>
      <c r="O195" s="127">
        <v>5809.67</v>
      </c>
      <c r="P195" s="128">
        <f t="shared" si="18"/>
        <v>0.41304114757506177</v>
      </c>
      <c r="Q195" s="128">
        <f t="shared" si="19"/>
        <v>0.81540709975257364</v>
      </c>
      <c r="R195" s="128">
        <f t="shared" si="20"/>
        <v>0.87684264383828348</v>
      </c>
      <c r="S195" s="129">
        <v>1</v>
      </c>
      <c r="T195" s="129">
        <v>1</v>
      </c>
      <c r="U195" s="129">
        <v>1</v>
      </c>
      <c r="V195" s="138">
        <f t="shared" si="21"/>
        <v>3</v>
      </c>
      <c r="W195" s="138">
        <f t="shared" si="22"/>
        <v>3</v>
      </c>
      <c r="X195" s="138">
        <f t="shared" si="23"/>
        <v>1</v>
      </c>
      <c r="Y195" s="138">
        <f t="shared" si="24"/>
        <v>3</v>
      </c>
      <c r="Z195" s="138">
        <f t="shared" si="25"/>
        <v>3</v>
      </c>
      <c r="AA195" s="138">
        <f t="shared" si="26"/>
        <v>1</v>
      </c>
      <c r="AB195" s="127" t="s">
        <v>32</v>
      </c>
      <c r="AC195" s="127"/>
      <c r="AD195" s="127"/>
      <c r="AE195" s="130"/>
      <c r="AF195" s="136">
        <v>7.81</v>
      </c>
      <c r="AG195" s="136">
        <v>11.33</v>
      </c>
      <c r="AH195" s="136">
        <v>25.92</v>
      </c>
      <c r="AI195" s="136">
        <v>5.99</v>
      </c>
      <c r="AJ195" s="136">
        <v>3.49</v>
      </c>
      <c r="AK195" s="136">
        <v>0.49</v>
      </c>
      <c r="AL195" s="136">
        <v>3.31</v>
      </c>
      <c r="AM195" s="136">
        <v>58.340000000000011</v>
      </c>
      <c r="AN195" s="131"/>
      <c r="AO195" s="131"/>
      <c r="AP195" s="131"/>
      <c r="AQ195" s="131"/>
      <c r="AR195" s="131"/>
      <c r="AS195" s="131"/>
      <c r="AT195" s="131"/>
      <c r="AU195" s="91"/>
      <c r="AV195" s="91"/>
      <c r="AW195" s="131"/>
      <c r="AX195" s="131"/>
      <c r="AY195" s="131"/>
    </row>
    <row r="196" spans="1:51" ht="15" x14ac:dyDescent="0.25">
      <c r="A196" s="123"/>
      <c r="B196" s="124"/>
      <c r="C196" s="125">
        <v>830216</v>
      </c>
      <c r="D196" s="89"/>
      <c r="E196" s="86" t="s">
        <v>13</v>
      </c>
      <c r="F196" s="86" t="s">
        <v>418</v>
      </c>
      <c r="H196" s="126" t="s">
        <v>51</v>
      </c>
      <c r="I196" s="89">
        <v>1</v>
      </c>
      <c r="J196" s="127">
        <v>32111.279900000001</v>
      </c>
      <c r="K196" s="127">
        <v>53999.91</v>
      </c>
      <c r="L196" s="127">
        <v>6625.67</v>
      </c>
      <c r="M196" s="127">
        <v>13263.279900000016</v>
      </c>
      <c r="N196" s="127">
        <v>44031.91</v>
      </c>
      <c r="O196" s="127">
        <v>5809.67</v>
      </c>
      <c r="P196" s="128">
        <f t="shared" si="18"/>
        <v>0.41304114757506177</v>
      </c>
      <c r="Q196" s="128">
        <f t="shared" si="19"/>
        <v>0.81540709975257364</v>
      </c>
      <c r="R196" s="128">
        <f t="shared" si="20"/>
        <v>0.87684264383828348</v>
      </c>
      <c r="S196" s="129">
        <v>1</v>
      </c>
      <c r="T196" s="129">
        <v>1</v>
      </c>
      <c r="U196" s="129">
        <v>1</v>
      </c>
      <c r="V196" s="138">
        <f t="shared" si="21"/>
        <v>3</v>
      </c>
      <c r="W196" s="138">
        <f t="shared" si="22"/>
        <v>3</v>
      </c>
      <c r="X196" s="138">
        <f t="shared" si="23"/>
        <v>1</v>
      </c>
      <c r="Y196" s="138">
        <f t="shared" si="24"/>
        <v>3</v>
      </c>
      <c r="Z196" s="138">
        <f t="shared" si="25"/>
        <v>3</v>
      </c>
      <c r="AA196" s="138">
        <f t="shared" si="26"/>
        <v>1</v>
      </c>
      <c r="AB196" s="127" t="s">
        <v>32</v>
      </c>
      <c r="AC196" s="127"/>
      <c r="AD196" s="127"/>
      <c r="AE196" s="130"/>
      <c r="AF196" s="136">
        <v>7.81</v>
      </c>
      <c r="AG196" s="136">
        <v>11.33</v>
      </c>
      <c r="AH196" s="136">
        <v>25.92</v>
      </c>
      <c r="AI196" s="136">
        <v>5.99</v>
      </c>
      <c r="AJ196" s="136">
        <v>3.49</v>
      </c>
      <c r="AK196" s="136">
        <v>0.49</v>
      </c>
      <c r="AL196" s="136">
        <v>3.31</v>
      </c>
      <c r="AM196" s="136">
        <v>58.340000000000011</v>
      </c>
      <c r="AN196" s="131"/>
      <c r="AO196" s="131"/>
      <c r="AP196" s="131"/>
      <c r="AQ196" s="131"/>
      <c r="AR196" s="131"/>
      <c r="AS196" s="131"/>
      <c r="AT196" s="131"/>
      <c r="AU196" s="91"/>
      <c r="AV196" s="91"/>
      <c r="AW196" s="131"/>
      <c r="AX196" s="131"/>
      <c r="AY196" s="131"/>
    </row>
    <row r="197" spans="1:51" ht="15" x14ac:dyDescent="0.25">
      <c r="A197" s="123"/>
      <c r="B197" s="124"/>
      <c r="C197" s="125">
        <v>855075</v>
      </c>
      <c r="D197" s="89"/>
      <c r="E197" s="86" t="s">
        <v>13</v>
      </c>
      <c r="F197" s="86" t="s">
        <v>418</v>
      </c>
      <c r="H197" s="126" t="s">
        <v>51</v>
      </c>
      <c r="I197" s="89">
        <v>2</v>
      </c>
      <c r="J197" s="127">
        <v>32111.279900000001</v>
      </c>
      <c r="K197" s="127">
        <v>53999.91</v>
      </c>
      <c r="L197" s="127">
        <v>6625.67</v>
      </c>
      <c r="M197" s="127">
        <v>13263.279900000016</v>
      </c>
      <c r="N197" s="127">
        <v>44031.91</v>
      </c>
      <c r="O197" s="127">
        <v>5809.67</v>
      </c>
      <c r="P197" s="128">
        <f t="shared" si="18"/>
        <v>0.41304114757506177</v>
      </c>
      <c r="Q197" s="128">
        <f t="shared" si="19"/>
        <v>0.81540709975257364</v>
      </c>
      <c r="R197" s="128">
        <f t="shared" si="20"/>
        <v>0.87684264383828348</v>
      </c>
      <c r="S197" s="129">
        <v>1</v>
      </c>
      <c r="T197" s="129">
        <v>1</v>
      </c>
      <c r="U197" s="129">
        <v>1</v>
      </c>
      <c r="V197" s="138">
        <f t="shared" si="21"/>
        <v>4</v>
      </c>
      <c r="W197" s="138">
        <f t="shared" si="22"/>
        <v>4</v>
      </c>
      <c r="X197" s="138">
        <f t="shared" si="23"/>
        <v>2</v>
      </c>
      <c r="Y197" s="138">
        <f t="shared" si="24"/>
        <v>4</v>
      </c>
      <c r="Z197" s="138">
        <f t="shared" si="25"/>
        <v>4</v>
      </c>
      <c r="AA197" s="138">
        <f t="shared" si="26"/>
        <v>1</v>
      </c>
      <c r="AB197" s="127" t="s">
        <v>32</v>
      </c>
      <c r="AC197" s="127"/>
      <c r="AD197" s="127"/>
      <c r="AE197" s="130"/>
      <c r="AF197" s="136">
        <v>10.41</v>
      </c>
      <c r="AG197" s="136">
        <v>11.33</v>
      </c>
      <c r="AH197" s="136">
        <v>34.56</v>
      </c>
      <c r="AI197" s="136">
        <v>5.99</v>
      </c>
      <c r="AJ197" s="136">
        <v>3.49</v>
      </c>
      <c r="AK197" s="136">
        <v>0.49</v>
      </c>
      <c r="AL197" s="136">
        <v>3.31</v>
      </c>
      <c r="AM197" s="136">
        <v>69.58</v>
      </c>
      <c r="AN197" s="131"/>
      <c r="AO197" s="131"/>
      <c r="AP197" s="131"/>
      <c r="AQ197" s="131"/>
      <c r="AR197" s="131"/>
      <c r="AS197" s="131"/>
      <c r="AT197" s="131"/>
      <c r="AU197" s="91"/>
      <c r="AV197" s="91"/>
      <c r="AW197" s="131"/>
      <c r="AX197" s="131"/>
      <c r="AY197" s="131"/>
    </row>
    <row r="198" spans="1:51" ht="15" x14ac:dyDescent="0.25">
      <c r="A198" s="123"/>
      <c r="B198" s="124"/>
      <c r="C198" s="125">
        <v>866234</v>
      </c>
      <c r="D198" s="89"/>
      <c r="E198" s="86" t="s">
        <v>13</v>
      </c>
      <c r="F198" s="86" t="s">
        <v>418</v>
      </c>
      <c r="H198" s="126" t="s">
        <v>51</v>
      </c>
      <c r="I198" s="89">
        <v>1</v>
      </c>
      <c r="J198" s="127">
        <v>32111.279900000001</v>
      </c>
      <c r="K198" s="127">
        <v>53999.91</v>
      </c>
      <c r="L198" s="127">
        <v>6625.67</v>
      </c>
      <c r="M198" s="127">
        <v>13263.279900000016</v>
      </c>
      <c r="N198" s="127">
        <v>44031.91</v>
      </c>
      <c r="O198" s="127">
        <v>5809.67</v>
      </c>
      <c r="P198" s="128">
        <f t="shared" ref="P198:P261" si="27">M198/J198</f>
        <v>0.41304114757506177</v>
      </c>
      <c r="Q198" s="128">
        <f t="shared" ref="Q198:Q261" si="28">N198/K198</f>
        <v>0.81540709975257364</v>
      </c>
      <c r="R198" s="128">
        <f t="shared" ref="R198:R261" si="29">O198/L198</f>
        <v>0.87684264383828348</v>
      </c>
      <c r="S198" s="129">
        <v>1</v>
      </c>
      <c r="T198" s="129">
        <v>1</v>
      </c>
      <c r="U198" s="129">
        <v>1</v>
      </c>
      <c r="V198" s="138">
        <f t="shared" ref="V198:V261" si="30">I198+2</f>
        <v>3</v>
      </c>
      <c r="W198" s="138">
        <f t="shared" ref="W198:W261" si="31">I198+2</f>
        <v>3</v>
      </c>
      <c r="X198" s="138">
        <f t="shared" ref="X198:X261" si="32">I198</f>
        <v>1</v>
      </c>
      <c r="Y198" s="138">
        <f t="shared" ref="Y198:Y261" si="33">IF(S198=0,0,V198)</f>
        <v>3</v>
      </c>
      <c r="Z198" s="138">
        <f t="shared" ref="Z198:Z261" si="34">IF(T198=0,0,W198)</f>
        <v>3</v>
      </c>
      <c r="AA198" s="138">
        <f t="shared" ref="AA198:AA261" si="35">IF(U198=0,0,1)</f>
        <v>1</v>
      </c>
      <c r="AB198" s="127" t="s">
        <v>32</v>
      </c>
      <c r="AC198" s="127"/>
      <c r="AD198" s="127"/>
      <c r="AE198" s="130"/>
      <c r="AF198" s="136">
        <v>7.81</v>
      </c>
      <c r="AG198" s="136">
        <v>11.33</v>
      </c>
      <c r="AH198" s="136">
        <v>25.92</v>
      </c>
      <c r="AI198" s="136">
        <v>5.99</v>
      </c>
      <c r="AJ198" s="136">
        <v>3.49</v>
      </c>
      <c r="AK198" s="136">
        <v>0.49</v>
      </c>
      <c r="AL198" s="136">
        <v>3.31</v>
      </c>
      <c r="AM198" s="136">
        <v>58.340000000000011</v>
      </c>
      <c r="AN198" s="131"/>
      <c r="AO198" s="131"/>
      <c r="AP198" s="131"/>
      <c r="AQ198" s="131"/>
      <c r="AR198" s="131"/>
      <c r="AS198" s="131"/>
      <c r="AT198" s="131"/>
      <c r="AU198" s="91"/>
      <c r="AV198" s="91"/>
      <c r="AW198" s="131"/>
      <c r="AX198" s="131"/>
      <c r="AY198" s="131"/>
    </row>
    <row r="199" spans="1:51" ht="15" x14ac:dyDescent="0.25">
      <c r="A199" s="123"/>
      <c r="B199" s="124"/>
      <c r="C199" s="125">
        <v>885070</v>
      </c>
      <c r="D199" s="89"/>
      <c r="E199" s="86" t="s">
        <v>13</v>
      </c>
      <c r="F199" s="86" t="s">
        <v>418</v>
      </c>
      <c r="H199" s="126" t="s">
        <v>51</v>
      </c>
      <c r="I199" s="89">
        <v>1</v>
      </c>
      <c r="J199" s="127">
        <v>32111.279900000001</v>
      </c>
      <c r="K199" s="127">
        <v>53999.91</v>
      </c>
      <c r="L199" s="127">
        <v>6625.67</v>
      </c>
      <c r="M199" s="127">
        <v>13263.279900000016</v>
      </c>
      <c r="N199" s="127">
        <v>44031.91</v>
      </c>
      <c r="O199" s="127">
        <v>5809.67</v>
      </c>
      <c r="P199" s="128">
        <f t="shared" si="27"/>
        <v>0.41304114757506177</v>
      </c>
      <c r="Q199" s="128">
        <f t="shared" si="28"/>
        <v>0.81540709975257364</v>
      </c>
      <c r="R199" s="128">
        <f t="shared" si="29"/>
        <v>0.87684264383828348</v>
      </c>
      <c r="S199" s="129">
        <v>1</v>
      </c>
      <c r="T199" s="129">
        <v>1</v>
      </c>
      <c r="U199" s="129">
        <v>1</v>
      </c>
      <c r="V199" s="138">
        <f t="shared" si="30"/>
        <v>3</v>
      </c>
      <c r="W199" s="138">
        <f t="shared" si="31"/>
        <v>3</v>
      </c>
      <c r="X199" s="138">
        <f t="shared" si="32"/>
        <v>1</v>
      </c>
      <c r="Y199" s="138">
        <f t="shared" si="33"/>
        <v>3</v>
      </c>
      <c r="Z199" s="138">
        <f t="shared" si="34"/>
        <v>3</v>
      </c>
      <c r="AA199" s="138">
        <f t="shared" si="35"/>
        <v>1</v>
      </c>
      <c r="AB199" s="127" t="s">
        <v>32</v>
      </c>
      <c r="AC199" s="127"/>
      <c r="AD199" s="127"/>
      <c r="AE199" s="130"/>
      <c r="AF199" s="136">
        <v>7.81</v>
      </c>
      <c r="AG199" s="136">
        <v>11.33</v>
      </c>
      <c r="AH199" s="136">
        <v>25.92</v>
      </c>
      <c r="AI199" s="136">
        <v>5.99</v>
      </c>
      <c r="AJ199" s="136">
        <v>3.49</v>
      </c>
      <c r="AK199" s="136">
        <v>0.49</v>
      </c>
      <c r="AL199" s="136">
        <v>3.31</v>
      </c>
      <c r="AM199" s="136">
        <v>58.340000000000011</v>
      </c>
      <c r="AN199" s="131"/>
      <c r="AO199" s="131"/>
      <c r="AP199" s="131"/>
      <c r="AQ199" s="131"/>
      <c r="AR199" s="131"/>
      <c r="AS199" s="131"/>
      <c r="AT199" s="131"/>
      <c r="AU199" s="91"/>
      <c r="AV199" s="91"/>
      <c r="AW199" s="131"/>
      <c r="AX199" s="131"/>
      <c r="AY199" s="131"/>
    </row>
    <row r="200" spans="1:51" ht="15" x14ac:dyDescent="0.25">
      <c r="A200" s="123"/>
      <c r="B200" s="124"/>
      <c r="C200" s="125">
        <v>885588</v>
      </c>
      <c r="D200" s="89"/>
      <c r="E200" s="86" t="s">
        <v>13</v>
      </c>
      <c r="F200" s="86" t="s">
        <v>418</v>
      </c>
      <c r="H200" s="126" t="s">
        <v>51</v>
      </c>
      <c r="I200" s="89">
        <v>1</v>
      </c>
      <c r="J200" s="127">
        <v>32111.279900000001</v>
      </c>
      <c r="K200" s="127">
        <v>53999.91</v>
      </c>
      <c r="L200" s="127">
        <v>6625.67</v>
      </c>
      <c r="M200" s="127">
        <v>13263.279900000016</v>
      </c>
      <c r="N200" s="127">
        <v>44031.91</v>
      </c>
      <c r="O200" s="127">
        <v>5809.67</v>
      </c>
      <c r="P200" s="128">
        <f t="shared" si="27"/>
        <v>0.41304114757506177</v>
      </c>
      <c r="Q200" s="128">
        <f t="shared" si="28"/>
        <v>0.81540709975257364</v>
      </c>
      <c r="R200" s="128">
        <f t="shared" si="29"/>
        <v>0.87684264383828348</v>
      </c>
      <c r="S200" s="129">
        <v>1</v>
      </c>
      <c r="T200" s="129">
        <v>1</v>
      </c>
      <c r="U200" s="129">
        <v>1</v>
      </c>
      <c r="V200" s="138">
        <f t="shared" si="30"/>
        <v>3</v>
      </c>
      <c r="W200" s="138">
        <f t="shared" si="31"/>
        <v>3</v>
      </c>
      <c r="X200" s="138">
        <f t="shared" si="32"/>
        <v>1</v>
      </c>
      <c r="Y200" s="138">
        <f t="shared" si="33"/>
        <v>3</v>
      </c>
      <c r="Z200" s="138">
        <f t="shared" si="34"/>
        <v>3</v>
      </c>
      <c r="AA200" s="138">
        <f t="shared" si="35"/>
        <v>1</v>
      </c>
      <c r="AB200" s="127" t="s">
        <v>32</v>
      </c>
      <c r="AC200" s="127"/>
      <c r="AD200" s="127"/>
      <c r="AE200" s="130"/>
      <c r="AF200" s="136">
        <v>7.81</v>
      </c>
      <c r="AG200" s="136">
        <v>11.33</v>
      </c>
      <c r="AH200" s="136">
        <v>25.92</v>
      </c>
      <c r="AI200" s="136">
        <v>5.99</v>
      </c>
      <c r="AJ200" s="136">
        <v>3.49</v>
      </c>
      <c r="AK200" s="136">
        <v>0.49</v>
      </c>
      <c r="AL200" s="136">
        <v>3.31</v>
      </c>
      <c r="AM200" s="136">
        <v>58.340000000000011</v>
      </c>
      <c r="AN200" s="131"/>
      <c r="AO200" s="131"/>
      <c r="AP200" s="131"/>
      <c r="AQ200" s="131"/>
      <c r="AR200" s="131"/>
      <c r="AS200" s="131"/>
      <c r="AT200" s="131"/>
      <c r="AU200" s="91"/>
      <c r="AV200" s="91"/>
      <c r="AW200" s="131"/>
      <c r="AX200" s="131"/>
      <c r="AY200" s="131"/>
    </row>
    <row r="201" spans="1:51" ht="15" x14ac:dyDescent="0.25">
      <c r="A201" s="123"/>
      <c r="B201" s="124"/>
      <c r="C201" s="125">
        <v>979743</v>
      </c>
      <c r="D201" s="89"/>
      <c r="E201" s="86" t="s">
        <v>13</v>
      </c>
      <c r="F201" s="86" t="s">
        <v>418</v>
      </c>
      <c r="H201" s="126" t="s">
        <v>51</v>
      </c>
      <c r="I201" s="89">
        <v>1</v>
      </c>
      <c r="J201" s="127">
        <v>32111.279900000001</v>
      </c>
      <c r="K201" s="127">
        <v>53999.91</v>
      </c>
      <c r="L201" s="127">
        <v>6625.67</v>
      </c>
      <c r="M201" s="127">
        <v>13263.279900000016</v>
      </c>
      <c r="N201" s="127">
        <v>44031.91</v>
      </c>
      <c r="O201" s="127">
        <v>5809.67</v>
      </c>
      <c r="P201" s="128">
        <f t="shared" si="27"/>
        <v>0.41304114757506177</v>
      </c>
      <c r="Q201" s="128">
        <f t="shared" si="28"/>
        <v>0.81540709975257364</v>
      </c>
      <c r="R201" s="128">
        <f t="shared" si="29"/>
        <v>0.87684264383828348</v>
      </c>
      <c r="S201" s="129">
        <v>1</v>
      </c>
      <c r="T201" s="129">
        <v>1</v>
      </c>
      <c r="U201" s="129">
        <v>1</v>
      </c>
      <c r="V201" s="138">
        <f t="shared" si="30"/>
        <v>3</v>
      </c>
      <c r="W201" s="138">
        <f t="shared" si="31"/>
        <v>3</v>
      </c>
      <c r="X201" s="138">
        <f t="shared" si="32"/>
        <v>1</v>
      </c>
      <c r="Y201" s="138">
        <f t="shared" si="33"/>
        <v>3</v>
      </c>
      <c r="Z201" s="138">
        <f t="shared" si="34"/>
        <v>3</v>
      </c>
      <c r="AA201" s="138">
        <f t="shared" si="35"/>
        <v>1</v>
      </c>
      <c r="AB201" s="127" t="s">
        <v>32</v>
      </c>
      <c r="AC201" s="127"/>
      <c r="AD201" s="127"/>
      <c r="AE201" s="130"/>
      <c r="AF201" s="136">
        <v>7.81</v>
      </c>
      <c r="AG201" s="136">
        <v>11.33</v>
      </c>
      <c r="AH201" s="136">
        <v>25.92</v>
      </c>
      <c r="AI201" s="136">
        <v>5.99</v>
      </c>
      <c r="AJ201" s="136">
        <v>3.49</v>
      </c>
      <c r="AK201" s="136">
        <v>0.49</v>
      </c>
      <c r="AL201" s="136">
        <v>3.31</v>
      </c>
      <c r="AM201" s="136">
        <v>58.340000000000011</v>
      </c>
      <c r="AN201" s="131"/>
      <c r="AO201" s="131"/>
      <c r="AP201" s="131"/>
      <c r="AQ201" s="131"/>
      <c r="AR201" s="131"/>
      <c r="AS201" s="131"/>
      <c r="AT201" s="131"/>
      <c r="AU201" s="91"/>
      <c r="AV201" s="91"/>
      <c r="AW201" s="131"/>
      <c r="AX201" s="131"/>
      <c r="AY201" s="131"/>
    </row>
    <row r="202" spans="1:51" ht="15" x14ac:dyDescent="0.25">
      <c r="A202" s="123"/>
      <c r="B202" s="124"/>
      <c r="C202" s="125">
        <v>38089</v>
      </c>
      <c r="D202" s="89"/>
      <c r="E202" s="86" t="s">
        <v>21</v>
      </c>
      <c r="F202" s="86" t="s">
        <v>418</v>
      </c>
      <c r="H202" s="126" t="s">
        <v>51</v>
      </c>
      <c r="I202" s="89">
        <v>1</v>
      </c>
      <c r="J202" s="127">
        <v>34089.539900000003</v>
      </c>
      <c r="K202" s="127">
        <v>73034.16</v>
      </c>
      <c r="L202" s="127">
        <v>6826.79</v>
      </c>
      <c r="M202" s="127">
        <v>15241.539900000018</v>
      </c>
      <c r="N202" s="127">
        <v>63066.16</v>
      </c>
      <c r="O202" s="127">
        <v>6010.79</v>
      </c>
      <c r="P202" s="128">
        <f t="shared" si="27"/>
        <v>0.44710312737309832</v>
      </c>
      <c r="Q202" s="128">
        <f t="shared" si="28"/>
        <v>0.86351592186450832</v>
      </c>
      <c r="R202" s="128">
        <f t="shared" si="29"/>
        <v>0.8804709094611084</v>
      </c>
      <c r="S202" s="129">
        <v>1</v>
      </c>
      <c r="T202" s="129">
        <v>1</v>
      </c>
      <c r="U202" s="129">
        <v>1</v>
      </c>
      <c r="V202" s="138">
        <f t="shared" si="30"/>
        <v>3</v>
      </c>
      <c r="W202" s="138">
        <f t="shared" si="31"/>
        <v>3</v>
      </c>
      <c r="X202" s="138">
        <f t="shared" si="32"/>
        <v>1</v>
      </c>
      <c r="Y202" s="138">
        <f t="shared" si="33"/>
        <v>3</v>
      </c>
      <c r="Z202" s="138">
        <f t="shared" si="34"/>
        <v>3</v>
      </c>
      <c r="AA202" s="138">
        <f t="shared" si="35"/>
        <v>1</v>
      </c>
      <c r="AB202" s="127" t="s">
        <v>32</v>
      </c>
      <c r="AC202" s="127"/>
      <c r="AD202" s="127"/>
      <c r="AE202" s="130"/>
      <c r="AF202" s="136">
        <v>9.16</v>
      </c>
      <c r="AG202" s="136">
        <v>11.33</v>
      </c>
      <c r="AH202" s="136">
        <v>37.9</v>
      </c>
      <c r="AI202" s="136">
        <v>5.99</v>
      </c>
      <c r="AJ202" s="136">
        <v>3.61</v>
      </c>
      <c r="AK202" s="136">
        <v>0.49</v>
      </c>
      <c r="AL202" s="136">
        <v>3.31</v>
      </c>
      <c r="AM202" s="136">
        <v>71.789999999999992</v>
      </c>
      <c r="AN202" s="131"/>
      <c r="AO202" s="131"/>
      <c r="AP202" s="131"/>
      <c r="AQ202" s="131"/>
      <c r="AR202" s="131"/>
      <c r="AS202" s="131"/>
      <c r="AT202" s="131"/>
      <c r="AU202" s="91"/>
      <c r="AV202" s="91"/>
      <c r="AW202" s="131"/>
      <c r="AX202" s="131"/>
      <c r="AY202" s="131"/>
    </row>
    <row r="203" spans="1:51" ht="15" x14ac:dyDescent="0.25">
      <c r="A203" s="123"/>
      <c r="B203" s="124"/>
      <c r="C203" s="125">
        <v>40273</v>
      </c>
      <c r="D203" s="89"/>
      <c r="E203" s="86" t="s">
        <v>21</v>
      </c>
      <c r="F203" s="86" t="s">
        <v>418</v>
      </c>
      <c r="H203" s="126" t="s">
        <v>51</v>
      </c>
      <c r="I203" s="89">
        <v>1</v>
      </c>
      <c r="J203" s="127">
        <v>34089.539900000003</v>
      </c>
      <c r="K203" s="127">
        <v>73034.16</v>
      </c>
      <c r="L203" s="127">
        <v>6826.79</v>
      </c>
      <c r="M203" s="127">
        <v>15241.539900000018</v>
      </c>
      <c r="N203" s="127">
        <v>63066.16</v>
      </c>
      <c r="O203" s="127">
        <v>6010.79</v>
      </c>
      <c r="P203" s="128">
        <f t="shared" si="27"/>
        <v>0.44710312737309832</v>
      </c>
      <c r="Q203" s="128">
        <f t="shared" si="28"/>
        <v>0.86351592186450832</v>
      </c>
      <c r="R203" s="128">
        <f t="shared" si="29"/>
        <v>0.8804709094611084</v>
      </c>
      <c r="S203" s="129">
        <v>1</v>
      </c>
      <c r="T203" s="129">
        <v>1</v>
      </c>
      <c r="U203" s="129">
        <v>1</v>
      </c>
      <c r="V203" s="138">
        <f t="shared" si="30"/>
        <v>3</v>
      </c>
      <c r="W203" s="138">
        <f t="shared" si="31"/>
        <v>3</v>
      </c>
      <c r="X203" s="138">
        <f t="shared" si="32"/>
        <v>1</v>
      </c>
      <c r="Y203" s="138">
        <f t="shared" si="33"/>
        <v>3</v>
      </c>
      <c r="Z203" s="138">
        <f t="shared" si="34"/>
        <v>3</v>
      </c>
      <c r="AA203" s="138">
        <f t="shared" si="35"/>
        <v>1</v>
      </c>
      <c r="AB203" s="127" t="s">
        <v>32</v>
      </c>
      <c r="AC203" s="127"/>
      <c r="AD203" s="127"/>
      <c r="AE203" s="130"/>
      <c r="AF203" s="136">
        <v>9.16</v>
      </c>
      <c r="AG203" s="136">
        <v>11.33</v>
      </c>
      <c r="AH203" s="136">
        <v>37.9</v>
      </c>
      <c r="AI203" s="136">
        <v>5.99</v>
      </c>
      <c r="AJ203" s="136">
        <v>3.61</v>
      </c>
      <c r="AK203" s="136">
        <v>0.49</v>
      </c>
      <c r="AL203" s="136">
        <v>3.31</v>
      </c>
      <c r="AM203" s="136">
        <v>71.789999999999992</v>
      </c>
      <c r="AN203" s="131"/>
      <c r="AO203" s="131"/>
      <c r="AP203" s="131"/>
      <c r="AQ203" s="131"/>
      <c r="AR203" s="131"/>
      <c r="AS203" s="131"/>
      <c r="AT203" s="131"/>
      <c r="AU203" s="91"/>
      <c r="AV203" s="91"/>
      <c r="AW203" s="131"/>
      <c r="AX203" s="131"/>
      <c r="AY203" s="131"/>
    </row>
    <row r="204" spans="1:51" ht="15" x14ac:dyDescent="0.25">
      <c r="A204" s="123"/>
      <c r="B204" s="124"/>
      <c r="C204" s="125">
        <v>75782</v>
      </c>
      <c r="D204" s="89"/>
      <c r="E204" s="86" t="s">
        <v>21</v>
      </c>
      <c r="F204" s="86" t="s">
        <v>418</v>
      </c>
      <c r="H204" s="126" t="s">
        <v>51</v>
      </c>
      <c r="I204" s="89">
        <v>1</v>
      </c>
      <c r="J204" s="127">
        <v>34089.539900000003</v>
      </c>
      <c r="K204" s="127">
        <v>73034.16</v>
      </c>
      <c r="L204" s="127">
        <v>6826.79</v>
      </c>
      <c r="M204" s="127">
        <v>15241.539900000018</v>
      </c>
      <c r="N204" s="127">
        <v>63066.16</v>
      </c>
      <c r="O204" s="127">
        <v>6010.79</v>
      </c>
      <c r="P204" s="128">
        <f t="shared" si="27"/>
        <v>0.44710312737309832</v>
      </c>
      <c r="Q204" s="128">
        <f t="shared" si="28"/>
        <v>0.86351592186450832</v>
      </c>
      <c r="R204" s="128">
        <f t="shared" si="29"/>
        <v>0.8804709094611084</v>
      </c>
      <c r="S204" s="129">
        <v>1</v>
      </c>
      <c r="T204" s="129">
        <v>1</v>
      </c>
      <c r="U204" s="129">
        <v>1</v>
      </c>
      <c r="V204" s="138">
        <f t="shared" si="30"/>
        <v>3</v>
      </c>
      <c r="W204" s="138">
        <f t="shared" si="31"/>
        <v>3</v>
      </c>
      <c r="X204" s="138">
        <f t="shared" si="32"/>
        <v>1</v>
      </c>
      <c r="Y204" s="138">
        <f t="shared" si="33"/>
        <v>3</v>
      </c>
      <c r="Z204" s="138">
        <f t="shared" si="34"/>
        <v>3</v>
      </c>
      <c r="AA204" s="138">
        <f t="shared" si="35"/>
        <v>1</v>
      </c>
      <c r="AB204" s="127" t="s">
        <v>32</v>
      </c>
      <c r="AC204" s="127"/>
      <c r="AD204" s="127"/>
      <c r="AE204" s="130"/>
      <c r="AF204" s="136">
        <v>9.16</v>
      </c>
      <c r="AG204" s="136">
        <v>11.33</v>
      </c>
      <c r="AH204" s="136">
        <v>37.9</v>
      </c>
      <c r="AI204" s="136">
        <v>5.99</v>
      </c>
      <c r="AJ204" s="136">
        <v>3.61</v>
      </c>
      <c r="AK204" s="136">
        <v>0.49</v>
      </c>
      <c r="AL204" s="136">
        <v>3.31</v>
      </c>
      <c r="AM204" s="136">
        <v>71.789999999999992</v>
      </c>
      <c r="AN204" s="131"/>
      <c r="AO204" s="131"/>
      <c r="AP204" s="131"/>
      <c r="AQ204" s="131"/>
      <c r="AR204" s="131"/>
      <c r="AS204" s="131"/>
      <c r="AT204" s="131"/>
      <c r="AU204" s="91"/>
      <c r="AV204" s="91"/>
      <c r="AW204" s="131"/>
      <c r="AX204" s="131"/>
      <c r="AY204" s="131"/>
    </row>
    <row r="205" spans="1:51" ht="15" x14ac:dyDescent="0.25">
      <c r="A205" s="123"/>
      <c r="B205" s="124"/>
      <c r="C205" s="125">
        <v>88747</v>
      </c>
      <c r="D205" s="89"/>
      <c r="E205" s="86" t="s">
        <v>21</v>
      </c>
      <c r="F205" s="86" t="s">
        <v>418</v>
      </c>
      <c r="H205" s="126" t="s">
        <v>51</v>
      </c>
      <c r="I205" s="89">
        <v>1</v>
      </c>
      <c r="J205" s="127">
        <v>34089.539900000003</v>
      </c>
      <c r="K205" s="127">
        <v>73034.16</v>
      </c>
      <c r="L205" s="127">
        <v>6826.79</v>
      </c>
      <c r="M205" s="127">
        <v>15241.539900000018</v>
      </c>
      <c r="N205" s="127">
        <v>63066.16</v>
      </c>
      <c r="O205" s="127">
        <v>6010.79</v>
      </c>
      <c r="P205" s="128">
        <f t="shared" si="27"/>
        <v>0.44710312737309832</v>
      </c>
      <c r="Q205" s="128">
        <f t="shared" si="28"/>
        <v>0.86351592186450832</v>
      </c>
      <c r="R205" s="128">
        <f t="shared" si="29"/>
        <v>0.8804709094611084</v>
      </c>
      <c r="S205" s="129">
        <v>1</v>
      </c>
      <c r="T205" s="129">
        <v>1</v>
      </c>
      <c r="U205" s="129">
        <v>1</v>
      </c>
      <c r="V205" s="138">
        <f t="shared" si="30"/>
        <v>3</v>
      </c>
      <c r="W205" s="138">
        <f t="shared" si="31"/>
        <v>3</v>
      </c>
      <c r="X205" s="138">
        <f t="shared" si="32"/>
        <v>1</v>
      </c>
      <c r="Y205" s="138">
        <f t="shared" si="33"/>
        <v>3</v>
      </c>
      <c r="Z205" s="138">
        <f t="shared" si="34"/>
        <v>3</v>
      </c>
      <c r="AA205" s="138">
        <f t="shared" si="35"/>
        <v>1</v>
      </c>
      <c r="AB205" s="127" t="s">
        <v>32</v>
      </c>
      <c r="AC205" s="127"/>
      <c r="AD205" s="127"/>
      <c r="AE205" s="130"/>
      <c r="AF205" s="136">
        <v>9.16</v>
      </c>
      <c r="AG205" s="136">
        <v>11.33</v>
      </c>
      <c r="AH205" s="136">
        <v>37.9</v>
      </c>
      <c r="AI205" s="136">
        <v>5.99</v>
      </c>
      <c r="AJ205" s="136">
        <v>3.61</v>
      </c>
      <c r="AK205" s="136">
        <v>0.49</v>
      </c>
      <c r="AL205" s="136">
        <v>3.31</v>
      </c>
      <c r="AM205" s="136">
        <v>71.789999999999992</v>
      </c>
      <c r="AN205" s="131"/>
      <c r="AO205" s="131"/>
      <c r="AP205" s="131"/>
      <c r="AQ205" s="131"/>
      <c r="AR205" s="131"/>
      <c r="AS205" s="131"/>
      <c r="AT205" s="131"/>
      <c r="AU205" s="91"/>
      <c r="AV205" s="91"/>
      <c r="AW205" s="131"/>
      <c r="AX205" s="131"/>
      <c r="AY205" s="131"/>
    </row>
    <row r="206" spans="1:51" ht="15" x14ac:dyDescent="0.25">
      <c r="A206" s="123"/>
      <c r="B206" s="124"/>
      <c r="C206" s="125">
        <v>106157</v>
      </c>
      <c r="D206" s="89"/>
      <c r="E206" s="86" t="s">
        <v>21</v>
      </c>
      <c r="F206" s="86" t="s">
        <v>418</v>
      </c>
      <c r="H206" s="126" t="s">
        <v>51</v>
      </c>
      <c r="I206" s="89">
        <v>1</v>
      </c>
      <c r="J206" s="127">
        <v>34089.539900000003</v>
      </c>
      <c r="K206" s="127">
        <v>73034.16</v>
      </c>
      <c r="L206" s="127">
        <v>6826.79</v>
      </c>
      <c r="M206" s="127">
        <v>15241.539900000018</v>
      </c>
      <c r="N206" s="127">
        <v>63066.16</v>
      </c>
      <c r="O206" s="127">
        <v>6010.79</v>
      </c>
      <c r="P206" s="128">
        <f t="shared" si="27"/>
        <v>0.44710312737309832</v>
      </c>
      <c r="Q206" s="128">
        <f t="shared" si="28"/>
        <v>0.86351592186450832</v>
      </c>
      <c r="R206" s="128">
        <f t="shared" si="29"/>
        <v>0.8804709094611084</v>
      </c>
      <c r="S206" s="129">
        <v>1</v>
      </c>
      <c r="T206" s="129">
        <v>1</v>
      </c>
      <c r="U206" s="129">
        <v>1</v>
      </c>
      <c r="V206" s="138">
        <f t="shared" si="30"/>
        <v>3</v>
      </c>
      <c r="W206" s="138">
        <f t="shared" si="31"/>
        <v>3</v>
      </c>
      <c r="X206" s="138">
        <f t="shared" si="32"/>
        <v>1</v>
      </c>
      <c r="Y206" s="138">
        <f t="shared" si="33"/>
        <v>3</v>
      </c>
      <c r="Z206" s="138">
        <f t="shared" si="34"/>
        <v>3</v>
      </c>
      <c r="AA206" s="138">
        <f t="shared" si="35"/>
        <v>1</v>
      </c>
      <c r="AB206" s="127" t="s">
        <v>32</v>
      </c>
      <c r="AC206" s="127"/>
      <c r="AD206" s="127"/>
      <c r="AE206" s="130"/>
      <c r="AF206" s="136">
        <v>9.16</v>
      </c>
      <c r="AG206" s="136">
        <v>11.33</v>
      </c>
      <c r="AH206" s="136">
        <v>37.9</v>
      </c>
      <c r="AI206" s="136">
        <v>5.99</v>
      </c>
      <c r="AJ206" s="136">
        <v>3.61</v>
      </c>
      <c r="AK206" s="136">
        <v>0.49</v>
      </c>
      <c r="AL206" s="136">
        <v>3.31</v>
      </c>
      <c r="AM206" s="136">
        <v>71.789999999999992</v>
      </c>
      <c r="AN206" s="131"/>
      <c r="AO206" s="131"/>
      <c r="AP206" s="131"/>
      <c r="AQ206" s="131"/>
      <c r="AR206" s="131"/>
      <c r="AS206" s="131"/>
      <c r="AT206" s="131"/>
      <c r="AU206" s="91"/>
      <c r="AV206" s="91"/>
      <c r="AW206" s="131"/>
      <c r="AX206" s="131"/>
      <c r="AY206" s="131"/>
    </row>
    <row r="207" spans="1:51" ht="15" x14ac:dyDescent="0.25">
      <c r="A207" s="123"/>
      <c r="B207" s="124"/>
      <c r="C207" s="125">
        <v>186154</v>
      </c>
      <c r="D207" s="89"/>
      <c r="E207" s="86" t="s">
        <v>21</v>
      </c>
      <c r="F207" s="86" t="s">
        <v>418</v>
      </c>
      <c r="H207" s="126" t="s">
        <v>51</v>
      </c>
      <c r="I207" s="89">
        <v>1</v>
      </c>
      <c r="J207" s="127">
        <v>34089.539900000003</v>
      </c>
      <c r="K207" s="127">
        <v>73034.16</v>
      </c>
      <c r="L207" s="127">
        <v>6826.79</v>
      </c>
      <c r="M207" s="127">
        <v>15241.539900000018</v>
      </c>
      <c r="N207" s="127">
        <v>63066.16</v>
      </c>
      <c r="O207" s="127">
        <v>6010.79</v>
      </c>
      <c r="P207" s="128">
        <f t="shared" si="27"/>
        <v>0.44710312737309832</v>
      </c>
      <c r="Q207" s="128">
        <f t="shared" si="28"/>
        <v>0.86351592186450832</v>
      </c>
      <c r="R207" s="128">
        <f t="shared" si="29"/>
        <v>0.8804709094611084</v>
      </c>
      <c r="S207" s="129">
        <v>1</v>
      </c>
      <c r="T207" s="129">
        <v>1</v>
      </c>
      <c r="U207" s="129">
        <v>1</v>
      </c>
      <c r="V207" s="138">
        <f t="shared" si="30"/>
        <v>3</v>
      </c>
      <c r="W207" s="138">
        <f t="shared" si="31"/>
        <v>3</v>
      </c>
      <c r="X207" s="138">
        <f t="shared" si="32"/>
        <v>1</v>
      </c>
      <c r="Y207" s="138">
        <f t="shared" si="33"/>
        <v>3</v>
      </c>
      <c r="Z207" s="138">
        <f t="shared" si="34"/>
        <v>3</v>
      </c>
      <c r="AA207" s="138">
        <f t="shared" si="35"/>
        <v>1</v>
      </c>
      <c r="AB207" s="127" t="s">
        <v>32</v>
      </c>
      <c r="AC207" s="127"/>
      <c r="AD207" s="127"/>
      <c r="AE207" s="130"/>
      <c r="AF207" s="136">
        <v>9.16</v>
      </c>
      <c r="AG207" s="136">
        <v>11.33</v>
      </c>
      <c r="AH207" s="136">
        <v>37.9</v>
      </c>
      <c r="AI207" s="136">
        <v>5.99</v>
      </c>
      <c r="AJ207" s="136">
        <v>3.61</v>
      </c>
      <c r="AK207" s="136">
        <v>0.49</v>
      </c>
      <c r="AL207" s="136">
        <v>3.31</v>
      </c>
      <c r="AM207" s="136">
        <v>71.789999999999992</v>
      </c>
      <c r="AN207" s="131"/>
      <c r="AO207" s="131"/>
      <c r="AP207" s="131"/>
      <c r="AQ207" s="131"/>
      <c r="AR207" s="131"/>
      <c r="AS207" s="131"/>
      <c r="AT207" s="131"/>
      <c r="AU207" s="91"/>
      <c r="AV207" s="91"/>
      <c r="AW207" s="131"/>
      <c r="AX207" s="131"/>
      <c r="AY207" s="131"/>
    </row>
    <row r="208" spans="1:51" ht="15" x14ac:dyDescent="0.25">
      <c r="A208" s="123"/>
      <c r="B208" s="124"/>
      <c r="C208" s="125">
        <v>187462</v>
      </c>
      <c r="D208" s="89"/>
      <c r="E208" s="86" t="s">
        <v>21</v>
      </c>
      <c r="F208" s="86" t="s">
        <v>418</v>
      </c>
      <c r="H208" s="126" t="s">
        <v>51</v>
      </c>
      <c r="I208" s="89">
        <v>1</v>
      </c>
      <c r="J208" s="127">
        <v>34089.539900000003</v>
      </c>
      <c r="K208" s="127">
        <v>73034.16</v>
      </c>
      <c r="L208" s="127">
        <v>6826.79</v>
      </c>
      <c r="M208" s="127">
        <v>15241.539900000018</v>
      </c>
      <c r="N208" s="127">
        <v>63066.16</v>
      </c>
      <c r="O208" s="127">
        <v>6010.79</v>
      </c>
      <c r="P208" s="128">
        <f t="shared" si="27"/>
        <v>0.44710312737309832</v>
      </c>
      <c r="Q208" s="128">
        <f t="shared" si="28"/>
        <v>0.86351592186450832</v>
      </c>
      <c r="R208" s="128">
        <f t="shared" si="29"/>
        <v>0.8804709094611084</v>
      </c>
      <c r="S208" s="129">
        <v>1</v>
      </c>
      <c r="T208" s="129">
        <v>1</v>
      </c>
      <c r="U208" s="129">
        <v>1</v>
      </c>
      <c r="V208" s="138">
        <f t="shared" si="30"/>
        <v>3</v>
      </c>
      <c r="W208" s="138">
        <f t="shared" si="31"/>
        <v>3</v>
      </c>
      <c r="X208" s="138">
        <f t="shared" si="32"/>
        <v>1</v>
      </c>
      <c r="Y208" s="138">
        <f t="shared" si="33"/>
        <v>3</v>
      </c>
      <c r="Z208" s="138">
        <f t="shared" si="34"/>
        <v>3</v>
      </c>
      <c r="AA208" s="138">
        <f t="shared" si="35"/>
        <v>1</v>
      </c>
      <c r="AB208" s="127" t="s">
        <v>32</v>
      </c>
      <c r="AC208" s="127"/>
      <c r="AD208" s="127"/>
      <c r="AE208" s="130"/>
      <c r="AF208" s="136">
        <v>9.16</v>
      </c>
      <c r="AG208" s="136">
        <v>11.33</v>
      </c>
      <c r="AH208" s="136">
        <v>37.9</v>
      </c>
      <c r="AI208" s="136">
        <v>5.99</v>
      </c>
      <c r="AJ208" s="136">
        <v>3.61</v>
      </c>
      <c r="AK208" s="136">
        <v>0.49</v>
      </c>
      <c r="AL208" s="136">
        <v>3.31</v>
      </c>
      <c r="AM208" s="136">
        <v>71.789999999999992</v>
      </c>
      <c r="AN208" s="131"/>
      <c r="AO208" s="131"/>
      <c r="AP208" s="131"/>
      <c r="AQ208" s="131"/>
      <c r="AR208" s="131"/>
      <c r="AS208" s="131"/>
      <c r="AT208" s="131"/>
      <c r="AU208" s="91"/>
      <c r="AV208" s="91"/>
      <c r="AW208" s="131"/>
      <c r="AX208" s="131"/>
      <c r="AY208" s="131"/>
    </row>
    <row r="209" spans="1:51" ht="15" x14ac:dyDescent="0.25">
      <c r="A209" s="123"/>
      <c r="B209" s="124"/>
      <c r="C209" s="125">
        <v>212429</v>
      </c>
      <c r="D209" s="89"/>
      <c r="E209" s="86" t="s">
        <v>21</v>
      </c>
      <c r="F209" s="86" t="s">
        <v>418</v>
      </c>
      <c r="H209" s="126" t="s">
        <v>51</v>
      </c>
      <c r="I209" s="89">
        <v>1</v>
      </c>
      <c r="J209" s="127">
        <v>34089.539900000003</v>
      </c>
      <c r="K209" s="127">
        <v>73034.16</v>
      </c>
      <c r="L209" s="127">
        <v>6826.79</v>
      </c>
      <c r="M209" s="127">
        <v>15241.539900000018</v>
      </c>
      <c r="N209" s="127">
        <v>63066.16</v>
      </c>
      <c r="O209" s="127">
        <v>6010.79</v>
      </c>
      <c r="P209" s="128">
        <f t="shared" si="27"/>
        <v>0.44710312737309832</v>
      </c>
      <c r="Q209" s="128">
        <f t="shared" si="28"/>
        <v>0.86351592186450832</v>
      </c>
      <c r="R209" s="128">
        <f t="shared" si="29"/>
        <v>0.8804709094611084</v>
      </c>
      <c r="S209" s="129">
        <v>1</v>
      </c>
      <c r="T209" s="129">
        <v>1</v>
      </c>
      <c r="U209" s="129">
        <v>1</v>
      </c>
      <c r="V209" s="138">
        <f t="shared" si="30"/>
        <v>3</v>
      </c>
      <c r="W209" s="138">
        <f t="shared" si="31"/>
        <v>3</v>
      </c>
      <c r="X209" s="138">
        <f t="shared" si="32"/>
        <v>1</v>
      </c>
      <c r="Y209" s="138">
        <f t="shared" si="33"/>
        <v>3</v>
      </c>
      <c r="Z209" s="138">
        <f t="shared" si="34"/>
        <v>3</v>
      </c>
      <c r="AA209" s="138">
        <f t="shared" si="35"/>
        <v>1</v>
      </c>
      <c r="AB209" s="127" t="s">
        <v>32</v>
      </c>
      <c r="AC209" s="127"/>
      <c r="AD209" s="127"/>
      <c r="AE209" s="130"/>
      <c r="AF209" s="136">
        <v>9.16</v>
      </c>
      <c r="AG209" s="136">
        <v>11.33</v>
      </c>
      <c r="AH209" s="136">
        <v>37.9</v>
      </c>
      <c r="AI209" s="136">
        <v>5.99</v>
      </c>
      <c r="AJ209" s="136">
        <v>3.61</v>
      </c>
      <c r="AK209" s="136">
        <v>0.49</v>
      </c>
      <c r="AL209" s="136">
        <v>3.31</v>
      </c>
      <c r="AM209" s="136">
        <v>71.789999999999992</v>
      </c>
      <c r="AN209" s="131"/>
      <c r="AO209" s="131"/>
      <c r="AP209" s="131"/>
      <c r="AQ209" s="131"/>
      <c r="AR209" s="131"/>
      <c r="AS209" s="131"/>
      <c r="AT209" s="131"/>
      <c r="AU209" s="91"/>
      <c r="AV209" s="91"/>
      <c r="AW209" s="131"/>
      <c r="AX209" s="131"/>
      <c r="AY209" s="131"/>
    </row>
    <row r="210" spans="1:51" ht="15" x14ac:dyDescent="0.25">
      <c r="A210" s="123"/>
      <c r="B210" s="124"/>
      <c r="C210" s="125">
        <v>241909</v>
      </c>
      <c r="D210" s="89"/>
      <c r="E210" s="86" t="s">
        <v>21</v>
      </c>
      <c r="F210" s="86" t="s">
        <v>418</v>
      </c>
      <c r="H210" s="126" t="s">
        <v>51</v>
      </c>
      <c r="I210" s="89">
        <v>1</v>
      </c>
      <c r="J210" s="127">
        <v>34089.539900000003</v>
      </c>
      <c r="K210" s="127">
        <v>73034.16</v>
      </c>
      <c r="L210" s="127">
        <v>6826.79</v>
      </c>
      <c r="M210" s="127">
        <v>15241.539900000018</v>
      </c>
      <c r="N210" s="127">
        <v>63066.16</v>
      </c>
      <c r="O210" s="127">
        <v>6010.79</v>
      </c>
      <c r="P210" s="128">
        <f t="shared" si="27"/>
        <v>0.44710312737309832</v>
      </c>
      <c r="Q210" s="128">
        <f t="shared" si="28"/>
        <v>0.86351592186450832</v>
      </c>
      <c r="R210" s="128">
        <f t="shared" si="29"/>
        <v>0.8804709094611084</v>
      </c>
      <c r="S210" s="129">
        <v>1</v>
      </c>
      <c r="T210" s="129">
        <v>1</v>
      </c>
      <c r="U210" s="129">
        <v>1</v>
      </c>
      <c r="V210" s="138">
        <f t="shared" si="30"/>
        <v>3</v>
      </c>
      <c r="W210" s="138">
        <f t="shared" si="31"/>
        <v>3</v>
      </c>
      <c r="X210" s="138">
        <f t="shared" si="32"/>
        <v>1</v>
      </c>
      <c r="Y210" s="138">
        <f t="shared" si="33"/>
        <v>3</v>
      </c>
      <c r="Z210" s="138">
        <f t="shared" si="34"/>
        <v>3</v>
      </c>
      <c r="AA210" s="138">
        <f t="shared" si="35"/>
        <v>1</v>
      </c>
      <c r="AB210" s="127" t="s">
        <v>32</v>
      </c>
      <c r="AC210" s="127"/>
      <c r="AD210" s="127"/>
      <c r="AE210" s="130"/>
      <c r="AF210" s="136">
        <v>9.16</v>
      </c>
      <c r="AG210" s="136">
        <v>11.33</v>
      </c>
      <c r="AH210" s="136">
        <v>37.9</v>
      </c>
      <c r="AI210" s="136">
        <v>5.99</v>
      </c>
      <c r="AJ210" s="136">
        <v>3.61</v>
      </c>
      <c r="AK210" s="136">
        <v>0.49</v>
      </c>
      <c r="AL210" s="136">
        <v>3.31</v>
      </c>
      <c r="AM210" s="136">
        <v>71.789999999999992</v>
      </c>
      <c r="AN210" s="131"/>
      <c r="AO210" s="131"/>
      <c r="AP210" s="131"/>
      <c r="AQ210" s="131"/>
      <c r="AR210" s="131"/>
      <c r="AS210" s="131"/>
      <c r="AT210" s="131"/>
      <c r="AU210" s="91"/>
      <c r="AV210" s="91"/>
      <c r="AW210" s="131"/>
      <c r="AX210" s="131"/>
      <c r="AY210" s="131"/>
    </row>
    <row r="211" spans="1:51" ht="15" x14ac:dyDescent="0.25">
      <c r="A211" s="123"/>
      <c r="B211" s="124"/>
      <c r="C211" s="125">
        <v>243813</v>
      </c>
      <c r="D211" s="89"/>
      <c r="E211" s="86" t="s">
        <v>21</v>
      </c>
      <c r="F211" s="86" t="s">
        <v>418</v>
      </c>
      <c r="H211" s="126" t="s">
        <v>51</v>
      </c>
      <c r="I211" s="89">
        <v>1</v>
      </c>
      <c r="J211" s="127">
        <v>34089.539900000003</v>
      </c>
      <c r="K211" s="127">
        <v>73034.16</v>
      </c>
      <c r="L211" s="127">
        <v>6826.79</v>
      </c>
      <c r="M211" s="127">
        <v>15241.539900000018</v>
      </c>
      <c r="N211" s="127">
        <v>63066.16</v>
      </c>
      <c r="O211" s="127">
        <v>6010.79</v>
      </c>
      <c r="P211" s="128">
        <f t="shared" si="27"/>
        <v>0.44710312737309832</v>
      </c>
      <c r="Q211" s="128">
        <f t="shared" si="28"/>
        <v>0.86351592186450832</v>
      </c>
      <c r="R211" s="128">
        <f t="shared" si="29"/>
        <v>0.8804709094611084</v>
      </c>
      <c r="S211" s="129">
        <v>1</v>
      </c>
      <c r="T211" s="129">
        <v>1</v>
      </c>
      <c r="U211" s="129">
        <v>1</v>
      </c>
      <c r="V211" s="138">
        <f t="shared" si="30"/>
        <v>3</v>
      </c>
      <c r="W211" s="138">
        <f t="shared" si="31"/>
        <v>3</v>
      </c>
      <c r="X211" s="138">
        <f t="shared" si="32"/>
        <v>1</v>
      </c>
      <c r="Y211" s="138">
        <f t="shared" si="33"/>
        <v>3</v>
      </c>
      <c r="Z211" s="138">
        <f t="shared" si="34"/>
        <v>3</v>
      </c>
      <c r="AA211" s="138">
        <f t="shared" si="35"/>
        <v>1</v>
      </c>
      <c r="AB211" s="127" t="s">
        <v>32</v>
      </c>
      <c r="AC211" s="127"/>
      <c r="AD211" s="127"/>
      <c r="AE211" s="130"/>
      <c r="AF211" s="136">
        <v>9.16</v>
      </c>
      <c r="AG211" s="136">
        <v>11.33</v>
      </c>
      <c r="AH211" s="136">
        <v>37.9</v>
      </c>
      <c r="AI211" s="136">
        <v>5.99</v>
      </c>
      <c r="AJ211" s="136">
        <v>3.61</v>
      </c>
      <c r="AK211" s="136">
        <v>0.49</v>
      </c>
      <c r="AL211" s="136">
        <v>3.31</v>
      </c>
      <c r="AM211" s="136">
        <v>71.789999999999992</v>
      </c>
      <c r="AN211" s="131"/>
      <c r="AO211" s="131"/>
      <c r="AP211" s="131"/>
      <c r="AQ211" s="131"/>
      <c r="AR211" s="131"/>
      <c r="AS211" s="131"/>
      <c r="AT211" s="131"/>
      <c r="AU211" s="91"/>
      <c r="AV211" s="91"/>
      <c r="AW211" s="131"/>
      <c r="AX211" s="131"/>
      <c r="AY211" s="131"/>
    </row>
    <row r="212" spans="1:51" ht="15" x14ac:dyDescent="0.25">
      <c r="A212" s="123"/>
      <c r="B212" s="124"/>
      <c r="C212" s="125">
        <v>281456</v>
      </c>
      <c r="D212" s="89"/>
      <c r="E212" s="86" t="s">
        <v>21</v>
      </c>
      <c r="F212" s="86" t="s">
        <v>418</v>
      </c>
      <c r="H212" s="126" t="s">
        <v>51</v>
      </c>
      <c r="I212" s="89">
        <v>1</v>
      </c>
      <c r="J212" s="127">
        <v>34089.539900000003</v>
      </c>
      <c r="K212" s="127">
        <v>73034.16</v>
      </c>
      <c r="L212" s="127">
        <v>6826.79</v>
      </c>
      <c r="M212" s="127">
        <v>15241.539900000018</v>
      </c>
      <c r="N212" s="127">
        <v>63066.16</v>
      </c>
      <c r="O212" s="127">
        <v>6010.79</v>
      </c>
      <c r="P212" s="128">
        <f t="shared" si="27"/>
        <v>0.44710312737309832</v>
      </c>
      <c r="Q212" s="128">
        <f t="shared" si="28"/>
        <v>0.86351592186450832</v>
      </c>
      <c r="R212" s="128">
        <f t="shared" si="29"/>
        <v>0.8804709094611084</v>
      </c>
      <c r="S212" s="129">
        <v>1</v>
      </c>
      <c r="T212" s="129">
        <v>1</v>
      </c>
      <c r="U212" s="129">
        <v>1</v>
      </c>
      <c r="V212" s="138">
        <f t="shared" si="30"/>
        <v>3</v>
      </c>
      <c r="W212" s="138">
        <f t="shared" si="31"/>
        <v>3</v>
      </c>
      <c r="X212" s="138">
        <f t="shared" si="32"/>
        <v>1</v>
      </c>
      <c r="Y212" s="138">
        <f t="shared" si="33"/>
        <v>3</v>
      </c>
      <c r="Z212" s="138">
        <f t="shared" si="34"/>
        <v>3</v>
      </c>
      <c r="AA212" s="138">
        <f t="shared" si="35"/>
        <v>1</v>
      </c>
      <c r="AB212" s="127" t="s">
        <v>32</v>
      </c>
      <c r="AC212" s="127"/>
      <c r="AD212" s="127"/>
      <c r="AE212" s="130"/>
      <c r="AF212" s="136">
        <v>9.16</v>
      </c>
      <c r="AG212" s="136">
        <v>11.33</v>
      </c>
      <c r="AH212" s="136">
        <v>37.9</v>
      </c>
      <c r="AI212" s="136">
        <v>5.99</v>
      </c>
      <c r="AJ212" s="136">
        <v>3.61</v>
      </c>
      <c r="AK212" s="136">
        <v>0.49</v>
      </c>
      <c r="AL212" s="136">
        <v>3.31</v>
      </c>
      <c r="AM212" s="136">
        <v>71.789999999999992</v>
      </c>
      <c r="AN212" s="131"/>
      <c r="AO212" s="131"/>
      <c r="AP212" s="131"/>
      <c r="AQ212" s="131"/>
      <c r="AR212" s="131"/>
      <c r="AS212" s="131"/>
      <c r="AT212" s="131"/>
      <c r="AU212" s="91"/>
      <c r="AV212" s="91"/>
      <c r="AW212" s="131"/>
      <c r="AX212" s="131"/>
      <c r="AY212" s="131"/>
    </row>
    <row r="213" spans="1:51" ht="15" x14ac:dyDescent="0.25">
      <c r="A213" s="123"/>
      <c r="B213" s="124"/>
      <c r="C213" s="125">
        <v>310629</v>
      </c>
      <c r="D213" s="89"/>
      <c r="E213" s="86" t="s">
        <v>21</v>
      </c>
      <c r="F213" s="86" t="s">
        <v>418</v>
      </c>
      <c r="H213" s="126" t="s">
        <v>51</v>
      </c>
      <c r="I213" s="89">
        <v>1</v>
      </c>
      <c r="J213" s="127">
        <v>34089.539900000003</v>
      </c>
      <c r="K213" s="127">
        <v>73034.16</v>
      </c>
      <c r="L213" s="127">
        <v>6826.79</v>
      </c>
      <c r="M213" s="127">
        <v>15241.539900000018</v>
      </c>
      <c r="N213" s="127">
        <v>63066.16</v>
      </c>
      <c r="O213" s="127">
        <v>6010.79</v>
      </c>
      <c r="P213" s="128">
        <f t="shared" si="27"/>
        <v>0.44710312737309832</v>
      </c>
      <c r="Q213" s="128">
        <f t="shared" si="28"/>
        <v>0.86351592186450832</v>
      </c>
      <c r="R213" s="128">
        <f t="shared" si="29"/>
        <v>0.8804709094611084</v>
      </c>
      <c r="S213" s="129">
        <v>1</v>
      </c>
      <c r="T213" s="129">
        <v>1</v>
      </c>
      <c r="U213" s="129">
        <v>1</v>
      </c>
      <c r="V213" s="138">
        <f t="shared" si="30"/>
        <v>3</v>
      </c>
      <c r="W213" s="138">
        <f t="shared" si="31"/>
        <v>3</v>
      </c>
      <c r="X213" s="138">
        <f t="shared" si="32"/>
        <v>1</v>
      </c>
      <c r="Y213" s="138">
        <f t="shared" si="33"/>
        <v>3</v>
      </c>
      <c r="Z213" s="138">
        <f t="shared" si="34"/>
        <v>3</v>
      </c>
      <c r="AA213" s="138">
        <f t="shared" si="35"/>
        <v>1</v>
      </c>
      <c r="AB213" s="127" t="s">
        <v>32</v>
      </c>
      <c r="AC213" s="127"/>
      <c r="AD213" s="127"/>
      <c r="AE213" s="130"/>
      <c r="AF213" s="136">
        <v>9.16</v>
      </c>
      <c r="AG213" s="136">
        <v>11.33</v>
      </c>
      <c r="AH213" s="136">
        <v>37.9</v>
      </c>
      <c r="AI213" s="136">
        <v>5.99</v>
      </c>
      <c r="AJ213" s="136">
        <v>3.61</v>
      </c>
      <c r="AK213" s="136">
        <v>0.49</v>
      </c>
      <c r="AL213" s="136">
        <v>3.31</v>
      </c>
      <c r="AM213" s="136">
        <v>71.789999999999992</v>
      </c>
      <c r="AN213" s="131"/>
      <c r="AO213" s="131"/>
      <c r="AP213" s="131"/>
      <c r="AQ213" s="131"/>
      <c r="AR213" s="131"/>
      <c r="AS213" s="131"/>
      <c r="AT213" s="131"/>
      <c r="AU213" s="91"/>
      <c r="AV213" s="91"/>
      <c r="AW213" s="131"/>
      <c r="AX213" s="131"/>
      <c r="AY213" s="131"/>
    </row>
    <row r="214" spans="1:51" ht="15" x14ac:dyDescent="0.25">
      <c r="A214" s="123"/>
      <c r="B214" s="124"/>
      <c r="C214" s="125">
        <v>354940</v>
      </c>
      <c r="D214" s="89"/>
      <c r="E214" s="86" t="s">
        <v>21</v>
      </c>
      <c r="F214" s="86" t="s">
        <v>418</v>
      </c>
      <c r="H214" s="126" t="s">
        <v>51</v>
      </c>
      <c r="I214" s="89">
        <v>1</v>
      </c>
      <c r="J214" s="127">
        <v>34089.539900000003</v>
      </c>
      <c r="K214" s="127">
        <v>73034.16</v>
      </c>
      <c r="L214" s="127">
        <v>6826.79</v>
      </c>
      <c r="M214" s="127">
        <v>15241.539900000018</v>
      </c>
      <c r="N214" s="127">
        <v>63066.16</v>
      </c>
      <c r="O214" s="127">
        <v>6010.79</v>
      </c>
      <c r="P214" s="128">
        <f t="shared" si="27"/>
        <v>0.44710312737309832</v>
      </c>
      <c r="Q214" s="128">
        <f t="shared" si="28"/>
        <v>0.86351592186450832</v>
      </c>
      <c r="R214" s="128">
        <f t="shared" si="29"/>
        <v>0.8804709094611084</v>
      </c>
      <c r="S214" s="129">
        <v>1</v>
      </c>
      <c r="T214" s="129">
        <v>1</v>
      </c>
      <c r="U214" s="129">
        <v>1</v>
      </c>
      <c r="V214" s="138">
        <f t="shared" si="30"/>
        <v>3</v>
      </c>
      <c r="W214" s="138">
        <f t="shared" si="31"/>
        <v>3</v>
      </c>
      <c r="X214" s="138">
        <f t="shared" si="32"/>
        <v>1</v>
      </c>
      <c r="Y214" s="138">
        <f t="shared" si="33"/>
        <v>3</v>
      </c>
      <c r="Z214" s="138">
        <f t="shared" si="34"/>
        <v>3</v>
      </c>
      <c r="AA214" s="138">
        <f t="shared" si="35"/>
        <v>1</v>
      </c>
      <c r="AB214" s="127" t="s">
        <v>32</v>
      </c>
      <c r="AC214" s="127"/>
      <c r="AD214" s="127"/>
      <c r="AE214" s="130"/>
      <c r="AF214" s="136">
        <v>9.16</v>
      </c>
      <c r="AG214" s="136">
        <v>11.33</v>
      </c>
      <c r="AH214" s="136">
        <v>37.9</v>
      </c>
      <c r="AI214" s="136">
        <v>5.99</v>
      </c>
      <c r="AJ214" s="136">
        <v>3.61</v>
      </c>
      <c r="AK214" s="136">
        <v>0.49</v>
      </c>
      <c r="AL214" s="136">
        <v>3.31</v>
      </c>
      <c r="AM214" s="136">
        <v>71.789999999999992</v>
      </c>
      <c r="AN214" s="131"/>
      <c r="AO214" s="131"/>
      <c r="AP214" s="131"/>
      <c r="AQ214" s="131"/>
      <c r="AR214" s="131"/>
      <c r="AS214" s="131"/>
      <c r="AT214" s="131"/>
      <c r="AU214" s="91"/>
      <c r="AV214" s="91"/>
      <c r="AW214" s="131"/>
      <c r="AX214" s="131"/>
      <c r="AY214" s="131"/>
    </row>
    <row r="215" spans="1:51" ht="15" x14ac:dyDescent="0.25">
      <c r="A215" s="123"/>
      <c r="B215" s="124"/>
      <c r="C215" s="125">
        <v>366210</v>
      </c>
      <c r="D215" s="89"/>
      <c r="E215" s="86" t="s">
        <v>21</v>
      </c>
      <c r="F215" s="86" t="s">
        <v>418</v>
      </c>
      <c r="H215" s="126" t="s">
        <v>51</v>
      </c>
      <c r="I215" s="89">
        <v>1</v>
      </c>
      <c r="J215" s="127">
        <v>34089.539900000003</v>
      </c>
      <c r="K215" s="127">
        <v>73034.16</v>
      </c>
      <c r="L215" s="127">
        <v>6826.79</v>
      </c>
      <c r="M215" s="127">
        <v>15241.539900000018</v>
      </c>
      <c r="N215" s="127">
        <v>63066.16</v>
      </c>
      <c r="O215" s="127">
        <v>6010.79</v>
      </c>
      <c r="P215" s="128">
        <f t="shared" si="27"/>
        <v>0.44710312737309832</v>
      </c>
      <c r="Q215" s="128">
        <f t="shared" si="28"/>
        <v>0.86351592186450832</v>
      </c>
      <c r="R215" s="128">
        <f t="shared" si="29"/>
        <v>0.8804709094611084</v>
      </c>
      <c r="S215" s="129">
        <v>1</v>
      </c>
      <c r="T215" s="129">
        <v>1</v>
      </c>
      <c r="U215" s="129">
        <v>1</v>
      </c>
      <c r="V215" s="138">
        <f t="shared" si="30"/>
        <v>3</v>
      </c>
      <c r="W215" s="138">
        <f t="shared" si="31"/>
        <v>3</v>
      </c>
      <c r="X215" s="138">
        <f t="shared" si="32"/>
        <v>1</v>
      </c>
      <c r="Y215" s="138">
        <f t="shared" si="33"/>
        <v>3</v>
      </c>
      <c r="Z215" s="138">
        <f t="shared" si="34"/>
        <v>3</v>
      </c>
      <c r="AA215" s="138">
        <f t="shared" si="35"/>
        <v>1</v>
      </c>
      <c r="AB215" s="127" t="s">
        <v>32</v>
      </c>
      <c r="AC215" s="127"/>
      <c r="AD215" s="127"/>
      <c r="AE215" s="130"/>
      <c r="AF215" s="136">
        <v>9.16</v>
      </c>
      <c r="AG215" s="136">
        <v>11.33</v>
      </c>
      <c r="AH215" s="136">
        <v>37.9</v>
      </c>
      <c r="AI215" s="136">
        <v>5.99</v>
      </c>
      <c r="AJ215" s="136">
        <v>3.61</v>
      </c>
      <c r="AK215" s="136">
        <v>0.49</v>
      </c>
      <c r="AL215" s="136">
        <v>3.31</v>
      </c>
      <c r="AM215" s="136">
        <v>71.789999999999992</v>
      </c>
      <c r="AN215" s="131"/>
      <c r="AO215" s="131"/>
      <c r="AP215" s="131"/>
      <c r="AQ215" s="131"/>
      <c r="AR215" s="131"/>
      <c r="AS215" s="131"/>
      <c r="AT215" s="131"/>
      <c r="AU215" s="91"/>
      <c r="AV215" s="91"/>
      <c r="AW215" s="131"/>
      <c r="AX215" s="131"/>
      <c r="AY215" s="131"/>
    </row>
    <row r="216" spans="1:51" ht="15" x14ac:dyDescent="0.25">
      <c r="A216" s="123"/>
      <c r="B216" s="124"/>
      <c r="C216" s="125">
        <v>400642</v>
      </c>
      <c r="D216" s="89"/>
      <c r="E216" s="86" t="s">
        <v>21</v>
      </c>
      <c r="F216" s="86" t="s">
        <v>418</v>
      </c>
      <c r="H216" s="126" t="s">
        <v>51</v>
      </c>
      <c r="I216" s="89">
        <v>1</v>
      </c>
      <c r="J216" s="127">
        <v>34089.539900000003</v>
      </c>
      <c r="K216" s="127">
        <v>73034.16</v>
      </c>
      <c r="L216" s="127">
        <v>6826.79</v>
      </c>
      <c r="M216" s="127">
        <v>15241.539900000018</v>
      </c>
      <c r="N216" s="127">
        <v>63066.16</v>
      </c>
      <c r="O216" s="127">
        <v>6010.79</v>
      </c>
      <c r="P216" s="128">
        <f t="shared" si="27"/>
        <v>0.44710312737309832</v>
      </c>
      <c r="Q216" s="128">
        <f t="shared" si="28"/>
        <v>0.86351592186450832</v>
      </c>
      <c r="R216" s="128">
        <f t="shared" si="29"/>
        <v>0.8804709094611084</v>
      </c>
      <c r="S216" s="129">
        <v>1</v>
      </c>
      <c r="T216" s="129">
        <v>1</v>
      </c>
      <c r="U216" s="129">
        <v>1</v>
      </c>
      <c r="V216" s="138">
        <f t="shared" si="30"/>
        <v>3</v>
      </c>
      <c r="W216" s="138">
        <f t="shared" si="31"/>
        <v>3</v>
      </c>
      <c r="X216" s="138">
        <f t="shared" si="32"/>
        <v>1</v>
      </c>
      <c r="Y216" s="138">
        <f t="shared" si="33"/>
        <v>3</v>
      </c>
      <c r="Z216" s="138">
        <f t="shared" si="34"/>
        <v>3</v>
      </c>
      <c r="AA216" s="138">
        <f t="shared" si="35"/>
        <v>1</v>
      </c>
      <c r="AB216" s="127" t="s">
        <v>32</v>
      </c>
      <c r="AC216" s="127"/>
      <c r="AD216" s="127"/>
      <c r="AE216" s="130"/>
      <c r="AF216" s="136">
        <v>9.16</v>
      </c>
      <c r="AG216" s="136">
        <v>11.33</v>
      </c>
      <c r="AH216" s="136">
        <v>37.9</v>
      </c>
      <c r="AI216" s="136">
        <v>5.99</v>
      </c>
      <c r="AJ216" s="136">
        <v>3.61</v>
      </c>
      <c r="AK216" s="136">
        <v>0.49</v>
      </c>
      <c r="AL216" s="136">
        <v>3.31</v>
      </c>
      <c r="AM216" s="136">
        <v>71.789999999999992</v>
      </c>
      <c r="AN216" s="131"/>
      <c r="AO216" s="131"/>
      <c r="AP216" s="131"/>
      <c r="AQ216" s="131"/>
      <c r="AR216" s="131"/>
      <c r="AS216" s="131"/>
      <c r="AT216" s="131"/>
      <c r="AU216" s="91"/>
      <c r="AV216" s="91"/>
      <c r="AW216" s="131"/>
      <c r="AX216" s="131"/>
      <c r="AY216" s="131"/>
    </row>
    <row r="217" spans="1:51" ht="15" x14ac:dyDescent="0.25">
      <c r="A217" s="123"/>
      <c r="B217" s="124"/>
      <c r="C217" s="125">
        <v>485334</v>
      </c>
      <c r="D217" s="89"/>
      <c r="E217" s="86" t="s">
        <v>21</v>
      </c>
      <c r="F217" s="86" t="s">
        <v>418</v>
      </c>
      <c r="H217" s="126" t="s">
        <v>51</v>
      </c>
      <c r="I217" s="89">
        <v>1</v>
      </c>
      <c r="J217" s="127">
        <v>34089.539900000003</v>
      </c>
      <c r="K217" s="127">
        <v>73034.16</v>
      </c>
      <c r="L217" s="127">
        <v>6826.79</v>
      </c>
      <c r="M217" s="127">
        <v>15241.539900000018</v>
      </c>
      <c r="N217" s="127">
        <v>63066.16</v>
      </c>
      <c r="O217" s="127">
        <v>6010.79</v>
      </c>
      <c r="P217" s="128">
        <f t="shared" si="27"/>
        <v>0.44710312737309832</v>
      </c>
      <c r="Q217" s="128">
        <f t="shared" si="28"/>
        <v>0.86351592186450832</v>
      </c>
      <c r="R217" s="128">
        <f t="shared" si="29"/>
        <v>0.8804709094611084</v>
      </c>
      <c r="S217" s="129">
        <v>1</v>
      </c>
      <c r="T217" s="129">
        <v>1</v>
      </c>
      <c r="U217" s="129">
        <v>1</v>
      </c>
      <c r="V217" s="138">
        <f t="shared" si="30"/>
        <v>3</v>
      </c>
      <c r="W217" s="138">
        <f t="shared" si="31"/>
        <v>3</v>
      </c>
      <c r="X217" s="138">
        <f t="shared" si="32"/>
        <v>1</v>
      </c>
      <c r="Y217" s="138">
        <f t="shared" si="33"/>
        <v>3</v>
      </c>
      <c r="Z217" s="138">
        <f t="shared" si="34"/>
        <v>3</v>
      </c>
      <c r="AA217" s="138">
        <f t="shared" si="35"/>
        <v>1</v>
      </c>
      <c r="AB217" s="127" t="s">
        <v>32</v>
      </c>
      <c r="AC217" s="127"/>
      <c r="AD217" s="127"/>
      <c r="AE217" s="130"/>
      <c r="AF217" s="136">
        <v>9.16</v>
      </c>
      <c r="AG217" s="136">
        <v>11.33</v>
      </c>
      <c r="AH217" s="136">
        <v>37.9</v>
      </c>
      <c r="AI217" s="136">
        <v>5.99</v>
      </c>
      <c r="AJ217" s="136">
        <v>3.61</v>
      </c>
      <c r="AK217" s="136">
        <v>0.49</v>
      </c>
      <c r="AL217" s="136">
        <v>3.31</v>
      </c>
      <c r="AM217" s="136">
        <v>71.789999999999992</v>
      </c>
      <c r="AN217" s="131"/>
      <c r="AO217" s="131"/>
      <c r="AP217" s="131"/>
      <c r="AQ217" s="131"/>
      <c r="AR217" s="131"/>
      <c r="AS217" s="131"/>
      <c r="AT217" s="131"/>
      <c r="AU217" s="91"/>
      <c r="AV217" s="91"/>
      <c r="AW217" s="131"/>
      <c r="AX217" s="131"/>
      <c r="AY217" s="131"/>
    </row>
    <row r="218" spans="1:51" ht="15" x14ac:dyDescent="0.25">
      <c r="A218" s="123"/>
      <c r="B218" s="124"/>
      <c r="C218" s="125">
        <v>486981</v>
      </c>
      <c r="D218" s="89"/>
      <c r="E218" s="86" t="s">
        <v>21</v>
      </c>
      <c r="F218" s="86" t="s">
        <v>418</v>
      </c>
      <c r="H218" s="126" t="s">
        <v>51</v>
      </c>
      <c r="I218" s="89">
        <v>1</v>
      </c>
      <c r="J218" s="127">
        <v>34089.539900000003</v>
      </c>
      <c r="K218" s="127">
        <v>73034.16</v>
      </c>
      <c r="L218" s="127">
        <v>6826.79</v>
      </c>
      <c r="M218" s="127">
        <v>15241.539900000018</v>
      </c>
      <c r="N218" s="127">
        <v>63066.16</v>
      </c>
      <c r="O218" s="127">
        <v>6010.79</v>
      </c>
      <c r="P218" s="128">
        <f t="shared" si="27"/>
        <v>0.44710312737309832</v>
      </c>
      <c r="Q218" s="128">
        <f t="shared" si="28"/>
        <v>0.86351592186450832</v>
      </c>
      <c r="R218" s="128">
        <f t="shared" si="29"/>
        <v>0.8804709094611084</v>
      </c>
      <c r="S218" s="129">
        <v>1</v>
      </c>
      <c r="T218" s="129">
        <v>1</v>
      </c>
      <c r="U218" s="129">
        <v>1</v>
      </c>
      <c r="V218" s="138">
        <f t="shared" si="30"/>
        <v>3</v>
      </c>
      <c r="W218" s="138">
        <f t="shared" si="31"/>
        <v>3</v>
      </c>
      <c r="X218" s="138">
        <f t="shared" si="32"/>
        <v>1</v>
      </c>
      <c r="Y218" s="138">
        <f t="shared" si="33"/>
        <v>3</v>
      </c>
      <c r="Z218" s="138">
        <f t="shared" si="34"/>
        <v>3</v>
      </c>
      <c r="AA218" s="138">
        <f t="shared" si="35"/>
        <v>1</v>
      </c>
      <c r="AB218" s="127" t="s">
        <v>32</v>
      </c>
      <c r="AC218" s="127"/>
      <c r="AD218" s="127"/>
      <c r="AE218" s="130"/>
      <c r="AF218" s="136">
        <v>9.16</v>
      </c>
      <c r="AG218" s="136">
        <v>11.33</v>
      </c>
      <c r="AH218" s="136">
        <v>37.9</v>
      </c>
      <c r="AI218" s="136">
        <v>5.99</v>
      </c>
      <c r="AJ218" s="136">
        <v>3.61</v>
      </c>
      <c r="AK218" s="136">
        <v>0.49</v>
      </c>
      <c r="AL218" s="136">
        <v>3.31</v>
      </c>
      <c r="AM218" s="136">
        <v>71.789999999999992</v>
      </c>
      <c r="AN218" s="131"/>
      <c r="AO218" s="131"/>
      <c r="AP218" s="131"/>
      <c r="AQ218" s="131"/>
      <c r="AR218" s="131"/>
      <c r="AS218" s="131"/>
      <c r="AT218" s="131"/>
      <c r="AU218" s="91"/>
      <c r="AV218" s="91"/>
      <c r="AW218" s="131"/>
      <c r="AX218" s="131"/>
      <c r="AY218" s="131"/>
    </row>
    <row r="219" spans="1:51" ht="15" x14ac:dyDescent="0.25">
      <c r="A219" s="123"/>
      <c r="B219" s="124"/>
      <c r="C219" s="125">
        <v>528864</v>
      </c>
      <c r="D219" s="89"/>
      <c r="E219" s="86" t="s">
        <v>21</v>
      </c>
      <c r="F219" s="86" t="s">
        <v>418</v>
      </c>
      <c r="H219" s="126" t="s">
        <v>51</v>
      </c>
      <c r="I219" s="89">
        <v>1</v>
      </c>
      <c r="J219" s="127">
        <v>34089.539900000003</v>
      </c>
      <c r="K219" s="127">
        <v>73034.16</v>
      </c>
      <c r="L219" s="127">
        <v>6826.79</v>
      </c>
      <c r="M219" s="127">
        <v>15241.539900000018</v>
      </c>
      <c r="N219" s="127">
        <v>63066.16</v>
      </c>
      <c r="O219" s="127">
        <v>6010.79</v>
      </c>
      <c r="P219" s="128">
        <f t="shared" si="27"/>
        <v>0.44710312737309832</v>
      </c>
      <c r="Q219" s="128">
        <f t="shared" si="28"/>
        <v>0.86351592186450832</v>
      </c>
      <c r="R219" s="128">
        <f t="shared" si="29"/>
        <v>0.8804709094611084</v>
      </c>
      <c r="S219" s="129">
        <v>1</v>
      </c>
      <c r="T219" s="129">
        <v>1</v>
      </c>
      <c r="U219" s="129">
        <v>1</v>
      </c>
      <c r="V219" s="138">
        <f t="shared" si="30"/>
        <v>3</v>
      </c>
      <c r="W219" s="138">
        <f t="shared" si="31"/>
        <v>3</v>
      </c>
      <c r="X219" s="138">
        <f t="shared" si="32"/>
        <v>1</v>
      </c>
      <c r="Y219" s="138">
        <f t="shared" si="33"/>
        <v>3</v>
      </c>
      <c r="Z219" s="138">
        <f t="shared" si="34"/>
        <v>3</v>
      </c>
      <c r="AA219" s="138">
        <f t="shared" si="35"/>
        <v>1</v>
      </c>
      <c r="AB219" s="127" t="s">
        <v>32</v>
      </c>
      <c r="AC219" s="127"/>
      <c r="AD219" s="127"/>
      <c r="AE219" s="130"/>
      <c r="AF219" s="136">
        <v>9.16</v>
      </c>
      <c r="AG219" s="136">
        <v>11.33</v>
      </c>
      <c r="AH219" s="136">
        <v>37.9</v>
      </c>
      <c r="AI219" s="136">
        <v>5.99</v>
      </c>
      <c r="AJ219" s="136">
        <v>3.61</v>
      </c>
      <c r="AK219" s="136">
        <v>0.49</v>
      </c>
      <c r="AL219" s="136">
        <v>3.31</v>
      </c>
      <c r="AM219" s="136">
        <v>71.789999999999992</v>
      </c>
      <c r="AN219" s="131"/>
      <c r="AO219" s="131"/>
      <c r="AP219" s="131"/>
      <c r="AQ219" s="131"/>
      <c r="AR219" s="131"/>
      <c r="AS219" s="131"/>
      <c r="AT219" s="131"/>
      <c r="AU219" s="91"/>
      <c r="AV219" s="91"/>
      <c r="AW219" s="131"/>
      <c r="AX219" s="131"/>
      <c r="AY219" s="131"/>
    </row>
    <row r="220" spans="1:51" ht="15" x14ac:dyDescent="0.25">
      <c r="A220" s="123"/>
      <c r="B220" s="124"/>
      <c r="C220" s="125">
        <v>550831</v>
      </c>
      <c r="D220" s="89"/>
      <c r="E220" s="86" t="s">
        <v>21</v>
      </c>
      <c r="F220" s="86" t="s">
        <v>418</v>
      </c>
      <c r="H220" s="126" t="s">
        <v>51</v>
      </c>
      <c r="I220" s="89">
        <v>1</v>
      </c>
      <c r="J220" s="127">
        <v>34089.539900000003</v>
      </c>
      <c r="K220" s="127">
        <v>73034.16</v>
      </c>
      <c r="L220" s="127">
        <v>6826.79</v>
      </c>
      <c r="M220" s="127">
        <v>15241.539900000018</v>
      </c>
      <c r="N220" s="127">
        <v>63066.16</v>
      </c>
      <c r="O220" s="127">
        <v>6010.79</v>
      </c>
      <c r="P220" s="128">
        <f t="shared" si="27"/>
        <v>0.44710312737309832</v>
      </c>
      <c r="Q220" s="128">
        <f t="shared" si="28"/>
        <v>0.86351592186450832</v>
      </c>
      <c r="R220" s="128">
        <f t="shared" si="29"/>
        <v>0.8804709094611084</v>
      </c>
      <c r="S220" s="129">
        <v>1</v>
      </c>
      <c r="T220" s="129">
        <v>1</v>
      </c>
      <c r="U220" s="129">
        <v>1</v>
      </c>
      <c r="V220" s="138">
        <f t="shared" si="30"/>
        <v>3</v>
      </c>
      <c r="W220" s="138">
        <f t="shared" si="31"/>
        <v>3</v>
      </c>
      <c r="X220" s="138">
        <f t="shared" si="32"/>
        <v>1</v>
      </c>
      <c r="Y220" s="138">
        <f t="shared" si="33"/>
        <v>3</v>
      </c>
      <c r="Z220" s="138">
        <f t="shared" si="34"/>
        <v>3</v>
      </c>
      <c r="AA220" s="138">
        <f t="shared" si="35"/>
        <v>1</v>
      </c>
      <c r="AB220" s="127" t="s">
        <v>32</v>
      </c>
      <c r="AC220" s="127"/>
      <c r="AD220" s="127"/>
      <c r="AE220" s="130"/>
      <c r="AF220" s="136">
        <v>9.16</v>
      </c>
      <c r="AG220" s="136">
        <v>11.33</v>
      </c>
      <c r="AH220" s="136">
        <v>37.9</v>
      </c>
      <c r="AI220" s="136">
        <v>5.99</v>
      </c>
      <c r="AJ220" s="136">
        <v>3.61</v>
      </c>
      <c r="AK220" s="136">
        <v>0.49</v>
      </c>
      <c r="AL220" s="136">
        <v>3.31</v>
      </c>
      <c r="AM220" s="136">
        <v>71.789999999999992</v>
      </c>
      <c r="AN220" s="131"/>
      <c r="AO220" s="131"/>
      <c r="AP220" s="131"/>
      <c r="AQ220" s="131"/>
      <c r="AR220" s="131"/>
      <c r="AS220" s="131"/>
      <c r="AT220" s="131"/>
      <c r="AU220" s="91"/>
      <c r="AV220" s="91"/>
      <c r="AW220" s="131"/>
      <c r="AX220" s="131"/>
      <c r="AY220" s="131"/>
    </row>
    <row r="221" spans="1:51" ht="15" x14ac:dyDescent="0.25">
      <c r="A221" s="123"/>
      <c r="B221" s="124"/>
      <c r="C221" s="125">
        <v>581030</v>
      </c>
      <c r="D221" s="89"/>
      <c r="E221" s="86" t="s">
        <v>21</v>
      </c>
      <c r="F221" s="86" t="s">
        <v>418</v>
      </c>
      <c r="H221" s="126" t="s">
        <v>51</v>
      </c>
      <c r="I221" s="89">
        <v>1</v>
      </c>
      <c r="J221" s="127">
        <v>34089.539900000003</v>
      </c>
      <c r="K221" s="127">
        <v>73034.16</v>
      </c>
      <c r="L221" s="127">
        <v>6826.79</v>
      </c>
      <c r="M221" s="127">
        <v>15241.539900000018</v>
      </c>
      <c r="N221" s="127">
        <v>63066.16</v>
      </c>
      <c r="O221" s="127">
        <v>6010.79</v>
      </c>
      <c r="P221" s="128">
        <f t="shared" si="27"/>
        <v>0.44710312737309832</v>
      </c>
      <c r="Q221" s="128">
        <f t="shared" si="28"/>
        <v>0.86351592186450832</v>
      </c>
      <c r="R221" s="128">
        <f t="shared" si="29"/>
        <v>0.8804709094611084</v>
      </c>
      <c r="S221" s="129">
        <v>1</v>
      </c>
      <c r="T221" s="129">
        <v>1</v>
      </c>
      <c r="U221" s="129">
        <v>1</v>
      </c>
      <c r="V221" s="138">
        <f t="shared" si="30"/>
        <v>3</v>
      </c>
      <c r="W221" s="138">
        <f t="shared" si="31"/>
        <v>3</v>
      </c>
      <c r="X221" s="138">
        <f t="shared" si="32"/>
        <v>1</v>
      </c>
      <c r="Y221" s="138">
        <f t="shared" si="33"/>
        <v>3</v>
      </c>
      <c r="Z221" s="138">
        <f t="shared" si="34"/>
        <v>3</v>
      </c>
      <c r="AA221" s="138">
        <f t="shared" si="35"/>
        <v>1</v>
      </c>
      <c r="AB221" s="127" t="s">
        <v>32</v>
      </c>
      <c r="AC221" s="127"/>
      <c r="AD221" s="127"/>
      <c r="AE221" s="130"/>
      <c r="AF221" s="136">
        <v>9.16</v>
      </c>
      <c r="AG221" s="136">
        <v>11.33</v>
      </c>
      <c r="AH221" s="136">
        <v>37.9</v>
      </c>
      <c r="AI221" s="136">
        <v>5.99</v>
      </c>
      <c r="AJ221" s="136">
        <v>3.61</v>
      </c>
      <c r="AK221" s="136">
        <v>0.49</v>
      </c>
      <c r="AL221" s="136">
        <v>3.31</v>
      </c>
      <c r="AM221" s="136">
        <v>71.789999999999992</v>
      </c>
      <c r="AN221" s="131"/>
      <c r="AO221" s="131"/>
      <c r="AP221" s="131"/>
      <c r="AQ221" s="131"/>
      <c r="AR221" s="131"/>
      <c r="AS221" s="131"/>
      <c r="AT221" s="131"/>
      <c r="AU221" s="91"/>
      <c r="AV221" s="91"/>
      <c r="AW221" s="131"/>
      <c r="AX221" s="131"/>
      <c r="AY221" s="131"/>
    </row>
    <row r="222" spans="1:51" ht="15" x14ac:dyDescent="0.25">
      <c r="A222" s="123"/>
      <c r="B222" s="124"/>
      <c r="C222" s="125">
        <v>598818</v>
      </c>
      <c r="D222" s="89"/>
      <c r="E222" s="86" t="s">
        <v>21</v>
      </c>
      <c r="F222" s="86" t="s">
        <v>418</v>
      </c>
      <c r="H222" s="126" t="s">
        <v>51</v>
      </c>
      <c r="I222" s="89">
        <v>1</v>
      </c>
      <c r="J222" s="127">
        <v>34089.539900000003</v>
      </c>
      <c r="K222" s="127">
        <v>73034.16</v>
      </c>
      <c r="L222" s="127">
        <v>6826.79</v>
      </c>
      <c r="M222" s="127">
        <v>15241.539900000018</v>
      </c>
      <c r="N222" s="127">
        <v>63066.16</v>
      </c>
      <c r="O222" s="127">
        <v>6010.79</v>
      </c>
      <c r="P222" s="128">
        <f t="shared" si="27"/>
        <v>0.44710312737309832</v>
      </c>
      <c r="Q222" s="128">
        <f t="shared" si="28"/>
        <v>0.86351592186450832</v>
      </c>
      <c r="R222" s="128">
        <f t="shared" si="29"/>
        <v>0.8804709094611084</v>
      </c>
      <c r="S222" s="129">
        <v>1</v>
      </c>
      <c r="T222" s="129">
        <v>1</v>
      </c>
      <c r="U222" s="129">
        <v>1</v>
      </c>
      <c r="V222" s="138">
        <f t="shared" si="30"/>
        <v>3</v>
      </c>
      <c r="W222" s="138">
        <f t="shared" si="31"/>
        <v>3</v>
      </c>
      <c r="X222" s="138">
        <f t="shared" si="32"/>
        <v>1</v>
      </c>
      <c r="Y222" s="138">
        <f t="shared" si="33"/>
        <v>3</v>
      </c>
      <c r="Z222" s="138">
        <f t="shared" si="34"/>
        <v>3</v>
      </c>
      <c r="AA222" s="138">
        <f t="shared" si="35"/>
        <v>1</v>
      </c>
      <c r="AB222" s="127" t="s">
        <v>32</v>
      </c>
      <c r="AC222" s="127"/>
      <c r="AD222" s="127"/>
      <c r="AE222" s="130"/>
      <c r="AF222" s="136">
        <v>9.16</v>
      </c>
      <c r="AG222" s="136">
        <v>11.33</v>
      </c>
      <c r="AH222" s="136">
        <v>37.9</v>
      </c>
      <c r="AI222" s="136">
        <v>5.99</v>
      </c>
      <c r="AJ222" s="136">
        <v>3.61</v>
      </c>
      <c r="AK222" s="136">
        <v>0.49</v>
      </c>
      <c r="AL222" s="136">
        <v>3.31</v>
      </c>
      <c r="AM222" s="136">
        <v>71.789999999999992</v>
      </c>
      <c r="AN222" s="131"/>
      <c r="AO222" s="131"/>
      <c r="AP222" s="131"/>
      <c r="AQ222" s="131"/>
      <c r="AR222" s="131"/>
      <c r="AS222" s="131"/>
      <c r="AT222" s="131"/>
      <c r="AU222" s="91"/>
      <c r="AV222" s="91"/>
      <c r="AW222" s="131"/>
      <c r="AX222" s="131"/>
      <c r="AY222" s="131"/>
    </row>
    <row r="223" spans="1:51" ht="15" x14ac:dyDescent="0.25">
      <c r="A223" s="123"/>
      <c r="B223" s="124"/>
      <c r="C223" s="125">
        <v>599651</v>
      </c>
      <c r="D223" s="89"/>
      <c r="E223" s="86" t="s">
        <v>21</v>
      </c>
      <c r="F223" s="86" t="s">
        <v>418</v>
      </c>
      <c r="H223" s="126" t="s">
        <v>51</v>
      </c>
      <c r="I223" s="89">
        <v>1</v>
      </c>
      <c r="J223" s="127">
        <v>34089.539900000003</v>
      </c>
      <c r="K223" s="127">
        <v>73034.16</v>
      </c>
      <c r="L223" s="127">
        <v>6826.79</v>
      </c>
      <c r="M223" s="127">
        <v>15241.539900000018</v>
      </c>
      <c r="N223" s="127">
        <v>63066.16</v>
      </c>
      <c r="O223" s="127">
        <v>6010.79</v>
      </c>
      <c r="P223" s="128">
        <f t="shared" si="27"/>
        <v>0.44710312737309832</v>
      </c>
      <c r="Q223" s="128">
        <f t="shared" si="28"/>
        <v>0.86351592186450832</v>
      </c>
      <c r="R223" s="128">
        <f t="shared" si="29"/>
        <v>0.8804709094611084</v>
      </c>
      <c r="S223" s="129">
        <v>1</v>
      </c>
      <c r="T223" s="129">
        <v>1</v>
      </c>
      <c r="U223" s="129">
        <v>1</v>
      </c>
      <c r="V223" s="138">
        <f t="shared" si="30"/>
        <v>3</v>
      </c>
      <c r="W223" s="138">
        <f t="shared" si="31"/>
        <v>3</v>
      </c>
      <c r="X223" s="138">
        <f t="shared" si="32"/>
        <v>1</v>
      </c>
      <c r="Y223" s="138">
        <f t="shared" si="33"/>
        <v>3</v>
      </c>
      <c r="Z223" s="138">
        <f t="shared" si="34"/>
        <v>3</v>
      </c>
      <c r="AA223" s="138">
        <f t="shared" si="35"/>
        <v>1</v>
      </c>
      <c r="AB223" s="127" t="s">
        <v>32</v>
      </c>
      <c r="AC223" s="127"/>
      <c r="AD223" s="127"/>
      <c r="AE223" s="130"/>
      <c r="AF223" s="136">
        <v>9.16</v>
      </c>
      <c r="AG223" s="136">
        <v>11.33</v>
      </c>
      <c r="AH223" s="136">
        <v>37.9</v>
      </c>
      <c r="AI223" s="136">
        <v>5.99</v>
      </c>
      <c r="AJ223" s="136">
        <v>3.61</v>
      </c>
      <c r="AK223" s="136">
        <v>0.49</v>
      </c>
      <c r="AL223" s="136">
        <v>3.31</v>
      </c>
      <c r="AM223" s="136">
        <v>71.789999999999992</v>
      </c>
      <c r="AN223" s="131"/>
      <c r="AO223" s="131"/>
      <c r="AP223" s="131"/>
      <c r="AQ223" s="131"/>
      <c r="AR223" s="131"/>
      <c r="AS223" s="131"/>
      <c r="AT223" s="131"/>
      <c r="AU223" s="91"/>
      <c r="AV223" s="91"/>
      <c r="AW223" s="131"/>
      <c r="AX223" s="131"/>
      <c r="AY223" s="131"/>
    </row>
    <row r="224" spans="1:51" ht="15" x14ac:dyDescent="0.25">
      <c r="A224" s="123"/>
      <c r="B224" s="124"/>
      <c r="C224" s="125">
        <v>716385</v>
      </c>
      <c r="D224" s="89"/>
      <c r="E224" s="86" t="s">
        <v>21</v>
      </c>
      <c r="F224" s="86" t="s">
        <v>418</v>
      </c>
      <c r="H224" s="126" t="s">
        <v>51</v>
      </c>
      <c r="I224" s="89">
        <v>1</v>
      </c>
      <c r="J224" s="127">
        <v>34089.539900000003</v>
      </c>
      <c r="K224" s="127">
        <v>73034.16</v>
      </c>
      <c r="L224" s="127">
        <v>6826.79</v>
      </c>
      <c r="M224" s="127">
        <v>15241.539900000018</v>
      </c>
      <c r="N224" s="127">
        <v>63066.16</v>
      </c>
      <c r="O224" s="127">
        <v>6010.79</v>
      </c>
      <c r="P224" s="128">
        <f t="shared" si="27"/>
        <v>0.44710312737309832</v>
      </c>
      <c r="Q224" s="128">
        <f t="shared" si="28"/>
        <v>0.86351592186450832</v>
      </c>
      <c r="R224" s="128">
        <f t="shared" si="29"/>
        <v>0.8804709094611084</v>
      </c>
      <c r="S224" s="129">
        <v>1</v>
      </c>
      <c r="T224" s="129">
        <v>1</v>
      </c>
      <c r="U224" s="129">
        <v>1</v>
      </c>
      <c r="V224" s="138">
        <f t="shared" si="30"/>
        <v>3</v>
      </c>
      <c r="W224" s="138">
        <f t="shared" si="31"/>
        <v>3</v>
      </c>
      <c r="X224" s="138">
        <f t="shared" si="32"/>
        <v>1</v>
      </c>
      <c r="Y224" s="138">
        <f t="shared" si="33"/>
        <v>3</v>
      </c>
      <c r="Z224" s="138">
        <f t="shared" si="34"/>
        <v>3</v>
      </c>
      <c r="AA224" s="138">
        <f t="shared" si="35"/>
        <v>1</v>
      </c>
      <c r="AB224" s="127" t="s">
        <v>32</v>
      </c>
      <c r="AC224" s="127"/>
      <c r="AD224" s="127"/>
      <c r="AE224" s="130"/>
      <c r="AF224" s="136">
        <v>9.16</v>
      </c>
      <c r="AG224" s="136">
        <v>11.33</v>
      </c>
      <c r="AH224" s="136">
        <v>37.9</v>
      </c>
      <c r="AI224" s="136">
        <v>5.99</v>
      </c>
      <c r="AJ224" s="136">
        <v>3.61</v>
      </c>
      <c r="AK224" s="136">
        <v>0.49</v>
      </c>
      <c r="AL224" s="136">
        <v>3.31</v>
      </c>
      <c r="AM224" s="136">
        <v>71.789999999999992</v>
      </c>
      <c r="AN224" s="131"/>
      <c r="AO224" s="131"/>
      <c r="AP224" s="131"/>
      <c r="AQ224" s="131"/>
      <c r="AR224" s="131"/>
      <c r="AS224" s="131"/>
      <c r="AT224" s="131"/>
      <c r="AU224" s="91"/>
      <c r="AV224" s="91"/>
      <c r="AW224" s="131"/>
      <c r="AX224" s="131"/>
      <c r="AY224" s="131"/>
    </row>
    <row r="225" spans="1:51" ht="15" x14ac:dyDescent="0.25">
      <c r="A225" s="123"/>
      <c r="B225" s="124"/>
      <c r="C225" s="125">
        <v>719401</v>
      </c>
      <c r="D225" s="89"/>
      <c r="E225" s="86" t="s">
        <v>21</v>
      </c>
      <c r="F225" s="86" t="s">
        <v>418</v>
      </c>
      <c r="H225" s="126" t="s">
        <v>51</v>
      </c>
      <c r="I225" s="89">
        <v>1</v>
      </c>
      <c r="J225" s="127">
        <v>34089.539900000003</v>
      </c>
      <c r="K225" s="127">
        <v>73034.16</v>
      </c>
      <c r="L225" s="127">
        <v>6826.79</v>
      </c>
      <c r="M225" s="127">
        <v>15241.539900000018</v>
      </c>
      <c r="N225" s="127">
        <v>63066.16</v>
      </c>
      <c r="O225" s="127">
        <v>6010.79</v>
      </c>
      <c r="P225" s="128">
        <f t="shared" si="27"/>
        <v>0.44710312737309832</v>
      </c>
      <c r="Q225" s="128">
        <f t="shared" si="28"/>
        <v>0.86351592186450832</v>
      </c>
      <c r="R225" s="128">
        <f t="shared" si="29"/>
        <v>0.8804709094611084</v>
      </c>
      <c r="S225" s="129">
        <v>1</v>
      </c>
      <c r="T225" s="129">
        <v>1</v>
      </c>
      <c r="U225" s="129">
        <v>1</v>
      </c>
      <c r="V225" s="138">
        <f t="shared" si="30"/>
        <v>3</v>
      </c>
      <c r="W225" s="138">
        <f t="shared" si="31"/>
        <v>3</v>
      </c>
      <c r="X225" s="138">
        <f t="shared" si="32"/>
        <v>1</v>
      </c>
      <c r="Y225" s="138">
        <f t="shared" si="33"/>
        <v>3</v>
      </c>
      <c r="Z225" s="138">
        <f t="shared" si="34"/>
        <v>3</v>
      </c>
      <c r="AA225" s="138">
        <f t="shared" si="35"/>
        <v>1</v>
      </c>
      <c r="AB225" s="127" t="s">
        <v>32</v>
      </c>
      <c r="AC225" s="127"/>
      <c r="AD225" s="127"/>
      <c r="AE225" s="130"/>
      <c r="AF225" s="136">
        <v>9.16</v>
      </c>
      <c r="AG225" s="136">
        <v>11.33</v>
      </c>
      <c r="AH225" s="136">
        <v>37.9</v>
      </c>
      <c r="AI225" s="136">
        <v>5.99</v>
      </c>
      <c r="AJ225" s="136">
        <v>3.61</v>
      </c>
      <c r="AK225" s="136">
        <v>0.49</v>
      </c>
      <c r="AL225" s="136">
        <v>3.31</v>
      </c>
      <c r="AM225" s="136">
        <v>71.789999999999992</v>
      </c>
      <c r="AN225" s="131"/>
      <c r="AO225" s="131"/>
      <c r="AP225" s="131"/>
      <c r="AQ225" s="131"/>
      <c r="AR225" s="131"/>
      <c r="AS225" s="131"/>
      <c r="AT225" s="131"/>
      <c r="AU225" s="91"/>
      <c r="AV225" s="91"/>
      <c r="AW225" s="131"/>
      <c r="AX225" s="131"/>
      <c r="AY225" s="131"/>
    </row>
    <row r="226" spans="1:51" ht="15" x14ac:dyDescent="0.25">
      <c r="A226" s="123"/>
      <c r="B226" s="124"/>
      <c r="C226" s="125">
        <v>725850</v>
      </c>
      <c r="D226" s="89"/>
      <c r="E226" s="86" t="s">
        <v>21</v>
      </c>
      <c r="F226" s="86" t="s">
        <v>418</v>
      </c>
      <c r="H226" s="126" t="s">
        <v>51</v>
      </c>
      <c r="I226" s="89">
        <v>1</v>
      </c>
      <c r="J226" s="127">
        <v>34089.539900000003</v>
      </c>
      <c r="K226" s="127">
        <v>73034.16</v>
      </c>
      <c r="L226" s="127">
        <v>6826.79</v>
      </c>
      <c r="M226" s="127">
        <v>15241.539900000018</v>
      </c>
      <c r="N226" s="127">
        <v>63066.16</v>
      </c>
      <c r="O226" s="127">
        <v>6010.79</v>
      </c>
      <c r="P226" s="128">
        <f t="shared" si="27"/>
        <v>0.44710312737309832</v>
      </c>
      <c r="Q226" s="128">
        <f t="shared" si="28"/>
        <v>0.86351592186450832</v>
      </c>
      <c r="R226" s="128">
        <f t="shared" si="29"/>
        <v>0.8804709094611084</v>
      </c>
      <c r="S226" s="129">
        <v>1</v>
      </c>
      <c r="T226" s="129">
        <v>1</v>
      </c>
      <c r="U226" s="129">
        <v>1</v>
      </c>
      <c r="V226" s="138">
        <f t="shared" si="30"/>
        <v>3</v>
      </c>
      <c r="W226" s="138">
        <f t="shared" si="31"/>
        <v>3</v>
      </c>
      <c r="X226" s="138">
        <f t="shared" si="32"/>
        <v>1</v>
      </c>
      <c r="Y226" s="138">
        <f t="shared" si="33"/>
        <v>3</v>
      </c>
      <c r="Z226" s="138">
        <f t="shared" si="34"/>
        <v>3</v>
      </c>
      <c r="AA226" s="138">
        <f t="shared" si="35"/>
        <v>1</v>
      </c>
      <c r="AB226" s="127" t="s">
        <v>32</v>
      </c>
      <c r="AC226" s="127"/>
      <c r="AD226" s="127"/>
      <c r="AE226" s="130"/>
      <c r="AF226" s="136">
        <v>9.16</v>
      </c>
      <c r="AG226" s="136">
        <v>11.33</v>
      </c>
      <c r="AH226" s="136">
        <v>37.9</v>
      </c>
      <c r="AI226" s="136">
        <v>5.99</v>
      </c>
      <c r="AJ226" s="136">
        <v>3.61</v>
      </c>
      <c r="AK226" s="136">
        <v>0.49</v>
      </c>
      <c r="AL226" s="136">
        <v>3.31</v>
      </c>
      <c r="AM226" s="136">
        <v>71.789999999999992</v>
      </c>
      <c r="AN226" s="131"/>
      <c r="AO226" s="131"/>
      <c r="AP226" s="131"/>
      <c r="AQ226" s="131"/>
      <c r="AR226" s="131"/>
      <c r="AS226" s="131"/>
      <c r="AT226" s="131"/>
      <c r="AU226" s="91"/>
      <c r="AV226" s="91"/>
      <c r="AW226" s="131"/>
      <c r="AX226" s="131"/>
      <c r="AY226" s="131"/>
    </row>
    <row r="227" spans="1:51" ht="15" x14ac:dyDescent="0.25">
      <c r="A227" s="123"/>
      <c r="B227" s="124"/>
      <c r="C227" s="125">
        <v>732307</v>
      </c>
      <c r="D227" s="89"/>
      <c r="E227" s="86" t="s">
        <v>21</v>
      </c>
      <c r="F227" s="86" t="s">
        <v>418</v>
      </c>
      <c r="H227" s="126" t="s">
        <v>51</v>
      </c>
      <c r="I227" s="89">
        <v>1</v>
      </c>
      <c r="J227" s="127">
        <v>34089.539900000003</v>
      </c>
      <c r="K227" s="127">
        <v>73034.16</v>
      </c>
      <c r="L227" s="127">
        <v>6826.79</v>
      </c>
      <c r="M227" s="127">
        <v>15241.539900000018</v>
      </c>
      <c r="N227" s="127">
        <v>63066.16</v>
      </c>
      <c r="O227" s="127">
        <v>6010.79</v>
      </c>
      <c r="P227" s="128">
        <f t="shared" si="27"/>
        <v>0.44710312737309832</v>
      </c>
      <c r="Q227" s="128">
        <f t="shared" si="28"/>
        <v>0.86351592186450832</v>
      </c>
      <c r="R227" s="128">
        <f t="shared" si="29"/>
        <v>0.8804709094611084</v>
      </c>
      <c r="S227" s="129">
        <v>1</v>
      </c>
      <c r="T227" s="129">
        <v>1</v>
      </c>
      <c r="U227" s="129">
        <v>1</v>
      </c>
      <c r="V227" s="138">
        <f t="shared" si="30"/>
        <v>3</v>
      </c>
      <c r="W227" s="138">
        <f t="shared" si="31"/>
        <v>3</v>
      </c>
      <c r="X227" s="138">
        <f t="shared" si="32"/>
        <v>1</v>
      </c>
      <c r="Y227" s="138">
        <f t="shared" si="33"/>
        <v>3</v>
      </c>
      <c r="Z227" s="138">
        <f t="shared" si="34"/>
        <v>3</v>
      </c>
      <c r="AA227" s="138">
        <f t="shared" si="35"/>
        <v>1</v>
      </c>
      <c r="AB227" s="127" t="s">
        <v>32</v>
      </c>
      <c r="AC227" s="127"/>
      <c r="AD227" s="127"/>
      <c r="AE227" s="130"/>
      <c r="AF227" s="136">
        <v>9.16</v>
      </c>
      <c r="AG227" s="136">
        <v>11.33</v>
      </c>
      <c r="AH227" s="136">
        <v>37.9</v>
      </c>
      <c r="AI227" s="136">
        <v>5.99</v>
      </c>
      <c r="AJ227" s="136">
        <v>3.61</v>
      </c>
      <c r="AK227" s="136">
        <v>0.49</v>
      </c>
      <c r="AL227" s="136">
        <v>3.31</v>
      </c>
      <c r="AM227" s="136">
        <v>71.789999999999992</v>
      </c>
      <c r="AN227" s="131"/>
      <c r="AO227" s="131"/>
      <c r="AP227" s="131"/>
      <c r="AQ227" s="131"/>
      <c r="AR227" s="131"/>
      <c r="AS227" s="131"/>
      <c r="AT227" s="131"/>
      <c r="AU227" s="91"/>
      <c r="AV227" s="91"/>
      <c r="AW227" s="131"/>
      <c r="AX227" s="131"/>
      <c r="AY227" s="131"/>
    </row>
    <row r="228" spans="1:51" ht="15" x14ac:dyDescent="0.25">
      <c r="A228" s="123"/>
      <c r="B228" s="124"/>
      <c r="C228" s="125">
        <v>750463</v>
      </c>
      <c r="D228" s="89"/>
      <c r="E228" s="86" t="s">
        <v>21</v>
      </c>
      <c r="F228" s="86" t="s">
        <v>418</v>
      </c>
      <c r="H228" s="126" t="s">
        <v>51</v>
      </c>
      <c r="I228" s="89">
        <v>1</v>
      </c>
      <c r="J228" s="127">
        <v>34089.539900000003</v>
      </c>
      <c r="K228" s="127">
        <v>73034.16</v>
      </c>
      <c r="L228" s="127">
        <v>6826.79</v>
      </c>
      <c r="M228" s="127">
        <v>15241.539900000018</v>
      </c>
      <c r="N228" s="127">
        <v>63066.16</v>
      </c>
      <c r="O228" s="127">
        <v>6010.79</v>
      </c>
      <c r="P228" s="128">
        <f t="shared" si="27"/>
        <v>0.44710312737309832</v>
      </c>
      <c r="Q228" s="128">
        <f t="shared" si="28"/>
        <v>0.86351592186450832</v>
      </c>
      <c r="R228" s="128">
        <f t="shared" si="29"/>
        <v>0.8804709094611084</v>
      </c>
      <c r="S228" s="129">
        <v>1</v>
      </c>
      <c r="T228" s="129">
        <v>1</v>
      </c>
      <c r="U228" s="129">
        <v>1</v>
      </c>
      <c r="V228" s="138">
        <f t="shared" si="30"/>
        <v>3</v>
      </c>
      <c r="W228" s="138">
        <f t="shared" si="31"/>
        <v>3</v>
      </c>
      <c r="X228" s="138">
        <f t="shared" si="32"/>
        <v>1</v>
      </c>
      <c r="Y228" s="138">
        <f t="shared" si="33"/>
        <v>3</v>
      </c>
      <c r="Z228" s="138">
        <f t="shared" si="34"/>
        <v>3</v>
      </c>
      <c r="AA228" s="138">
        <f t="shared" si="35"/>
        <v>1</v>
      </c>
      <c r="AB228" s="127" t="s">
        <v>32</v>
      </c>
      <c r="AC228" s="127"/>
      <c r="AD228" s="127"/>
      <c r="AE228" s="130"/>
      <c r="AF228" s="136">
        <v>9.16</v>
      </c>
      <c r="AG228" s="136">
        <v>11.33</v>
      </c>
      <c r="AH228" s="136">
        <v>37.9</v>
      </c>
      <c r="AI228" s="136">
        <v>5.99</v>
      </c>
      <c r="AJ228" s="136">
        <v>3.61</v>
      </c>
      <c r="AK228" s="136">
        <v>0.49</v>
      </c>
      <c r="AL228" s="136">
        <v>3.31</v>
      </c>
      <c r="AM228" s="136">
        <v>71.789999999999992</v>
      </c>
      <c r="AN228" s="131"/>
      <c r="AO228" s="131"/>
      <c r="AP228" s="131"/>
      <c r="AQ228" s="131"/>
      <c r="AR228" s="131"/>
      <c r="AS228" s="131"/>
      <c r="AT228" s="131"/>
      <c r="AU228" s="91"/>
      <c r="AV228" s="91"/>
      <c r="AW228" s="131"/>
      <c r="AX228" s="131"/>
      <c r="AY228" s="131"/>
    </row>
    <row r="229" spans="1:51" ht="15" x14ac:dyDescent="0.25">
      <c r="A229" s="123"/>
      <c r="B229" s="124"/>
      <c r="C229" s="125">
        <v>758261</v>
      </c>
      <c r="D229" s="89"/>
      <c r="E229" s="86" t="s">
        <v>21</v>
      </c>
      <c r="F229" s="86" t="s">
        <v>418</v>
      </c>
      <c r="H229" s="126" t="s">
        <v>51</v>
      </c>
      <c r="I229" s="89">
        <v>1</v>
      </c>
      <c r="J229" s="127">
        <v>34089.539900000003</v>
      </c>
      <c r="K229" s="127">
        <v>73034.16</v>
      </c>
      <c r="L229" s="127">
        <v>6826.79</v>
      </c>
      <c r="M229" s="127">
        <v>15241.539900000018</v>
      </c>
      <c r="N229" s="127">
        <v>63066.16</v>
      </c>
      <c r="O229" s="127">
        <v>6010.79</v>
      </c>
      <c r="P229" s="128">
        <f t="shared" si="27"/>
        <v>0.44710312737309832</v>
      </c>
      <c r="Q229" s="128">
        <f t="shared" si="28"/>
        <v>0.86351592186450832</v>
      </c>
      <c r="R229" s="128">
        <f t="shared" si="29"/>
        <v>0.8804709094611084</v>
      </c>
      <c r="S229" s="129">
        <v>1</v>
      </c>
      <c r="T229" s="129">
        <v>1</v>
      </c>
      <c r="U229" s="129">
        <v>1</v>
      </c>
      <c r="V229" s="138">
        <f t="shared" si="30"/>
        <v>3</v>
      </c>
      <c r="W229" s="138">
        <f t="shared" si="31"/>
        <v>3</v>
      </c>
      <c r="X229" s="138">
        <f t="shared" si="32"/>
        <v>1</v>
      </c>
      <c r="Y229" s="138">
        <f t="shared" si="33"/>
        <v>3</v>
      </c>
      <c r="Z229" s="138">
        <f t="shared" si="34"/>
        <v>3</v>
      </c>
      <c r="AA229" s="138">
        <f t="shared" si="35"/>
        <v>1</v>
      </c>
      <c r="AB229" s="127" t="s">
        <v>32</v>
      </c>
      <c r="AC229" s="127"/>
      <c r="AD229" s="127"/>
      <c r="AE229" s="130"/>
      <c r="AF229" s="136">
        <v>9.16</v>
      </c>
      <c r="AG229" s="136">
        <v>11.33</v>
      </c>
      <c r="AH229" s="136">
        <v>37.9</v>
      </c>
      <c r="AI229" s="136">
        <v>5.99</v>
      </c>
      <c r="AJ229" s="136">
        <v>3.61</v>
      </c>
      <c r="AK229" s="136">
        <v>0.49</v>
      </c>
      <c r="AL229" s="136">
        <v>3.31</v>
      </c>
      <c r="AM229" s="136">
        <v>71.789999999999992</v>
      </c>
      <c r="AN229" s="131"/>
      <c r="AO229" s="131"/>
      <c r="AP229" s="131"/>
      <c r="AQ229" s="131"/>
      <c r="AR229" s="131"/>
      <c r="AS229" s="131"/>
      <c r="AT229" s="131"/>
      <c r="AU229" s="91"/>
      <c r="AV229" s="91"/>
      <c r="AW229" s="131"/>
      <c r="AX229" s="131"/>
      <c r="AY229" s="131"/>
    </row>
    <row r="230" spans="1:51" ht="15" x14ac:dyDescent="0.25">
      <c r="A230" s="123"/>
      <c r="B230" s="124"/>
      <c r="C230" s="125">
        <v>774788</v>
      </c>
      <c r="D230" s="89"/>
      <c r="E230" s="86" t="s">
        <v>21</v>
      </c>
      <c r="F230" s="86" t="s">
        <v>418</v>
      </c>
      <c r="H230" s="126" t="s">
        <v>51</v>
      </c>
      <c r="I230" s="89">
        <v>1</v>
      </c>
      <c r="J230" s="127">
        <v>34089.539900000003</v>
      </c>
      <c r="K230" s="127">
        <v>73034.16</v>
      </c>
      <c r="L230" s="127">
        <v>6826.79</v>
      </c>
      <c r="M230" s="127">
        <v>15241.539900000018</v>
      </c>
      <c r="N230" s="127">
        <v>63066.16</v>
      </c>
      <c r="O230" s="127">
        <v>6010.79</v>
      </c>
      <c r="P230" s="128">
        <f t="shared" si="27"/>
        <v>0.44710312737309832</v>
      </c>
      <c r="Q230" s="128">
        <f t="shared" si="28"/>
        <v>0.86351592186450832</v>
      </c>
      <c r="R230" s="128">
        <f t="shared" si="29"/>
        <v>0.8804709094611084</v>
      </c>
      <c r="S230" s="129">
        <v>1</v>
      </c>
      <c r="T230" s="129">
        <v>1</v>
      </c>
      <c r="U230" s="129">
        <v>1</v>
      </c>
      <c r="V230" s="138">
        <f t="shared" si="30"/>
        <v>3</v>
      </c>
      <c r="W230" s="138">
        <f t="shared" si="31"/>
        <v>3</v>
      </c>
      <c r="X230" s="138">
        <f t="shared" si="32"/>
        <v>1</v>
      </c>
      <c r="Y230" s="138">
        <f t="shared" si="33"/>
        <v>3</v>
      </c>
      <c r="Z230" s="138">
        <f t="shared" si="34"/>
        <v>3</v>
      </c>
      <c r="AA230" s="138">
        <f t="shared" si="35"/>
        <v>1</v>
      </c>
      <c r="AB230" s="127" t="s">
        <v>32</v>
      </c>
      <c r="AC230" s="127"/>
      <c r="AD230" s="127"/>
      <c r="AE230" s="130"/>
      <c r="AF230" s="136">
        <v>9.16</v>
      </c>
      <c r="AG230" s="136">
        <v>11.33</v>
      </c>
      <c r="AH230" s="136">
        <v>37.9</v>
      </c>
      <c r="AI230" s="136">
        <v>5.99</v>
      </c>
      <c r="AJ230" s="136">
        <v>3.61</v>
      </c>
      <c r="AK230" s="136">
        <v>0.49</v>
      </c>
      <c r="AL230" s="136">
        <v>3.31</v>
      </c>
      <c r="AM230" s="136">
        <v>71.789999999999992</v>
      </c>
      <c r="AN230" s="131"/>
      <c r="AO230" s="131"/>
      <c r="AP230" s="131"/>
      <c r="AQ230" s="131"/>
      <c r="AR230" s="131"/>
      <c r="AS230" s="131"/>
      <c r="AT230" s="131"/>
      <c r="AU230" s="91"/>
      <c r="AV230" s="91"/>
      <c r="AW230" s="131"/>
      <c r="AX230" s="131"/>
      <c r="AY230" s="131"/>
    </row>
    <row r="231" spans="1:51" ht="15" x14ac:dyDescent="0.25">
      <c r="A231" s="123"/>
      <c r="B231" s="124"/>
      <c r="C231" s="125">
        <v>821714</v>
      </c>
      <c r="D231" s="89"/>
      <c r="E231" s="86" t="s">
        <v>21</v>
      </c>
      <c r="F231" s="86" t="s">
        <v>418</v>
      </c>
      <c r="H231" s="126" t="s">
        <v>51</v>
      </c>
      <c r="I231" s="89">
        <v>1</v>
      </c>
      <c r="J231" s="127">
        <v>34089.539900000003</v>
      </c>
      <c r="K231" s="127">
        <v>73034.16</v>
      </c>
      <c r="L231" s="127">
        <v>6826.79</v>
      </c>
      <c r="M231" s="127">
        <v>15241.539900000018</v>
      </c>
      <c r="N231" s="127">
        <v>63066.16</v>
      </c>
      <c r="O231" s="127">
        <v>6010.79</v>
      </c>
      <c r="P231" s="128">
        <f t="shared" si="27"/>
        <v>0.44710312737309832</v>
      </c>
      <c r="Q231" s="128">
        <f t="shared" si="28"/>
        <v>0.86351592186450832</v>
      </c>
      <c r="R231" s="128">
        <f t="shared" si="29"/>
        <v>0.8804709094611084</v>
      </c>
      <c r="S231" s="129">
        <v>1</v>
      </c>
      <c r="T231" s="129">
        <v>1</v>
      </c>
      <c r="U231" s="129">
        <v>1</v>
      </c>
      <c r="V231" s="138">
        <f t="shared" si="30"/>
        <v>3</v>
      </c>
      <c r="W231" s="138">
        <f t="shared" si="31"/>
        <v>3</v>
      </c>
      <c r="X231" s="138">
        <f t="shared" si="32"/>
        <v>1</v>
      </c>
      <c r="Y231" s="138">
        <f t="shared" si="33"/>
        <v>3</v>
      </c>
      <c r="Z231" s="138">
        <f t="shared" si="34"/>
        <v>3</v>
      </c>
      <c r="AA231" s="138">
        <f t="shared" si="35"/>
        <v>1</v>
      </c>
      <c r="AB231" s="127" t="s">
        <v>32</v>
      </c>
      <c r="AC231" s="127"/>
      <c r="AD231" s="127"/>
      <c r="AE231" s="130"/>
      <c r="AF231" s="136">
        <v>9.16</v>
      </c>
      <c r="AG231" s="136">
        <v>11.33</v>
      </c>
      <c r="AH231" s="136">
        <v>37.9</v>
      </c>
      <c r="AI231" s="136">
        <v>5.99</v>
      </c>
      <c r="AJ231" s="136">
        <v>3.61</v>
      </c>
      <c r="AK231" s="136">
        <v>0.49</v>
      </c>
      <c r="AL231" s="136">
        <v>3.31</v>
      </c>
      <c r="AM231" s="136">
        <v>71.789999999999992</v>
      </c>
      <c r="AN231" s="131"/>
      <c r="AO231" s="131"/>
      <c r="AP231" s="131"/>
      <c r="AQ231" s="131"/>
      <c r="AR231" s="131"/>
      <c r="AS231" s="131"/>
      <c r="AT231" s="131"/>
      <c r="AU231" s="91"/>
      <c r="AV231" s="91"/>
      <c r="AW231" s="131"/>
      <c r="AX231" s="131"/>
      <c r="AY231" s="131"/>
    </row>
    <row r="232" spans="1:51" ht="15" x14ac:dyDescent="0.25">
      <c r="A232" s="123"/>
      <c r="B232" s="124"/>
      <c r="C232" s="125">
        <v>891315</v>
      </c>
      <c r="D232" s="89"/>
      <c r="E232" s="86" t="s">
        <v>21</v>
      </c>
      <c r="F232" s="86" t="s">
        <v>418</v>
      </c>
      <c r="H232" s="126" t="s">
        <v>51</v>
      </c>
      <c r="I232" s="89">
        <v>1</v>
      </c>
      <c r="J232" s="127">
        <v>34089.539900000003</v>
      </c>
      <c r="K232" s="127">
        <v>73034.16</v>
      </c>
      <c r="L232" s="127">
        <v>6826.79</v>
      </c>
      <c r="M232" s="127">
        <v>15241.539900000018</v>
      </c>
      <c r="N232" s="127">
        <v>63066.16</v>
      </c>
      <c r="O232" s="127">
        <v>6010.79</v>
      </c>
      <c r="P232" s="128">
        <f t="shared" si="27"/>
        <v>0.44710312737309832</v>
      </c>
      <c r="Q232" s="128">
        <f t="shared" si="28"/>
        <v>0.86351592186450832</v>
      </c>
      <c r="R232" s="128">
        <f t="shared" si="29"/>
        <v>0.8804709094611084</v>
      </c>
      <c r="S232" s="129">
        <v>1</v>
      </c>
      <c r="T232" s="129">
        <v>1</v>
      </c>
      <c r="U232" s="129">
        <v>1</v>
      </c>
      <c r="V232" s="138">
        <f t="shared" si="30"/>
        <v>3</v>
      </c>
      <c r="W232" s="138">
        <f t="shared" si="31"/>
        <v>3</v>
      </c>
      <c r="X232" s="138">
        <f t="shared" si="32"/>
        <v>1</v>
      </c>
      <c r="Y232" s="138">
        <f t="shared" si="33"/>
        <v>3</v>
      </c>
      <c r="Z232" s="138">
        <f t="shared" si="34"/>
        <v>3</v>
      </c>
      <c r="AA232" s="138">
        <f t="shared" si="35"/>
        <v>1</v>
      </c>
      <c r="AB232" s="127" t="s">
        <v>32</v>
      </c>
      <c r="AC232" s="127"/>
      <c r="AD232" s="127"/>
      <c r="AE232" s="130"/>
      <c r="AF232" s="136">
        <v>9.16</v>
      </c>
      <c r="AG232" s="136">
        <v>11.33</v>
      </c>
      <c r="AH232" s="136">
        <v>37.9</v>
      </c>
      <c r="AI232" s="136">
        <v>5.99</v>
      </c>
      <c r="AJ232" s="136">
        <v>3.61</v>
      </c>
      <c r="AK232" s="136">
        <v>0.49</v>
      </c>
      <c r="AL232" s="136">
        <v>3.31</v>
      </c>
      <c r="AM232" s="136">
        <v>71.789999999999992</v>
      </c>
      <c r="AN232" s="131"/>
      <c r="AO232" s="131"/>
      <c r="AP232" s="131"/>
      <c r="AQ232" s="131"/>
      <c r="AR232" s="131"/>
      <c r="AS232" s="131"/>
      <c r="AT232" s="131"/>
      <c r="AU232" s="91"/>
      <c r="AV232" s="91"/>
      <c r="AW232" s="131"/>
      <c r="AX232" s="131"/>
      <c r="AY232" s="131"/>
    </row>
    <row r="233" spans="1:51" ht="15" x14ac:dyDescent="0.25">
      <c r="A233" s="123"/>
      <c r="B233" s="124"/>
      <c r="C233" s="125">
        <v>908942</v>
      </c>
      <c r="D233" s="89"/>
      <c r="E233" s="86" t="s">
        <v>21</v>
      </c>
      <c r="F233" s="86" t="s">
        <v>418</v>
      </c>
      <c r="H233" s="126" t="s">
        <v>51</v>
      </c>
      <c r="I233" s="89">
        <v>1</v>
      </c>
      <c r="J233" s="127">
        <v>34089.539900000003</v>
      </c>
      <c r="K233" s="127">
        <v>73034.16</v>
      </c>
      <c r="L233" s="127">
        <v>6826.79</v>
      </c>
      <c r="M233" s="127">
        <v>15241.539900000018</v>
      </c>
      <c r="N233" s="127">
        <v>63066.16</v>
      </c>
      <c r="O233" s="127">
        <v>6010.79</v>
      </c>
      <c r="P233" s="128">
        <f t="shared" si="27"/>
        <v>0.44710312737309832</v>
      </c>
      <c r="Q233" s="128">
        <f t="shared" si="28"/>
        <v>0.86351592186450832</v>
      </c>
      <c r="R233" s="128">
        <f t="shared" si="29"/>
        <v>0.8804709094611084</v>
      </c>
      <c r="S233" s="129">
        <v>1</v>
      </c>
      <c r="T233" s="129">
        <v>1</v>
      </c>
      <c r="U233" s="129">
        <v>1</v>
      </c>
      <c r="V233" s="138">
        <f t="shared" si="30"/>
        <v>3</v>
      </c>
      <c r="W233" s="138">
        <f t="shared" si="31"/>
        <v>3</v>
      </c>
      <c r="X233" s="138">
        <f t="shared" si="32"/>
        <v>1</v>
      </c>
      <c r="Y233" s="138">
        <f t="shared" si="33"/>
        <v>3</v>
      </c>
      <c r="Z233" s="138">
        <f t="shared" si="34"/>
        <v>3</v>
      </c>
      <c r="AA233" s="138">
        <f t="shared" si="35"/>
        <v>1</v>
      </c>
      <c r="AB233" s="127" t="s">
        <v>32</v>
      </c>
      <c r="AC233" s="127"/>
      <c r="AD233" s="127"/>
      <c r="AE233" s="130"/>
      <c r="AF233" s="136">
        <v>9.16</v>
      </c>
      <c r="AG233" s="136">
        <v>11.33</v>
      </c>
      <c r="AH233" s="136">
        <v>37.9</v>
      </c>
      <c r="AI233" s="136">
        <v>5.99</v>
      </c>
      <c r="AJ233" s="136">
        <v>3.61</v>
      </c>
      <c r="AK233" s="136">
        <v>0.49</v>
      </c>
      <c r="AL233" s="136">
        <v>3.31</v>
      </c>
      <c r="AM233" s="136">
        <v>71.789999999999992</v>
      </c>
      <c r="AN233" s="131"/>
      <c r="AO233" s="131"/>
      <c r="AP233" s="131"/>
      <c r="AQ233" s="131"/>
      <c r="AR233" s="131"/>
      <c r="AS233" s="131"/>
      <c r="AT233" s="131"/>
      <c r="AU233" s="91"/>
      <c r="AV233" s="91"/>
      <c r="AW233" s="131"/>
      <c r="AX233" s="131"/>
      <c r="AY233" s="131"/>
    </row>
    <row r="234" spans="1:51" ht="15" x14ac:dyDescent="0.25">
      <c r="A234" s="123"/>
      <c r="B234" s="124"/>
      <c r="C234" s="125">
        <v>7623</v>
      </c>
      <c r="D234" s="89"/>
      <c r="E234" s="86" t="s">
        <v>7</v>
      </c>
      <c r="F234" s="86" t="s">
        <v>418</v>
      </c>
      <c r="H234" s="126" t="s">
        <v>51</v>
      </c>
      <c r="I234" s="89">
        <v>1</v>
      </c>
      <c r="J234" s="127">
        <v>9068.8837999999996</v>
      </c>
      <c r="K234" s="127">
        <v>4775.33</v>
      </c>
      <c r="L234" s="127">
        <v>480.73</v>
      </c>
      <c r="M234" s="127">
        <v>0</v>
      </c>
      <c r="N234" s="127">
        <v>2099.3300000000013</v>
      </c>
      <c r="O234" s="127">
        <v>0</v>
      </c>
      <c r="P234" s="128">
        <f t="shared" si="27"/>
        <v>0</v>
      </c>
      <c r="Q234" s="128">
        <f t="shared" si="28"/>
        <v>0.43961987967323751</v>
      </c>
      <c r="R234" s="128">
        <f t="shared" si="29"/>
        <v>0</v>
      </c>
      <c r="S234" s="129">
        <v>0</v>
      </c>
      <c r="T234" s="129">
        <v>0</v>
      </c>
      <c r="U234" s="129">
        <v>0</v>
      </c>
      <c r="V234" s="138">
        <f t="shared" si="30"/>
        <v>3</v>
      </c>
      <c r="W234" s="138">
        <f t="shared" si="31"/>
        <v>3</v>
      </c>
      <c r="X234" s="138">
        <f t="shared" si="32"/>
        <v>1</v>
      </c>
      <c r="Y234" s="138">
        <f t="shared" si="33"/>
        <v>0</v>
      </c>
      <c r="Z234" s="138">
        <f t="shared" si="34"/>
        <v>0</v>
      </c>
      <c r="AA234" s="138">
        <f t="shared" si="35"/>
        <v>0</v>
      </c>
      <c r="AB234" s="127" t="s">
        <v>31</v>
      </c>
      <c r="AC234" s="127"/>
      <c r="AD234" s="127"/>
      <c r="AE234" s="130"/>
      <c r="AF234" s="136">
        <v>0</v>
      </c>
      <c r="AG234" s="136">
        <v>4.0599999999999996</v>
      </c>
      <c r="AH234" s="136">
        <v>0</v>
      </c>
      <c r="AI234" s="136">
        <v>2.14</v>
      </c>
      <c r="AJ234" s="136">
        <v>0</v>
      </c>
      <c r="AK234" s="136">
        <v>0.47</v>
      </c>
      <c r="AL234" s="136">
        <v>2.25</v>
      </c>
      <c r="AM234" s="136">
        <v>8.9199999999999982</v>
      </c>
      <c r="AN234" s="131"/>
      <c r="AO234" s="131"/>
      <c r="AP234" s="131"/>
      <c r="AQ234" s="131"/>
      <c r="AR234" s="131"/>
      <c r="AS234" s="131"/>
      <c r="AT234" s="131"/>
      <c r="AU234" s="91"/>
      <c r="AV234" s="91"/>
      <c r="AW234" s="131"/>
      <c r="AX234" s="131"/>
      <c r="AY234" s="131"/>
    </row>
    <row r="235" spans="1:51" ht="15" x14ac:dyDescent="0.25">
      <c r="A235" s="123"/>
      <c r="B235" s="124"/>
      <c r="C235" s="125">
        <v>73420</v>
      </c>
      <c r="D235" s="89"/>
      <c r="E235" s="86" t="s">
        <v>7</v>
      </c>
      <c r="F235" s="86" t="s">
        <v>418</v>
      </c>
      <c r="H235" s="126" t="s">
        <v>51</v>
      </c>
      <c r="I235" s="89">
        <v>1</v>
      </c>
      <c r="J235" s="127">
        <v>9068.8837999999996</v>
      </c>
      <c r="K235" s="127">
        <v>4775.33</v>
      </c>
      <c r="L235" s="127">
        <v>480.73</v>
      </c>
      <c r="M235" s="127">
        <v>0</v>
      </c>
      <c r="N235" s="127">
        <v>2099.3300000000013</v>
      </c>
      <c r="O235" s="127">
        <v>0</v>
      </c>
      <c r="P235" s="128">
        <f t="shared" si="27"/>
        <v>0</v>
      </c>
      <c r="Q235" s="128">
        <f t="shared" si="28"/>
        <v>0.43961987967323751</v>
      </c>
      <c r="R235" s="128">
        <f t="shared" si="29"/>
        <v>0</v>
      </c>
      <c r="S235" s="129">
        <v>0</v>
      </c>
      <c r="T235" s="129">
        <v>0</v>
      </c>
      <c r="U235" s="129">
        <v>0</v>
      </c>
      <c r="V235" s="138">
        <f t="shared" si="30"/>
        <v>3</v>
      </c>
      <c r="W235" s="138">
        <f t="shared" si="31"/>
        <v>3</v>
      </c>
      <c r="X235" s="138">
        <f t="shared" si="32"/>
        <v>1</v>
      </c>
      <c r="Y235" s="138">
        <f t="shared" si="33"/>
        <v>0</v>
      </c>
      <c r="Z235" s="138">
        <f t="shared" si="34"/>
        <v>0</v>
      </c>
      <c r="AA235" s="138">
        <f t="shared" si="35"/>
        <v>0</v>
      </c>
      <c r="AB235" s="127" t="s">
        <v>31</v>
      </c>
      <c r="AC235" s="127"/>
      <c r="AD235" s="127"/>
      <c r="AE235" s="130"/>
      <c r="AF235" s="136">
        <v>0</v>
      </c>
      <c r="AG235" s="136">
        <v>4.0599999999999996</v>
      </c>
      <c r="AH235" s="136">
        <v>0</v>
      </c>
      <c r="AI235" s="136">
        <v>2.14</v>
      </c>
      <c r="AJ235" s="136">
        <v>0</v>
      </c>
      <c r="AK235" s="136">
        <v>0.47</v>
      </c>
      <c r="AL235" s="136">
        <v>2.25</v>
      </c>
      <c r="AM235" s="136">
        <v>8.9199999999999982</v>
      </c>
      <c r="AN235" s="131"/>
      <c r="AO235" s="131"/>
      <c r="AP235" s="131"/>
      <c r="AQ235" s="131"/>
      <c r="AR235" s="131"/>
      <c r="AS235" s="131"/>
      <c r="AT235" s="131"/>
      <c r="AU235" s="91"/>
      <c r="AV235" s="91"/>
      <c r="AW235" s="131"/>
      <c r="AX235" s="131"/>
      <c r="AY235" s="131"/>
    </row>
    <row r="236" spans="1:51" ht="15" x14ac:dyDescent="0.25">
      <c r="A236" s="123"/>
      <c r="B236" s="124"/>
      <c r="C236" s="125">
        <v>91732</v>
      </c>
      <c r="D236" s="89"/>
      <c r="E236" s="86" t="s">
        <v>7</v>
      </c>
      <c r="F236" s="86" t="s">
        <v>418</v>
      </c>
      <c r="H236" s="126" t="s">
        <v>51</v>
      </c>
      <c r="I236" s="89">
        <v>1</v>
      </c>
      <c r="J236" s="127">
        <v>9068.8837999999996</v>
      </c>
      <c r="K236" s="127">
        <v>4775.33</v>
      </c>
      <c r="L236" s="127">
        <v>480.73</v>
      </c>
      <c r="M236" s="127">
        <v>0</v>
      </c>
      <c r="N236" s="127">
        <v>2099.3300000000013</v>
      </c>
      <c r="O236" s="127">
        <v>0</v>
      </c>
      <c r="P236" s="128">
        <f t="shared" si="27"/>
        <v>0</v>
      </c>
      <c r="Q236" s="128">
        <f t="shared" si="28"/>
        <v>0.43961987967323751</v>
      </c>
      <c r="R236" s="128">
        <f t="shared" si="29"/>
        <v>0</v>
      </c>
      <c r="S236" s="129">
        <v>0</v>
      </c>
      <c r="T236" s="129">
        <v>0</v>
      </c>
      <c r="U236" s="129">
        <v>0</v>
      </c>
      <c r="V236" s="138">
        <f t="shared" si="30"/>
        <v>3</v>
      </c>
      <c r="W236" s="138">
        <f t="shared" si="31"/>
        <v>3</v>
      </c>
      <c r="X236" s="138">
        <f t="shared" si="32"/>
        <v>1</v>
      </c>
      <c r="Y236" s="138">
        <f t="shared" si="33"/>
        <v>0</v>
      </c>
      <c r="Z236" s="138">
        <f t="shared" si="34"/>
        <v>0</v>
      </c>
      <c r="AA236" s="138">
        <f t="shared" si="35"/>
        <v>0</v>
      </c>
      <c r="AB236" s="127" t="s">
        <v>31</v>
      </c>
      <c r="AC236" s="127"/>
      <c r="AD236" s="127"/>
      <c r="AE236" s="130"/>
      <c r="AF236" s="136">
        <v>0</v>
      </c>
      <c r="AG236" s="136">
        <v>4.0599999999999996</v>
      </c>
      <c r="AH236" s="136">
        <v>0</v>
      </c>
      <c r="AI236" s="136">
        <v>2.14</v>
      </c>
      <c r="AJ236" s="136">
        <v>0</v>
      </c>
      <c r="AK236" s="136">
        <v>0.47</v>
      </c>
      <c r="AL236" s="136">
        <v>2.25</v>
      </c>
      <c r="AM236" s="136">
        <v>8.9199999999999982</v>
      </c>
      <c r="AN236" s="131"/>
      <c r="AO236" s="131"/>
      <c r="AP236" s="131"/>
      <c r="AQ236" s="131"/>
      <c r="AR236" s="131"/>
      <c r="AS236" s="131"/>
      <c r="AT236" s="131"/>
      <c r="AU236" s="91"/>
      <c r="AV236" s="91"/>
      <c r="AW236" s="131"/>
      <c r="AX236" s="131"/>
      <c r="AY236" s="131"/>
    </row>
    <row r="237" spans="1:51" ht="15" x14ac:dyDescent="0.25">
      <c r="A237" s="123"/>
      <c r="B237" s="124"/>
      <c r="C237" s="125">
        <v>255050</v>
      </c>
      <c r="D237" s="89"/>
      <c r="E237" s="86" t="s">
        <v>7</v>
      </c>
      <c r="F237" s="86" t="s">
        <v>418</v>
      </c>
      <c r="H237" s="126" t="s">
        <v>51</v>
      </c>
      <c r="I237" s="89">
        <v>1</v>
      </c>
      <c r="J237" s="127">
        <v>9068.8837999999996</v>
      </c>
      <c r="K237" s="127">
        <v>4775.33</v>
      </c>
      <c r="L237" s="127">
        <v>480.73</v>
      </c>
      <c r="M237" s="127">
        <v>0</v>
      </c>
      <c r="N237" s="127">
        <v>2099.3300000000013</v>
      </c>
      <c r="O237" s="127">
        <v>0</v>
      </c>
      <c r="P237" s="128">
        <f t="shared" si="27"/>
        <v>0</v>
      </c>
      <c r="Q237" s="128">
        <f t="shared" si="28"/>
        <v>0.43961987967323751</v>
      </c>
      <c r="R237" s="128">
        <f t="shared" si="29"/>
        <v>0</v>
      </c>
      <c r="S237" s="129">
        <v>0</v>
      </c>
      <c r="T237" s="129">
        <v>0</v>
      </c>
      <c r="U237" s="129">
        <v>0</v>
      </c>
      <c r="V237" s="138">
        <f t="shared" si="30"/>
        <v>3</v>
      </c>
      <c r="W237" s="138">
        <f t="shared" si="31"/>
        <v>3</v>
      </c>
      <c r="X237" s="138">
        <f t="shared" si="32"/>
        <v>1</v>
      </c>
      <c r="Y237" s="138">
        <f t="shared" si="33"/>
        <v>0</v>
      </c>
      <c r="Z237" s="138">
        <f t="shared" si="34"/>
        <v>0</v>
      </c>
      <c r="AA237" s="138">
        <f t="shared" si="35"/>
        <v>0</v>
      </c>
      <c r="AB237" s="127" t="s">
        <v>31</v>
      </c>
      <c r="AC237" s="127"/>
      <c r="AD237" s="127"/>
      <c r="AE237" s="130"/>
      <c r="AF237" s="136">
        <v>0</v>
      </c>
      <c r="AG237" s="136">
        <v>4.0599999999999996</v>
      </c>
      <c r="AH237" s="136">
        <v>0</v>
      </c>
      <c r="AI237" s="136">
        <v>2.14</v>
      </c>
      <c r="AJ237" s="136">
        <v>0</v>
      </c>
      <c r="AK237" s="136">
        <v>0.47</v>
      </c>
      <c r="AL237" s="136">
        <v>2.25</v>
      </c>
      <c r="AM237" s="136">
        <v>8.9199999999999982</v>
      </c>
      <c r="AN237" s="131"/>
      <c r="AO237" s="131"/>
      <c r="AP237" s="131"/>
      <c r="AQ237" s="131"/>
      <c r="AR237" s="131"/>
      <c r="AS237" s="131"/>
      <c r="AT237" s="131"/>
      <c r="AU237" s="91"/>
      <c r="AV237" s="91"/>
      <c r="AW237" s="131"/>
      <c r="AX237" s="131"/>
      <c r="AY237" s="131"/>
    </row>
    <row r="238" spans="1:51" ht="15" x14ac:dyDescent="0.25">
      <c r="A238" s="123"/>
      <c r="B238" s="124"/>
      <c r="C238" s="125">
        <v>303048</v>
      </c>
      <c r="D238" s="89"/>
      <c r="E238" s="86" t="s">
        <v>7</v>
      </c>
      <c r="F238" s="86" t="s">
        <v>418</v>
      </c>
      <c r="H238" s="126" t="s">
        <v>51</v>
      </c>
      <c r="I238" s="89">
        <v>1</v>
      </c>
      <c r="J238" s="127">
        <v>9068.8837999999996</v>
      </c>
      <c r="K238" s="127">
        <v>4775.33</v>
      </c>
      <c r="L238" s="127">
        <v>480.73</v>
      </c>
      <c r="M238" s="127">
        <v>0</v>
      </c>
      <c r="N238" s="127">
        <v>2099.3300000000013</v>
      </c>
      <c r="O238" s="127">
        <v>0</v>
      </c>
      <c r="P238" s="128">
        <f t="shared" si="27"/>
        <v>0</v>
      </c>
      <c r="Q238" s="128">
        <f t="shared" si="28"/>
        <v>0.43961987967323751</v>
      </c>
      <c r="R238" s="128">
        <f t="shared" si="29"/>
        <v>0</v>
      </c>
      <c r="S238" s="129">
        <v>0</v>
      </c>
      <c r="T238" s="129">
        <v>0</v>
      </c>
      <c r="U238" s="129">
        <v>0</v>
      </c>
      <c r="V238" s="138">
        <f t="shared" si="30"/>
        <v>3</v>
      </c>
      <c r="W238" s="138">
        <f t="shared" si="31"/>
        <v>3</v>
      </c>
      <c r="X238" s="138">
        <f t="shared" si="32"/>
        <v>1</v>
      </c>
      <c r="Y238" s="138">
        <f t="shared" si="33"/>
        <v>0</v>
      </c>
      <c r="Z238" s="138">
        <f t="shared" si="34"/>
        <v>0</v>
      </c>
      <c r="AA238" s="138">
        <f t="shared" si="35"/>
        <v>0</v>
      </c>
      <c r="AB238" s="127" t="s">
        <v>31</v>
      </c>
      <c r="AC238" s="127"/>
      <c r="AD238" s="127"/>
      <c r="AE238" s="130"/>
      <c r="AF238" s="136">
        <v>0</v>
      </c>
      <c r="AG238" s="136">
        <v>4.0599999999999996</v>
      </c>
      <c r="AH238" s="136">
        <v>0</v>
      </c>
      <c r="AI238" s="136">
        <v>2.14</v>
      </c>
      <c r="AJ238" s="136">
        <v>0</v>
      </c>
      <c r="AK238" s="136">
        <v>0.47</v>
      </c>
      <c r="AL238" s="136">
        <v>2.25</v>
      </c>
      <c r="AM238" s="136">
        <v>8.9199999999999982</v>
      </c>
      <c r="AN238" s="131"/>
      <c r="AO238" s="131"/>
      <c r="AP238" s="131"/>
      <c r="AQ238" s="131"/>
      <c r="AR238" s="131"/>
      <c r="AS238" s="131"/>
      <c r="AT238" s="131"/>
      <c r="AU238" s="91"/>
      <c r="AV238" s="91"/>
      <c r="AW238" s="131"/>
      <c r="AX238" s="131"/>
      <c r="AY238" s="131"/>
    </row>
    <row r="239" spans="1:51" ht="15" x14ac:dyDescent="0.25">
      <c r="A239" s="123"/>
      <c r="B239" s="124"/>
      <c r="C239" s="125">
        <v>378582</v>
      </c>
      <c r="D239" s="89"/>
      <c r="E239" s="86" t="s">
        <v>7</v>
      </c>
      <c r="F239" s="86" t="s">
        <v>418</v>
      </c>
      <c r="H239" s="126" t="s">
        <v>51</v>
      </c>
      <c r="I239" s="89">
        <v>1</v>
      </c>
      <c r="J239" s="127">
        <v>9068.8837999999996</v>
      </c>
      <c r="K239" s="127">
        <v>4775.33</v>
      </c>
      <c r="L239" s="127">
        <v>480.73</v>
      </c>
      <c r="M239" s="127">
        <v>0</v>
      </c>
      <c r="N239" s="127">
        <v>2099.3300000000013</v>
      </c>
      <c r="O239" s="127">
        <v>0</v>
      </c>
      <c r="P239" s="128">
        <f t="shared" si="27"/>
        <v>0</v>
      </c>
      <c r="Q239" s="128">
        <f t="shared" si="28"/>
        <v>0.43961987967323751</v>
      </c>
      <c r="R239" s="128">
        <f t="shared" si="29"/>
        <v>0</v>
      </c>
      <c r="S239" s="129">
        <v>0</v>
      </c>
      <c r="T239" s="129">
        <v>0</v>
      </c>
      <c r="U239" s="129">
        <v>0</v>
      </c>
      <c r="V239" s="138">
        <f t="shared" si="30"/>
        <v>3</v>
      </c>
      <c r="W239" s="138">
        <f t="shared" si="31"/>
        <v>3</v>
      </c>
      <c r="X239" s="138">
        <f t="shared" si="32"/>
        <v>1</v>
      </c>
      <c r="Y239" s="138">
        <f t="shared" si="33"/>
        <v>0</v>
      </c>
      <c r="Z239" s="138">
        <f t="shared" si="34"/>
        <v>0</v>
      </c>
      <c r="AA239" s="138">
        <f t="shared" si="35"/>
        <v>0</v>
      </c>
      <c r="AB239" s="127" t="s">
        <v>31</v>
      </c>
      <c r="AC239" s="127"/>
      <c r="AD239" s="127"/>
      <c r="AE239" s="130"/>
      <c r="AF239" s="136">
        <v>0</v>
      </c>
      <c r="AG239" s="136">
        <v>4.0599999999999996</v>
      </c>
      <c r="AH239" s="136">
        <v>0</v>
      </c>
      <c r="AI239" s="136">
        <v>2.14</v>
      </c>
      <c r="AJ239" s="136">
        <v>0</v>
      </c>
      <c r="AK239" s="136">
        <v>0.47</v>
      </c>
      <c r="AL239" s="136">
        <v>2.25</v>
      </c>
      <c r="AM239" s="136">
        <v>8.9199999999999982</v>
      </c>
      <c r="AN239" s="131"/>
      <c r="AO239" s="131"/>
      <c r="AP239" s="131"/>
      <c r="AQ239" s="131"/>
      <c r="AR239" s="131"/>
      <c r="AS239" s="131"/>
      <c r="AT239" s="131"/>
      <c r="AU239" s="91"/>
      <c r="AV239" s="91"/>
      <c r="AW239" s="131"/>
      <c r="AX239" s="131"/>
      <c r="AY239" s="131"/>
    </row>
    <row r="240" spans="1:51" ht="15" x14ac:dyDescent="0.25">
      <c r="A240" s="123"/>
      <c r="B240" s="124"/>
      <c r="C240" s="125">
        <v>390836</v>
      </c>
      <c r="D240" s="89"/>
      <c r="E240" s="86" t="s">
        <v>7</v>
      </c>
      <c r="F240" s="86" t="s">
        <v>418</v>
      </c>
      <c r="H240" s="126" t="s">
        <v>51</v>
      </c>
      <c r="I240" s="89">
        <v>1</v>
      </c>
      <c r="J240" s="127">
        <v>9068.8837999999996</v>
      </c>
      <c r="K240" s="127">
        <v>4775.33</v>
      </c>
      <c r="L240" s="127">
        <v>480.73</v>
      </c>
      <c r="M240" s="127">
        <v>0</v>
      </c>
      <c r="N240" s="127">
        <v>2099.3300000000013</v>
      </c>
      <c r="O240" s="127">
        <v>0</v>
      </c>
      <c r="P240" s="128">
        <f t="shared" si="27"/>
        <v>0</v>
      </c>
      <c r="Q240" s="128">
        <f t="shared" si="28"/>
        <v>0.43961987967323751</v>
      </c>
      <c r="R240" s="128">
        <f t="shared" si="29"/>
        <v>0</v>
      </c>
      <c r="S240" s="129">
        <v>0</v>
      </c>
      <c r="T240" s="129">
        <v>0</v>
      </c>
      <c r="U240" s="129">
        <v>0</v>
      </c>
      <c r="V240" s="138">
        <f t="shared" si="30"/>
        <v>3</v>
      </c>
      <c r="W240" s="138">
        <f t="shared" si="31"/>
        <v>3</v>
      </c>
      <c r="X240" s="138">
        <f t="shared" si="32"/>
        <v>1</v>
      </c>
      <c r="Y240" s="138">
        <f t="shared" si="33"/>
        <v>0</v>
      </c>
      <c r="Z240" s="138">
        <f t="shared" si="34"/>
        <v>0</v>
      </c>
      <c r="AA240" s="138">
        <f t="shared" si="35"/>
        <v>0</v>
      </c>
      <c r="AB240" s="127" t="s">
        <v>31</v>
      </c>
      <c r="AC240" s="127"/>
      <c r="AD240" s="127"/>
      <c r="AE240" s="130"/>
      <c r="AF240" s="136">
        <v>0</v>
      </c>
      <c r="AG240" s="136">
        <v>4.0599999999999996</v>
      </c>
      <c r="AH240" s="136">
        <v>0</v>
      </c>
      <c r="AI240" s="136">
        <v>2.14</v>
      </c>
      <c r="AJ240" s="136">
        <v>0</v>
      </c>
      <c r="AK240" s="136">
        <v>0.47</v>
      </c>
      <c r="AL240" s="136">
        <v>2.25</v>
      </c>
      <c r="AM240" s="136">
        <v>8.9199999999999982</v>
      </c>
      <c r="AN240" s="131"/>
      <c r="AO240" s="131"/>
      <c r="AP240" s="131"/>
      <c r="AQ240" s="131"/>
      <c r="AR240" s="131"/>
      <c r="AS240" s="131"/>
      <c r="AT240" s="131"/>
      <c r="AU240" s="91"/>
      <c r="AV240" s="91"/>
      <c r="AW240" s="131"/>
      <c r="AX240" s="131"/>
      <c r="AY240" s="131"/>
    </row>
    <row r="241" spans="1:51" ht="15" x14ac:dyDescent="0.25">
      <c r="A241" s="123"/>
      <c r="B241" s="124"/>
      <c r="C241" s="125">
        <v>402877</v>
      </c>
      <c r="D241" s="89"/>
      <c r="E241" s="86" t="s">
        <v>7</v>
      </c>
      <c r="F241" s="86" t="s">
        <v>418</v>
      </c>
      <c r="H241" s="126" t="s">
        <v>51</v>
      </c>
      <c r="I241" s="89">
        <v>1</v>
      </c>
      <c r="J241" s="127">
        <v>9068.8837999999996</v>
      </c>
      <c r="K241" s="127">
        <v>4775.33</v>
      </c>
      <c r="L241" s="127">
        <v>480.73</v>
      </c>
      <c r="M241" s="127">
        <v>0</v>
      </c>
      <c r="N241" s="127">
        <v>2099.3300000000013</v>
      </c>
      <c r="O241" s="127">
        <v>0</v>
      </c>
      <c r="P241" s="128">
        <f t="shared" si="27"/>
        <v>0</v>
      </c>
      <c r="Q241" s="128">
        <f t="shared" si="28"/>
        <v>0.43961987967323751</v>
      </c>
      <c r="R241" s="128">
        <f t="shared" si="29"/>
        <v>0</v>
      </c>
      <c r="S241" s="129">
        <v>0</v>
      </c>
      <c r="T241" s="129">
        <v>0</v>
      </c>
      <c r="U241" s="129">
        <v>0</v>
      </c>
      <c r="V241" s="138">
        <f t="shared" si="30"/>
        <v>3</v>
      </c>
      <c r="W241" s="138">
        <f t="shared" si="31"/>
        <v>3</v>
      </c>
      <c r="X241" s="138">
        <f t="shared" si="32"/>
        <v>1</v>
      </c>
      <c r="Y241" s="138">
        <f t="shared" si="33"/>
        <v>0</v>
      </c>
      <c r="Z241" s="138">
        <f t="shared" si="34"/>
        <v>0</v>
      </c>
      <c r="AA241" s="138">
        <f t="shared" si="35"/>
        <v>0</v>
      </c>
      <c r="AB241" s="127" t="s">
        <v>31</v>
      </c>
      <c r="AC241" s="127"/>
      <c r="AD241" s="127"/>
      <c r="AE241" s="130"/>
      <c r="AF241" s="136">
        <v>0</v>
      </c>
      <c r="AG241" s="136">
        <v>4.0599999999999996</v>
      </c>
      <c r="AH241" s="136">
        <v>0</v>
      </c>
      <c r="AI241" s="136">
        <v>2.14</v>
      </c>
      <c r="AJ241" s="136">
        <v>0</v>
      </c>
      <c r="AK241" s="136">
        <v>0.47</v>
      </c>
      <c r="AL241" s="136">
        <v>2.25</v>
      </c>
      <c r="AM241" s="136">
        <v>8.9199999999999982</v>
      </c>
      <c r="AN241" s="131"/>
      <c r="AO241" s="131"/>
      <c r="AP241" s="131"/>
      <c r="AQ241" s="131"/>
      <c r="AR241" s="131"/>
      <c r="AS241" s="131"/>
      <c r="AT241" s="131"/>
      <c r="AU241" s="91"/>
      <c r="AV241" s="91"/>
      <c r="AW241" s="131"/>
      <c r="AX241" s="131"/>
      <c r="AY241" s="131"/>
    </row>
    <row r="242" spans="1:51" ht="15" x14ac:dyDescent="0.25">
      <c r="A242" s="123"/>
      <c r="B242" s="124"/>
      <c r="C242" s="125">
        <v>404474</v>
      </c>
      <c r="D242" s="89"/>
      <c r="E242" s="86" t="s">
        <v>7</v>
      </c>
      <c r="F242" s="86" t="s">
        <v>418</v>
      </c>
      <c r="H242" s="126" t="s">
        <v>51</v>
      </c>
      <c r="I242" s="89">
        <v>1</v>
      </c>
      <c r="J242" s="127">
        <v>9068.8837999999996</v>
      </c>
      <c r="K242" s="127">
        <v>4775.33</v>
      </c>
      <c r="L242" s="127">
        <v>480.73</v>
      </c>
      <c r="M242" s="127">
        <v>0</v>
      </c>
      <c r="N242" s="127">
        <v>2099.3300000000013</v>
      </c>
      <c r="O242" s="127">
        <v>0</v>
      </c>
      <c r="P242" s="128">
        <f t="shared" si="27"/>
        <v>0</v>
      </c>
      <c r="Q242" s="128">
        <f t="shared" si="28"/>
        <v>0.43961987967323751</v>
      </c>
      <c r="R242" s="128">
        <f t="shared" si="29"/>
        <v>0</v>
      </c>
      <c r="S242" s="129">
        <v>0</v>
      </c>
      <c r="T242" s="129">
        <v>0</v>
      </c>
      <c r="U242" s="129">
        <v>0</v>
      </c>
      <c r="V242" s="138">
        <f t="shared" si="30"/>
        <v>3</v>
      </c>
      <c r="W242" s="138">
        <f t="shared" si="31"/>
        <v>3</v>
      </c>
      <c r="X242" s="138">
        <f t="shared" si="32"/>
        <v>1</v>
      </c>
      <c r="Y242" s="138">
        <f t="shared" si="33"/>
        <v>0</v>
      </c>
      <c r="Z242" s="138">
        <f t="shared" si="34"/>
        <v>0</v>
      </c>
      <c r="AA242" s="138">
        <f t="shared" si="35"/>
        <v>0</v>
      </c>
      <c r="AB242" s="127" t="s">
        <v>31</v>
      </c>
      <c r="AC242" s="127"/>
      <c r="AD242" s="127"/>
      <c r="AE242" s="130"/>
      <c r="AF242" s="136">
        <v>0</v>
      </c>
      <c r="AG242" s="136">
        <v>4.0599999999999996</v>
      </c>
      <c r="AH242" s="136">
        <v>0</v>
      </c>
      <c r="AI242" s="136">
        <v>2.14</v>
      </c>
      <c r="AJ242" s="136">
        <v>0</v>
      </c>
      <c r="AK242" s="136">
        <v>0.47</v>
      </c>
      <c r="AL242" s="136">
        <v>2.25</v>
      </c>
      <c r="AM242" s="136">
        <v>8.9199999999999982</v>
      </c>
      <c r="AN242" s="131"/>
      <c r="AO242" s="131"/>
      <c r="AP242" s="131"/>
      <c r="AQ242" s="131"/>
      <c r="AR242" s="131"/>
      <c r="AS242" s="131"/>
      <c r="AT242" s="131"/>
      <c r="AU242" s="91"/>
      <c r="AV242" s="91"/>
      <c r="AW242" s="131"/>
      <c r="AX242" s="131"/>
      <c r="AY242" s="131"/>
    </row>
    <row r="243" spans="1:51" ht="15" x14ac:dyDescent="0.25">
      <c r="A243" s="123"/>
      <c r="B243" s="124"/>
      <c r="C243" s="125">
        <v>420490</v>
      </c>
      <c r="D243" s="89"/>
      <c r="E243" s="86" t="s">
        <v>7</v>
      </c>
      <c r="F243" s="86" t="s">
        <v>418</v>
      </c>
      <c r="H243" s="126" t="s">
        <v>51</v>
      </c>
      <c r="I243" s="89">
        <v>2</v>
      </c>
      <c r="J243" s="127">
        <v>9068.8837999999996</v>
      </c>
      <c r="K243" s="127">
        <v>4775.33</v>
      </c>
      <c r="L243" s="127">
        <v>480.73</v>
      </c>
      <c r="M243" s="127">
        <v>0</v>
      </c>
      <c r="N243" s="127">
        <v>2099.3300000000013</v>
      </c>
      <c r="O243" s="127">
        <v>0</v>
      </c>
      <c r="P243" s="128">
        <f t="shared" si="27"/>
        <v>0</v>
      </c>
      <c r="Q243" s="128">
        <f t="shared" si="28"/>
        <v>0.43961987967323751</v>
      </c>
      <c r="R243" s="128">
        <f t="shared" si="29"/>
        <v>0</v>
      </c>
      <c r="S243" s="129">
        <v>0</v>
      </c>
      <c r="T243" s="129">
        <v>1</v>
      </c>
      <c r="U243" s="129">
        <v>0</v>
      </c>
      <c r="V243" s="138">
        <f t="shared" si="30"/>
        <v>4</v>
      </c>
      <c r="W243" s="138">
        <f t="shared" si="31"/>
        <v>4</v>
      </c>
      <c r="X243" s="138">
        <f t="shared" si="32"/>
        <v>2</v>
      </c>
      <c r="Y243" s="138">
        <f t="shared" si="33"/>
        <v>0</v>
      </c>
      <c r="Z243" s="138">
        <f t="shared" si="34"/>
        <v>4</v>
      </c>
      <c r="AA243" s="138">
        <f t="shared" si="35"/>
        <v>0</v>
      </c>
      <c r="AB243" s="127" t="s">
        <v>31</v>
      </c>
      <c r="AC243" s="127"/>
      <c r="AD243" s="127"/>
      <c r="AE243" s="130"/>
      <c r="AF243" s="136">
        <v>0</v>
      </c>
      <c r="AG243" s="136">
        <v>4.0599999999999996</v>
      </c>
      <c r="AH243" s="136">
        <v>40.369999999999997</v>
      </c>
      <c r="AI243" s="136">
        <v>2.14</v>
      </c>
      <c r="AJ243" s="136">
        <v>0</v>
      </c>
      <c r="AK243" s="136">
        <v>0.47</v>
      </c>
      <c r="AL243" s="136">
        <v>2.25</v>
      </c>
      <c r="AM243" s="136">
        <v>49.29</v>
      </c>
      <c r="AN243" s="131"/>
      <c r="AO243" s="131"/>
      <c r="AP243" s="131"/>
      <c r="AQ243" s="131"/>
      <c r="AR243" s="131"/>
      <c r="AS243" s="131"/>
      <c r="AT243" s="131"/>
      <c r="AU243" s="91"/>
      <c r="AV243" s="91"/>
      <c r="AW243" s="131"/>
      <c r="AX243" s="131"/>
      <c r="AY243" s="131"/>
    </row>
    <row r="244" spans="1:51" ht="15" x14ac:dyDescent="0.25">
      <c r="A244" s="123"/>
      <c r="B244" s="124"/>
      <c r="C244" s="125">
        <v>461070</v>
      </c>
      <c r="D244" s="89"/>
      <c r="E244" s="86" t="s">
        <v>7</v>
      </c>
      <c r="F244" s="86" t="s">
        <v>418</v>
      </c>
      <c r="H244" s="126" t="s">
        <v>51</v>
      </c>
      <c r="I244" s="89">
        <v>1</v>
      </c>
      <c r="J244" s="127">
        <v>9068.8837999999996</v>
      </c>
      <c r="K244" s="127">
        <v>4775.33</v>
      </c>
      <c r="L244" s="127">
        <v>480.73</v>
      </c>
      <c r="M244" s="127">
        <v>0</v>
      </c>
      <c r="N244" s="127">
        <v>2099.3300000000013</v>
      </c>
      <c r="O244" s="127">
        <v>0</v>
      </c>
      <c r="P244" s="128">
        <f t="shared" si="27"/>
        <v>0</v>
      </c>
      <c r="Q244" s="128">
        <f t="shared" si="28"/>
        <v>0.43961987967323751</v>
      </c>
      <c r="R244" s="128">
        <f t="shared" si="29"/>
        <v>0</v>
      </c>
      <c r="S244" s="129">
        <v>0</v>
      </c>
      <c r="T244" s="129">
        <v>0</v>
      </c>
      <c r="U244" s="129">
        <v>0</v>
      </c>
      <c r="V244" s="138">
        <f t="shared" si="30"/>
        <v>3</v>
      </c>
      <c r="W244" s="138">
        <f t="shared" si="31"/>
        <v>3</v>
      </c>
      <c r="X244" s="138">
        <f t="shared" si="32"/>
        <v>1</v>
      </c>
      <c r="Y244" s="138">
        <f t="shared" si="33"/>
        <v>0</v>
      </c>
      <c r="Z244" s="138">
        <f t="shared" si="34"/>
        <v>0</v>
      </c>
      <c r="AA244" s="138">
        <f t="shared" si="35"/>
        <v>0</v>
      </c>
      <c r="AB244" s="127" t="s">
        <v>31</v>
      </c>
      <c r="AC244" s="127"/>
      <c r="AD244" s="127"/>
      <c r="AE244" s="130"/>
      <c r="AF244" s="136">
        <v>0</v>
      </c>
      <c r="AG244" s="136">
        <v>4.0599999999999996</v>
      </c>
      <c r="AH244" s="136">
        <v>0</v>
      </c>
      <c r="AI244" s="136">
        <v>2.14</v>
      </c>
      <c r="AJ244" s="136">
        <v>0</v>
      </c>
      <c r="AK244" s="136">
        <v>0.47</v>
      </c>
      <c r="AL244" s="136">
        <v>2.25</v>
      </c>
      <c r="AM244" s="136">
        <v>8.9199999999999982</v>
      </c>
      <c r="AN244" s="131"/>
      <c r="AO244" s="131"/>
      <c r="AP244" s="131"/>
      <c r="AQ244" s="131"/>
      <c r="AR244" s="131"/>
      <c r="AS244" s="131"/>
      <c r="AT244" s="131"/>
      <c r="AU244" s="91"/>
      <c r="AV244" s="91"/>
      <c r="AW244" s="131"/>
      <c r="AX244" s="131"/>
      <c r="AY244" s="131"/>
    </row>
    <row r="245" spans="1:51" ht="15" x14ac:dyDescent="0.25">
      <c r="A245" s="123"/>
      <c r="B245" s="124"/>
      <c r="C245" s="125">
        <v>488877</v>
      </c>
      <c r="D245" s="89"/>
      <c r="E245" s="86" t="s">
        <v>7</v>
      </c>
      <c r="F245" s="86" t="s">
        <v>418</v>
      </c>
      <c r="H245" s="126" t="s">
        <v>51</v>
      </c>
      <c r="I245" s="89">
        <v>1</v>
      </c>
      <c r="J245" s="127">
        <v>9068.8837999999996</v>
      </c>
      <c r="K245" s="127">
        <v>4775.33</v>
      </c>
      <c r="L245" s="127">
        <v>480.73</v>
      </c>
      <c r="M245" s="127">
        <v>0</v>
      </c>
      <c r="N245" s="127">
        <v>2099.3300000000013</v>
      </c>
      <c r="O245" s="127">
        <v>0</v>
      </c>
      <c r="P245" s="128">
        <f t="shared" si="27"/>
        <v>0</v>
      </c>
      <c r="Q245" s="128">
        <f t="shared" si="28"/>
        <v>0.43961987967323751</v>
      </c>
      <c r="R245" s="128">
        <f t="shared" si="29"/>
        <v>0</v>
      </c>
      <c r="S245" s="129">
        <v>0</v>
      </c>
      <c r="T245" s="129">
        <v>0</v>
      </c>
      <c r="U245" s="129">
        <v>0</v>
      </c>
      <c r="V245" s="138">
        <f t="shared" si="30"/>
        <v>3</v>
      </c>
      <c r="W245" s="138">
        <f t="shared" si="31"/>
        <v>3</v>
      </c>
      <c r="X245" s="138">
        <f t="shared" si="32"/>
        <v>1</v>
      </c>
      <c r="Y245" s="138">
        <f t="shared" si="33"/>
        <v>0</v>
      </c>
      <c r="Z245" s="138">
        <f t="shared" si="34"/>
        <v>0</v>
      </c>
      <c r="AA245" s="138">
        <f t="shared" si="35"/>
        <v>0</v>
      </c>
      <c r="AB245" s="127" t="s">
        <v>31</v>
      </c>
      <c r="AC245" s="127"/>
      <c r="AD245" s="127"/>
      <c r="AE245" s="130"/>
      <c r="AF245" s="136">
        <v>0</v>
      </c>
      <c r="AG245" s="136">
        <v>4.0599999999999996</v>
      </c>
      <c r="AH245" s="136">
        <v>0</v>
      </c>
      <c r="AI245" s="136">
        <v>2.14</v>
      </c>
      <c r="AJ245" s="136">
        <v>0</v>
      </c>
      <c r="AK245" s="136">
        <v>0.47</v>
      </c>
      <c r="AL245" s="136">
        <v>2.25</v>
      </c>
      <c r="AM245" s="136">
        <v>8.9199999999999982</v>
      </c>
      <c r="AN245" s="131"/>
      <c r="AO245" s="131"/>
      <c r="AP245" s="131"/>
      <c r="AQ245" s="131"/>
      <c r="AR245" s="131"/>
      <c r="AS245" s="131"/>
      <c r="AT245" s="131"/>
      <c r="AU245" s="91"/>
      <c r="AV245" s="91"/>
      <c r="AW245" s="131"/>
      <c r="AX245" s="131"/>
      <c r="AY245" s="131"/>
    </row>
    <row r="246" spans="1:51" ht="15" x14ac:dyDescent="0.25">
      <c r="A246" s="123"/>
      <c r="B246" s="124"/>
      <c r="C246" s="125">
        <v>493334</v>
      </c>
      <c r="D246" s="89"/>
      <c r="E246" s="86" t="s">
        <v>7</v>
      </c>
      <c r="F246" s="86" t="s">
        <v>418</v>
      </c>
      <c r="H246" s="126" t="s">
        <v>51</v>
      </c>
      <c r="I246" s="89">
        <v>1</v>
      </c>
      <c r="J246" s="127">
        <v>9068.8837999999996</v>
      </c>
      <c r="K246" s="127">
        <v>4775.33</v>
      </c>
      <c r="L246" s="127">
        <v>480.73</v>
      </c>
      <c r="M246" s="127">
        <v>0</v>
      </c>
      <c r="N246" s="127">
        <v>2099.3300000000013</v>
      </c>
      <c r="O246" s="127">
        <v>0</v>
      </c>
      <c r="P246" s="128">
        <f t="shared" si="27"/>
        <v>0</v>
      </c>
      <c r="Q246" s="128">
        <f t="shared" si="28"/>
        <v>0.43961987967323751</v>
      </c>
      <c r="R246" s="128">
        <f t="shared" si="29"/>
        <v>0</v>
      </c>
      <c r="S246" s="129">
        <v>0</v>
      </c>
      <c r="T246" s="129">
        <v>0</v>
      </c>
      <c r="U246" s="129">
        <v>0</v>
      </c>
      <c r="V246" s="138">
        <f t="shared" si="30"/>
        <v>3</v>
      </c>
      <c r="W246" s="138">
        <f t="shared" si="31"/>
        <v>3</v>
      </c>
      <c r="X246" s="138">
        <f t="shared" si="32"/>
        <v>1</v>
      </c>
      <c r="Y246" s="138">
        <f t="shared" si="33"/>
        <v>0</v>
      </c>
      <c r="Z246" s="138">
        <f t="shared" si="34"/>
        <v>0</v>
      </c>
      <c r="AA246" s="138">
        <f t="shared" si="35"/>
        <v>0</v>
      </c>
      <c r="AB246" s="127" t="s">
        <v>31</v>
      </c>
      <c r="AC246" s="127"/>
      <c r="AD246" s="127"/>
      <c r="AE246" s="130"/>
      <c r="AF246" s="136">
        <v>0</v>
      </c>
      <c r="AG246" s="136">
        <v>4.0599999999999996</v>
      </c>
      <c r="AH246" s="136">
        <v>0</v>
      </c>
      <c r="AI246" s="136">
        <v>2.14</v>
      </c>
      <c r="AJ246" s="136">
        <v>0</v>
      </c>
      <c r="AK246" s="136">
        <v>0.47</v>
      </c>
      <c r="AL246" s="136">
        <v>2.25</v>
      </c>
      <c r="AM246" s="136">
        <v>8.9199999999999982</v>
      </c>
      <c r="AN246" s="131"/>
      <c r="AO246" s="131"/>
      <c r="AP246" s="131"/>
      <c r="AQ246" s="131"/>
      <c r="AR246" s="131"/>
      <c r="AS246" s="131"/>
      <c r="AT246" s="131"/>
      <c r="AU246" s="91"/>
      <c r="AV246" s="91"/>
      <c r="AW246" s="131"/>
      <c r="AX246" s="131"/>
      <c r="AY246" s="131"/>
    </row>
    <row r="247" spans="1:51" ht="15" x14ac:dyDescent="0.25">
      <c r="A247" s="123"/>
      <c r="B247" s="124"/>
      <c r="C247" s="125">
        <v>517749</v>
      </c>
      <c r="D247" s="89"/>
      <c r="E247" s="86" t="s">
        <v>7</v>
      </c>
      <c r="F247" s="86" t="s">
        <v>418</v>
      </c>
      <c r="H247" s="126" t="s">
        <v>51</v>
      </c>
      <c r="I247" s="89">
        <v>1</v>
      </c>
      <c r="J247" s="127">
        <v>9068.8837999999996</v>
      </c>
      <c r="K247" s="127">
        <v>4775.33</v>
      </c>
      <c r="L247" s="127">
        <v>480.73</v>
      </c>
      <c r="M247" s="127">
        <v>0</v>
      </c>
      <c r="N247" s="127">
        <v>2099.3300000000013</v>
      </c>
      <c r="O247" s="127">
        <v>0</v>
      </c>
      <c r="P247" s="128">
        <f t="shared" si="27"/>
        <v>0</v>
      </c>
      <c r="Q247" s="128">
        <f t="shared" si="28"/>
        <v>0.43961987967323751</v>
      </c>
      <c r="R247" s="128">
        <f t="shared" si="29"/>
        <v>0</v>
      </c>
      <c r="S247" s="129">
        <v>0</v>
      </c>
      <c r="T247" s="129">
        <v>0</v>
      </c>
      <c r="U247" s="129">
        <v>0</v>
      </c>
      <c r="V247" s="138">
        <f t="shared" si="30"/>
        <v>3</v>
      </c>
      <c r="W247" s="138">
        <f t="shared" si="31"/>
        <v>3</v>
      </c>
      <c r="X247" s="138">
        <f t="shared" si="32"/>
        <v>1</v>
      </c>
      <c r="Y247" s="138">
        <f t="shared" si="33"/>
        <v>0</v>
      </c>
      <c r="Z247" s="138">
        <f t="shared" si="34"/>
        <v>0</v>
      </c>
      <c r="AA247" s="138">
        <f t="shared" si="35"/>
        <v>0</v>
      </c>
      <c r="AB247" s="127" t="s">
        <v>31</v>
      </c>
      <c r="AC247" s="127"/>
      <c r="AD247" s="127"/>
      <c r="AE247" s="130"/>
      <c r="AF247" s="136">
        <v>0</v>
      </c>
      <c r="AG247" s="136">
        <v>4.0599999999999996</v>
      </c>
      <c r="AH247" s="136">
        <v>0</v>
      </c>
      <c r="AI247" s="136">
        <v>2.14</v>
      </c>
      <c r="AJ247" s="136">
        <v>0</v>
      </c>
      <c r="AK247" s="136">
        <v>0.47</v>
      </c>
      <c r="AL247" s="136">
        <v>2.25</v>
      </c>
      <c r="AM247" s="136">
        <v>8.9199999999999982</v>
      </c>
      <c r="AN247" s="131"/>
      <c r="AO247" s="131"/>
      <c r="AP247" s="131"/>
      <c r="AQ247" s="131"/>
      <c r="AR247" s="131"/>
      <c r="AS247" s="131"/>
      <c r="AT247" s="131"/>
      <c r="AU247" s="91"/>
      <c r="AV247" s="91"/>
      <c r="AW247" s="131"/>
      <c r="AX247" s="131"/>
      <c r="AY247" s="131"/>
    </row>
    <row r="248" spans="1:51" ht="15" x14ac:dyDescent="0.25">
      <c r="A248" s="123"/>
      <c r="B248" s="124"/>
      <c r="C248" s="125">
        <v>553026</v>
      </c>
      <c r="D248" s="89"/>
      <c r="E248" s="86" t="s">
        <v>7</v>
      </c>
      <c r="F248" s="86" t="s">
        <v>418</v>
      </c>
      <c r="H248" s="126" t="s">
        <v>51</v>
      </c>
      <c r="I248" s="89">
        <v>1</v>
      </c>
      <c r="J248" s="127">
        <v>9068.8837999999996</v>
      </c>
      <c r="K248" s="127">
        <v>4775.33</v>
      </c>
      <c r="L248" s="127">
        <v>480.73</v>
      </c>
      <c r="M248" s="127">
        <v>0</v>
      </c>
      <c r="N248" s="127">
        <v>2099.3300000000013</v>
      </c>
      <c r="O248" s="127">
        <v>0</v>
      </c>
      <c r="P248" s="128">
        <f t="shared" si="27"/>
        <v>0</v>
      </c>
      <c r="Q248" s="128">
        <f t="shared" si="28"/>
        <v>0.43961987967323751</v>
      </c>
      <c r="R248" s="128">
        <f t="shared" si="29"/>
        <v>0</v>
      </c>
      <c r="S248" s="129">
        <v>0</v>
      </c>
      <c r="T248" s="129">
        <v>0</v>
      </c>
      <c r="U248" s="129">
        <v>0</v>
      </c>
      <c r="V248" s="138">
        <f t="shared" si="30"/>
        <v>3</v>
      </c>
      <c r="W248" s="138">
        <f t="shared" si="31"/>
        <v>3</v>
      </c>
      <c r="X248" s="138">
        <f t="shared" si="32"/>
        <v>1</v>
      </c>
      <c r="Y248" s="138">
        <f t="shared" si="33"/>
        <v>0</v>
      </c>
      <c r="Z248" s="138">
        <f t="shared" si="34"/>
        <v>0</v>
      </c>
      <c r="AA248" s="138">
        <f t="shared" si="35"/>
        <v>0</v>
      </c>
      <c r="AB248" s="127" t="s">
        <v>31</v>
      </c>
      <c r="AC248" s="127"/>
      <c r="AD248" s="127"/>
      <c r="AE248" s="130"/>
      <c r="AF248" s="136">
        <v>0</v>
      </c>
      <c r="AG248" s="136">
        <v>4.0599999999999996</v>
      </c>
      <c r="AH248" s="136">
        <v>0</v>
      </c>
      <c r="AI248" s="136">
        <v>2.14</v>
      </c>
      <c r="AJ248" s="136">
        <v>0</v>
      </c>
      <c r="AK248" s="136">
        <v>0.47</v>
      </c>
      <c r="AL248" s="136">
        <v>2.25</v>
      </c>
      <c r="AM248" s="136">
        <v>8.9199999999999982</v>
      </c>
      <c r="AN248" s="131"/>
      <c r="AO248" s="131"/>
      <c r="AP248" s="131"/>
      <c r="AQ248" s="131"/>
      <c r="AR248" s="131"/>
      <c r="AS248" s="131"/>
      <c r="AT248" s="131"/>
      <c r="AU248" s="91"/>
      <c r="AV248" s="91"/>
      <c r="AW248" s="131"/>
      <c r="AX248" s="131"/>
      <c r="AY248" s="131"/>
    </row>
    <row r="249" spans="1:51" ht="15" x14ac:dyDescent="0.25">
      <c r="A249" s="123"/>
      <c r="B249" s="124"/>
      <c r="C249" s="125">
        <v>625954</v>
      </c>
      <c r="D249" s="89"/>
      <c r="E249" s="86" t="s">
        <v>7</v>
      </c>
      <c r="F249" s="86" t="s">
        <v>418</v>
      </c>
      <c r="H249" s="126" t="s">
        <v>51</v>
      </c>
      <c r="I249" s="89">
        <v>1</v>
      </c>
      <c r="J249" s="127">
        <v>9068.8837999999996</v>
      </c>
      <c r="K249" s="127">
        <v>4775.33</v>
      </c>
      <c r="L249" s="127">
        <v>480.73</v>
      </c>
      <c r="M249" s="127">
        <v>0</v>
      </c>
      <c r="N249" s="127">
        <v>2099.3300000000013</v>
      </c>
      <c r="O249" s="127">
        <v>0</v>
      </c>
      <c r="P249" s="128">
        <f t="shared" si="27"/>
        <v>0</v>
      </c>
      <c r="Q249" s="128">
        <f t="shared" si="28"/>
        <v>0.43961987967323751</v>
      </c>
      <c r="R249" s="128">
        <f t="shared" si="29"/>
        <v>0</v>
      </c>
      <c r="S249" s="129">
        <v>0</v>
      </c>
      <c r="T249" s="129">
        <v>0</v>
      </c>
      <c r="U249" s="129">
        <v>0</v>
      </c>
      <c r="V249" s="138">
        <f t="shared" si="30"/>
        <v>3</v>
      </c>
      <c r="W249" s="138">
        <f t="shared" si="31"/>
        <v>3</v>
      </c>
      <c r="X249" s="138">
        <f t="shared" si="32"/>
        <v>1</v>
      </c>
      <c r="Y249" s="138">
        <f t="shared" si="33"/>
        <v>0</v>
      </c>
      <c r="Z249" s="138">
        <f t="shared" si="34"/>
        <v>0</v>
      </c>
      <c r="AA249" s="138">
        <f t="shared" si="35"/>
        <v>0</v>
      </c>
      <c r="AB249" s="127" t="s">
        <v>31</v>
      </c>
      <c r="AC249" s="127"/>
      <c r="AD249" s="127"/>
      <c r="AE249" s="130"/>
      <c r="AF249" s="136">
        <v>0</v>
      </c>
      <c r="AG249" s="136">
        <v>4.0599999999999996</v>
      </c>
      <c r="AH249" s="136">
        <v>0</v>
      </c>
      <c r="AI249" s="136">
        <v>2.14</v>
      </c>
      <c r="AJ249" s="136">
        <v>0</v>
      </c>
      <c r="AK249" s="136">
        <v>0.47</v>
      </c>
      <c r="AL249" s="136">
        <v>2.25</v>
      </c>
      <c r="AM249" s="136">
        <v>8.9199999999999982</v>
      </c>
      <c r="AN249" s="131"/>
      <c r="AO249" s="131"/>
      <c r="AP249" s="131"/>
      <c r="AQ249" s="131"/>
      <c r="AR249" s="131"/>
      <c r="AS249" s="131"/>
      <c r="AT249" s="131"/>
      <c r="AU249" s="91"/>
      <c r="AV249" s="91"/>
      <c r="AW249" s="131"/>
      <c r="AX249" s="131"/>
      <c r="AY249" s="131"/>
    </row>
    <row r="250" spans="1:51" ht="15" x14ac:dyDescent="0.25">
      <c r="A250" s="123"/>
      <c r="B250" s="124"/>
      <c r="C250" s="125">
        <v>626869</v>
      </c>
      <c r="D250" s="89"/>
      <c r="E250" s="86" t="s">
        <v>7</v>
      </c>
      <c r="F250" s="86" t="s">
        <v>418</v>
      </c>
      <c r="H250" s="126" t="s">
        <v>51</v>
      </c>
      <c r="I250" s="89">
        <v>1</v>
      </c>
      <c r="J250" s="127">
        <v>9068.8837999999996</v>
      </c>
      <c r="K250" s="127">
        <v>4775.33</v>
      </c>
      <c r="L250" s="127">
        <v>480.73</v>
      </c>
      <c r="M250" s="127">
        <v>0</v>
      </c>
      <c r="N250" s="127">
        <v>2099.3300000000013</v>
      </c>
      <c r="O250" s="127">
        <v>0</v>
      </c>
      <c r="P250" s="128">
        <f t="shared" si="27"/>
        <v>0</v>
      </c>
      <c r="Q250" s="128">
        <f t="shared" si="28"/>
        <v>0.43961987967323751</v>
      </c>
      <c r="R250" s="128">
        <f t="shared" si="29"/>
        <v>0</v>
      </c>
      <c r="S250" s="129">
        <v>0</v>
      </c>
      <c r="T250" s="129">
        <v>0</v>
      </c>
      <c r="U250" s="129">
        <v>0</v>
      </c>
      <c r="V250" s="138">
        <f t="shared" si="30"/>
        <v>3</v>
      </c>
      <c r="W250" s="138">
        <f t="shared" si="31"/>
        <v>3</v>
      </c>
      <c r="X250" s="138">
        <f t="shared" si="32"/>
        <v>1</v>
      </c>
      <c r="Y250" s="138">
        <f t="shared" si="33"/>
        <v>0</v>
      </c>
      <c r="Z250" s="138">
        <f t="shared" si="34"/>
        <v>0</v>
      </c>
      <c r="AA250" s="138">
        <f t="shared" si="35"/>
        <v>0</v>
      </c>
      <c r="AB250" s="127" t="s">
        <v>31</v>
      </c>
      <c r="AC250" s="127"/>
      <c r="AD250" s="127"/>
      <c r="AE250" s="130"/>
      <c r="AF250" s="136">
        <v>0</v>
      </c>
      <c r="AG250" s="136">
        <v>4.0599999999999996</v>
      </c>
      <c r="AH250" s="136">
        <v>0</v>
      </c>
      <c r="AI250" s="136">
        <v>2.14</v>
      </c>
      <c r="AJ250" s="136">
        <v>0</v>
      </c>
      <c r="AK250" s="136">
        <v>0.47</v>
      </c>
      <c r="AL250" s="136">
        <v>2.25</v>
      </c>
      <c r="AM250" s="136">
        <v>8.9199999999999982</v>
      </c>
      <c r="AN250" s="131"/>
      <c r="AO250" s="131"/>
      <c r="AP250" s="131"/>
      <c r="AQ250" s="131"/>
      <c r="AR250" s="131"/>
      <c r="AS250" s="131"/>
      <c r="AT250" s="131"/>
      <c r="AU250" s="91"/>
      <c r="AV250" s="91"/>
      <c r="AW250" s="131"/>
      <c r="AX250" s="131"/>
      <c r="AY250" s="131"/>
    </row>
    <row r="251" spans="1:51" ht="15" x14ac:dyDescent="0.25">
      <c r="A251" s="123"/>
      <c r="B251" s="124"/>
      <c r="C251" s="125">
        <v>661890</v>
      </c>
      <c r="D251" s="89"/>
      <c r="E251" s="86" t="s">
        <v>7</v>
      </c>
      <c r="F251" s="86" t="s">
        <v>418</v>
      </c>
      <c r="H251" s="126" t="s">
        <v>51</v>
      </c>
      <c r="I251" s="89">
        <v>1</v>
      </c>
      <c r="J251" s="127">
        <v>9068.8837999999996</v>
      </c>
      <c r="K251" s="127">
        <v>4775.33</v>
      </c>
      <c r="L251" s="127">
        <v>480.73</v>
      </c>
      <c r="M251" s="127">
        <v>0</v>
      </c>
      <c r="N251" s="127">
        <v>2099.3300000000013</v>
      </c>
      <c r="O251" s="127">
        <v>0</v>
      </c>
      <c r="P251" s="128">
        <f t="shared" si="27"/>
        <v>0</v>
      </c>
      <c r="Q251" s="128">
        <f t="shared" si="28"/>
        <v>0.43961987967323751</v>
      </c>
      <c r="R251" s="128">
        <f t="shared" si="29"/>
        <v>0</v>
      </c>
      <c r="S251" s="129">
        <v>0</v>
      </c>
      <c r="T251" s="129">
        <v>0</v>
      </c>
      <c r="U251" s="129">
        <v>0</v>
      </c>
      <c r="V251" s="138">
        <f t="shared" si="30"/>
        <v>3</v>
      </c>
      <c r="W251" s="138">
        <f t="shared" si="31"/>
        <v>3</v>
      </c>
      <c r="X251" s="138">
        <f t="shared" si="32"/>
        <v>1</v>
      </c>
      <c r="Y251" s="138">
        <f t="shared" si="33"/>
        <v>0</v>
      </c>
      <c r="Z251" s="138">
        <f t="shared" si="34"/>
        <v>0</v>
      </c>
      <c r="AA251" s="138">
        <f t="shared" si="35"/>
        <v>0</v>
      </c>
      <c r="AB251" s="127" t="s">
        <v>31</v>
      </c>
      <c r="AC251" s="127"/>
      <c r="AD251" s="127"/>
      <c r="AE251" s="130"/>
      <c r="AF251" s="136">
        <v>0</v>
      </c>
      <c r="AG251" s="136">
        <v>4.0599999999999996</v>
      </c>
      <c r="AH251" s="136">
        <v>0</v>
      </c>
      <c r="AI251" s="136">
        <v>2.14</v>
      </c>
      <c r="AJ251" s="136">
        <v>0</v>
      </c>
      <c r="AK251" s="136">
        <v>0.47</v>
      </c>
      <c r="AL251" s="136">
        <v>2.25</v>
      </c>
      <c r="AM251" s="136">
        <v>8.9199999999999982</v>
      </c>
      <c r="AN251" s="131"/>
      <c r="AO251" s="131"/>
      <c r="AP251" s="131"/>
      <c r="AQ251" s="131"/>
      <c r="AR251" s="131"/>
      <c r="AS251" s="131"/>
      <c r="AT251" s="131"/>
      <c r="AU251" s="91"/>
      <c r="AV251" s="91"/>
      <c r="AW251" s="131"/>
      <c r="AX251" s="131"/>
      <c r="AY251" s="131"/>
    </row>
    <row r="252" spans="1:51" ht="15" x14ac:dyDescent="0.25">
      <c r="A252" s="123"/>
      <c r="B252" s="124"/>
      <c r="C252" s="125">
        <v>737772</v>
      </c>
      <c r="D252" s="89"/>
      <c r="E252" s="86" t="s">
        <v>7</v>
      </c>
      <c r="F252" s="86" t="s">
        <v>418</v>
      </c>
      <c r="H252" s="126" t="s">
        <v>51</v>
      </c>
      <c r="I252" s="89">
        <v>1</v>
      </c>
      <c r="J252" s="127">
        <v>9068.8837999999996</v>
      </c>
      <c r="K252" s="127">
        <v>4775.33</v>
      </c>
      <c r="L252" s="127">
        <v>480.73</v>
      </c>
      <c r="M252" s="127">
        <v>0</v>
      </c>
      <c r="N252" s="127">
        <v>2099.3300000000013</v>
      </c>
      <c r="O252" s="127">
        <v>0</v>
      </c>
      <c r="P252" s="128">
        <f t="shared" si="27"/>
        <v>0</v>
      </c>
      <c r="Q252" s="128">
        <f t="shared" si="28"/>
        <v>0.43961987967323751</v>
      </c>
      <c r="R252" s="128">
        <f t="shared" si="29"/>
        <v>0</v>
      </c>
      <c r="S252" s="129">
        <v>0</v>
      </c>
      <c r="T252" s="129">
        <v>0</v>
      </c>
      <c r="U252" s="129">
        <v>0</v>
      </c>
      <c r="V252" s="138">
        <f t="shared" si="30"/>
        <v>3</v>
      </c>
      <c r="W252" s="138">
        <f t="shared" si="31"/>
        <v>3</v>
      </c>
      <c r="X252" s="138">
        <f t="shared" si="32"/>
        <v>1</v>
      </c>
      <c r="Y252" s="138">
        <f t="shared" si="33"/>
        <v>0</v>
      </c>
      <c r="Z252" s="138">
        <f t="shared" si="34"/>
        <v>0</v>
      </c>
      <c r="AA252" s="138">
        <f t="shared" si="35"/>
        <v>0</v>
      </c>
      <c r="AB252" s="127" t="s">
        <v>31</v>
      </c>
      <c r="AC252" s="127"/>
      <c r="AD252" s="127"/>
      <c r="AE252" s="130"/>
      <c r="AF252" s="136">
        <v>0</v>
      </c>
      <c r="AG252" s="136">
        <v>4.0599999999999996</v>
      </c>
      <c r="AH252" s="136">
        <v>0</v>
      </c>
      <c r="AI252" s="136">
        <v>2.14</v>
      </c>
      <c r="AJ252" s="136">
        <v>0</v>
      </c>
      <c r="AK252" s="136">
        <v>0.47</v>
      </c>
      <c r="AL252" s="136">
        <v>2.25</v>
      </c>
      <c r="AM252" s="136">
        <v>8.9199999999999982</v>
      </c>
      <c r="AN252" s="131"/>
      <c r="AO252" s="131"/>
      <c r="AP252" s="131"/>
      <c r="AQ252" s="131"/>
      <c r="AR252" s="131"/>
      <c r="AS252" s="131"/>
      <c r="AT252" s="131"/>
      <c r="AU252" s="91"/>
      <c r="AV252" s="91"/>
      <c r="AW252" s="131"/>
      <c r="AX252" s="131"/>
      <c r="AY252" s="131"/>
    </row>
    <row r="253" spans="1:51" ht="15" x14ac:dyDescent="0.25">
      <c r="A253" s="123"/>
      <c r="B253" s="124"/>
      <c r="C253" s="125">
        <v>764496</v>
      </c>
      <c r="D253" s="89"/>
      <c r="E253" s="86" t="s">
        <v>7</v>
      </c>
      <c r="F253" s="86" t="s">
        <v>418</v>
      </c>
      <c r="H253" s="126" t="s">
        <v>51</v>
      </c>
      <c r="I253" s="89">
        <v>1</v>
      </c>
      <c r="J253" s="127">
        <v>9068.8837999999996</v>
      </c>
      <c r="K253" s="127">
        <v>4775.33</v>
      </c>
      <c r="L253" s="127">
        <v>480.73</v>
      </c>
      <c r="M253" s="127">
        <v>0</v>
      </c>
      <c r="N253" s="127">
        <v>2099.3300000000013</v>
      </c>
      <c r="O253" s="127">
        <v>0</v>
      </c>
      <c r="P253" s="128">
        <f t="shared" si="27"/>
        <v>0</v>
      </c>
      <c r="Q253" s="128">
        <f t="shared" si="28"/>
        <v>0.43961987967323751</v>
      </c>
      <c r="R253" s="128">
        <f t="shared" si="29"/>
        <v>0</v>
      </c>
      <c r="S253" s="129">
        <v>0</v>
      </c>
      <c r="T253" s="129">
        <v>0</v>
      </c>
      <c r="U253" s="129">
        <v>0</v>
      </c>
      <c r="V253" s="138">
        <f t="shared" si="30"/>
        <v>3</v>
      </c>
      <c r="W253" s="138">
        <f t="shared" si="31"/>
        <v>3</v>
      </c>
      <c r="X253" s="138">
        <f t="shared" si="32"/>
        <v>1</v>
      </c>
      <c r="Y253" s="138">
        <f t="shared" si="33"/>
        <v>0</v>
      </c>
      <c r="Z253" s="138">
        <f t="shared" si="34"/>
        <v>0</v>
      </c>
      <c r="AA253" s="138">
        <f t="shared" si="35"/>
        <v>0</v>
      </c>
      <c r="AB253" s="127" t="s">
        <v>31</v>
      </c>
      <c r="AC253" s="127"/>
      <c r="AD253" s="127"/>
      <c r="AE253" s="130"/>
      <c r="AF253" s="136">
        <v>0</v>
      </c>
      <c r="AG253" s="136">
        <v>4.0599999999999996</v>
      </c>
      <c r="AH253" s="136">
        <v>0</v>
      </c>
      <c r="AI253" s="136">
        <v>2.14</v>
      </c>
      <c r="AJ253" s="136">
        <v>0</v>
      </c>
      <c r="AK253" s="136">
        <v>0.47</v>
      </c>
      <c r="AL253" s="136">
        <v>2.25</v>
      </c>
      <c r="AM253" s="136">
        <v>8.9199999999999982</v>
      </c>
      <c r="AN253" s="131"/>
      <c r="AO253" s="131"/>
      <c r="AP253" s="131"/>
      <c r="AQ253" s="131"/>
      <c r="AR253" s="131"/>
      <c r="AS253" s="131"/>
      <c r="AT253" s="131"/>
      <c r="AU253" s="91"/>
      <c r="AV253" s="91"/>
      <c r="AW253" s="131"/>
      <c r="AX253" s="131"/>
      <c r="AY253" s="131"/>
    </row>
    <row r="254" spans="1:51" ht="15" x14ac:dyDescent="0.25">
      <c r="A254" s="123"/>
      <c r="B254" s="124"/>
      <c r="C254" s="125">
        <v>834342</v>
      </c>
      <c r="D254" s="89"/>
      <c r="E254" s="86" t="s">
        <v>7</v>
      </c>
      <c r="F254" s="86" t="s">
        <v>418</v>
      </c>
      <c r="H254" s="126" t="s">
        <v>51</v>
      </c>
      <c r="I254" s="89">
        <v>1</v>
      </c>
      <c r="J254" s="127">
        <v>9068.8837999999996</v>
      </c>
      <c r="K254" s="127">
        <v>4775.33</v>
      </c>
      <c r="L254" s="127">
        <v>480.73</v>
      </c>
      <c r="M254" s="127">
        <v>0</v>
      </c>
      <c r="N254" s="127">
        <v>2099.3300000000013</v>
      </c>
      <c r="O254" s="127">
        <v>0</v>
      </c>
      <c r="P254" s="128">
        <f t="shared" si="27"/>
        <v>0</v>
      </c>
      <c r="Q254" s="128">
        <f t="shared" si="28"/>
        <v>0.43961987967323751</v>
      </c>
      <c r="R254" s="128">
        <f t="shared" si="29"/>
        <v>0</v>
      </c>
      <c r="S254" s="129">
        <v>0</v>
      </c>
      <c r="T254" s="129">
        <v>0</v>
      </c>
      <c r="U254" s="129">
        <v>0</v>
      </c>
      <c r="V254" s="138">
        <f t="shared" si="30"/>
        <v>3</v>
      </c>
      <c r="W254" s="138">
        <f t="shared" si="31"/>
        <v>3</v>
      </c>
      <c r="X254" s="138">
        <f t="shared" si="32"/>
        <v>1</v>
      </c>
      <c r="Y254" s="138">
        <f t="shared" si="33"/>
        <v>0</v>
      </c>
      <c r="Z254" s="138">
        <f t="shared" si="34"/>
        <v>0</v>
      </c>
      <c r="AA254" s="138">
        <f t="shared" si="35"/>
        <v>0</v>
      </c>
      <c r="AB254" s="127" t="s">
        <v>31</v>
      </c>
      <c r="AC254" s="127"/>
      <c r="AD254" s="127"/>
      <c r="AE254" s="130"/>
      <c r="AF254" s="136">
        <v>0</v>
      </c>
      <c r="AG254" s="136">
        <v>4.0599999999999996</v>
      </c>
      <c r="AH254" s="136">
        <v>0</v>
      </c>
      <c r="AI254" s="136">
        <v>2.14</v>
      </c>
      <c r="AJ254" s="136">
        <v>0</v>
      </c>
      <c r="AK254" s="136">
        <v>0.47</v>
      </c>
      <c r="AL254" s="136">
        <v>2.25</v>
      </c>
      <c r="AM254" s="136">
        <v>8.9199999999999982</v>
      </c>
      <c r="AN254" s="131"/>
      <c r="AO254" s="131"/>
      <c r="AP254" s="131"/>
      <c r="AQ254" s="131"/>
      <c r="AR254" s="131"/>
      <c r="AS254" s="131"/>
      <c r="AT254" s="131"/>
      <c r="AU254" s="91"/>
      <c r="AV254" s="91"/>
      <c r="AW254" s="131"/>
      <c r="AX254" s="131"/>
      <c r="AY254" s="131"/>
    </row>
    <row r="255" spans="1:51" ht="15" x14ac:dyDescent="0.25">
      <c r="A255" s="123"/>
      <c r="B255" s="124"/>
      <c r="C255" s="125">
        <v>891527</v>
      </c>
      <c r="D255" s="89"/>
      <c r="E255" s="86" t="s">
        <v>7</v>
      </c>
      <c r="F255" s="86" t="s">
        <v>418</v>
      </c>
      <c r="H255" s="126" t="s">
        <v>51</v>
      </c>
      <c r="I255" s="89">
        <v>1</v>
      </c>
      <c r="J255" s="127">
        <v>9068.8837999999996</v>
      </c>
      <c r="K255" s="127">
        <v>4775.33</v>
      </c>
      <c r="L255" s="127">
        <v>480.73</v>
      </c>
      <c r="M255" s="127">
        <v>0</v>
      </c>
      <c r="N255" s="127">
        <v>2099.3300000000013</v>
      </c>
      <c r="O255" s="127">
        <v>0</v>
      </c>
      <c r="P255" s="128">
        <f t="shared" si="27"/>
        <v>0</v>
      </c>
      <c r="Q255" s="128">
        <f t="shared" si="28"/>
        <v>0.43961987967323751</v>
      </c>
      <c r="R255" s="128">
        <f t="shared" si="29"/>
        <v>0</v>
      </c>
      <c r="S255" s="129">
        <v>0</v>
      </c>
      <c r="T255" s="129">
        <v>0</v>
      </c>
      <c r="U255" s="129">
        <v>0</v>
      </c>
      <c r="V255" s="138">
        <f t="shared" si="30"/>
        <v>3</v>
      </c>
      <c r="W255" s="138">
        <f t="shared" si="31"/>
        <v>3</v>
      </c>
      <c r="X255" s="138">
        <f t="shared" si="32"/>
        <v>1</v>
      </c>
      <c r="Y255" s="138">
        <f t="shared" si="33"/>
        <v>0</v>
      </c>
      <c r="Z255" s="138">
        <f t="shared" si="34"/>
        <v>0</v>
      </c>
      <c r="AA255" s="138">
        <f t="shared" si="35"/>
        <v>0</v>
      </c>
      <c r="AB255" s="127" t="s">
        <v>31</v>
      </c>
      <c r="AC255" s="127"/>
      <c r="AD255" s="127"/>
      <c r="AE255" s="130"/>
      <c r="AF255" s="136">
        <v>0</v>
      </c>
      <c r="AG255" s="136">
        <v>4.0599999999999996</v>
      </c>
      <c r="AH255" s="136">
        <v>0</v>
      </c>
      <c r="AI255" s="136">
        <v>2.14</v>
      </c>
      <c r="AJ255" s="136">
        <v>0</v>
      </c>
      <c r="AK255" s="136">
        <v>0.47</v>
      </c>
      <c r="AL255" s="136">
        <v>2.25</v>
      </c>
      <c r="AM255" s="136">
        <v>8.9199999999999982</v>
      </c>
      <c r="AN255" s="131"/>
      <c r="AO255" s="131"/>
      <c r="AP255" s="131"/>
      <c r="AQ255" s="131"/>
      <c r="AR255" s="131"/>
      <c r="AS255" s="131"/>
      <c r="AT255" s="131"/>
      <c r="AU255" s="91"/>
      <c r="AV255" s="91"/>
      <c r="AW255" s="131"/>
      <c r="AX255" s="131"/>
      <c r="AY255" s="131"/>
    </row>
    <row r="256" spans="1:51" ht="15" x14ac:dyDescent="0.25">
      <c r="A256" s="123"/>
      <c r="B256" s="124"/>
      <c r="C256" s="125">
        <v>919183</v>
      </c>
      <c r="D256" s="89"/>
      <c r="E256" s="86" t="s">
        <v>7</v>
      </c>
      <c r="F256" s="86" t="s">
        <v>418</v>
      </c>
      <c r="H256" s="126" t="s">
        <v>51</v>
      </c>
      <c r="I256" s="89">
        <v>1</v>
      </c>
      <c r="J256" s="127">
        <v>9068.8837999999996</v>
      </c>
      <c r="K256" s="127">
        <v>4775.33</v>
      </c>
      <c r="L256" s="127">
        <v>480.73</v>
      </c>
      <c r="M256" s="127">
        <v>0</v>
      </c>
      <c r="N256" s="127">
        <v>2099.3300000000013</v>
      </c>
      <c r="O256" s="127">
        <v>0</v>
      </c>
      <c r="P256" s="128">
        <f t="shared" si="27"/>
        <v>0</v>
      </c>
      <c r="Q256" s="128">
        <f t="shared" si="28"/>
        <v>0.43961987967323751</v>
      </c>
      <c r="R256" s="128">
        <f t="shared" si="29"/>
        <v>0</v>
      </c>
      <c r="S256" s="129">
        <v>0</v>
      </c>
      <c r="T256" s="129">
        <v>0</v>
      </c>
      <c r="U256" s="129">
        <v>0</v>
      </c>
      <c r="V256" s="138">
        <f t="shared" si="30"/>
        <v>3</v>
      </c>
      <c r="W256" s="138">
        <f t="shared" si="31"/>
        <v>3</v>
      </c>
      <c r="X256" s="138">
        <f t="shared" si="32"/>
        <v>1</v>
      </c>
      <c r="Y256" s="138">
        <f t="shared" si="33"/>
        <v>0</v>
      </c>
      <c r="Z256" s="138">
        <f t="shared" si="34"/>
        <v>0</v>
      </c>
      <c r="AA256" s="138">
        <f t="shared" si="35"/>
        <v>0</v>
      </c>
      <c r="AB256" s="127" t="s">
        <v>31</v>
      </c>
      <c r="AC256" s="127"/>
      <c r="AD256" s="127"/>
      <c r="AE256" s="130"/>
      <c r="AF256" s="136">
        <v>0</v>
      </c>
      <c r="AG256" s="136">
        <v>4.0599999999999996</v>
      </c>
      <c r="AH256" s="136">
        <v>0</v>
      </c>
      <c r="AI256" s="136">
        <v>2.14</v>
      </c>
      <c r="AJ256" s="136">
        <v>0</v>
      </c>
      <c r="AK256" s="136">
        <v>0.47</v>
      </c>
      <c r="AL256" s="136">
        <v>2.25</v>
      </c>
      <c r="AM256" s="136">
        <v>8.9199999999999982</v>
      </c>
      <c r="AN256" s="131"/>
      <c r="AO256" s="131"/>
      <c r="AP256" s="131"/>
      <c r="AQ256" s="131"/>
      <c r="AR256" s="131"/>
      <c r="AS256" s="131"/>
      <c r="AT256" s="131"/>
      <c r="AU256" s="91"/>
      <c r="AV256" s="91"/>
      <c r="AW256" s="131"/>
      <c r="AX256" s="131"/>
      <c r="AY256" s="131"/>
    </row>
    <row r="257" spans="1:51" ht="15" x14ac:dyDescent="0.25">
      <c r="A257" s="123"/>
      <c r="B257" s="124"/>
      <c r="C257" s="125">
        <v>957751</v>
      </c>
      <c r="D257" s="89"/>
      <c r="E257" s="86" t="s">
        <v>7</v>
      </c>
      <c r="F257" s="86" t="s">
        <v>418</v>
      </c>
      <c r="H257" s="126" t="s">
        <v>51</v>
      </c>
      <c r="I257" s="89">
        <v>1</v>
      </c>
      <c r="J257" s="127">
        <v>9068.8837999999996</v>
      </c>
      <c r="K257" s="127">
        <v>4775.33</v>
      </c>
      <c r="L257" s="127">
        <v>480.73</v>
      </c>
      <c r="M257" s="127">
        <v>0</v>
      </c>
      <c r="N257" s="127">
        <v>2099.3300000000013</v>
      </c>
      <c r="O257" s="127">
        <v>0</v>
      </c>
      <c r="P257" s="128">
        <f t="shared" si="27"/>
        <v>0</v>
      </c>
      <c r="Q257" s="128">
        <f t="shared" si="28"/>
        <v>0.43961987967323751</v>
      </c>
      <c r="R257" s="128">
        <f t="shared" si="29"/>
        <v>0</v>
      </c>
      <c r="S257" s="129">
        <v>0</v>
      </c>
      <c r="T257" s="129">
        <v>0</v>
      </c>
      <c r="U257" s="129">
        <v>0</v>
      </c>
      <c r="V257" s="138">
        <f t="shared" si="30"/>
        <v>3</v>
      </c>
      <c r="W257" s="138">
        <f t="shared" si="31"/>
        <v>3</v>
      </c>
      <c r="X257" s="138">
        <f t="shared" si="32"/>
        <v>1</v>
      </c>
      <c r="Y257" s="138">
        <f t="shared" si="33"/>
        <v>0</v>
      </c>
      <c r="Z257" s="138">
        <f t="shared" si="34"/>
        <v>0</v>
      </c>
      <c r="AA257" s="138">
        <f t="shared" si="35"/>
        <v>0</v>
      </c>
      <c r="AB257" s="127" t="s">
        <v>31</v>
      </c>
      <c r="AC257" s="127"/>
      <c r="AD257" s="127"/>
      <c r="AE257" s="130"/>
      <c r="AF257" s="136">
        <v>0</v>
      </c>
      <c r="AG257" s="136">
        <v>4.0599999999999996</v>
      </c>
      <c r="AH257" s="136">
        <v>0</v>
      </c>
      <c r="AI257" s="136">
        <v>2.14</v>
      </c>
      <c r="AJ257" s="136">
        <v>0</v>
      </c>
      <c r="AK257" s="136">
        <v>0.47</v>
      </c>
      <c r="AL257" s="136">
        <v>2.25</v>
      </c>
      <c r="AM257" s="136">
        <v>8.9199999999999982</v>
      </c>
      <c r="AN257" s="131"/>
      <c r="AO257" s="131"/>
      <c r="AP257" s="131"/>
      <c r="AQ257" s="131"/>
      <c r="AR257" s="131"/>
      <c r="AS257" s="131"/>
      <c r="AT257" s="131"/>
      <c r="AU257" s="91"/>
      <c r="AV257" s="91"/>
      <c r="AW257" s="131"/>
      <c r="AX257" s="131"/>
      <c r="AY257" s="131"/>
    </row>
    <row r="258" spans="1:51" ht="15" x14ac:dyDescent="0.25">
      <c r="A258" s="123"/>
      <c r="B258" s="124"/>
      <c r="C258" s="125">
        <v>35135</v>
      </c>
      <c r="D258" s="89"/>
      <c r="E258" s="86" t="s">
        <v>10</v>
      </c>
      <c r="F258" s="86" t="s">
        <v>418</v>
      </c>
      <c r="H258" s="126" t="s">
        <v>51</v>
      </c>
      <c r="I258" s="89">
        <v>1</v>
      </c>
      <c r="J258" s="127">
        <v>30823.569900000002</v>
      </c>
      <c r="K258" s="127">
        <v>51060.25</v>
      </c>
      <c r="L258" s="127">
        <v>6004.1399999999994</v>
      </c>
      <c r="M258" s="127">
        <v>13742.569900000013</v>
      </c>
      <c r="N258" s="127">
        <v>42026.75</v>
      </c>
      <c r="O258" s="127">
        <v>5264.6399999999994</v>
      </c>
      <c r="P258" s="128">
        <f t="shared" si="27"/>
        <v>0.44584614775590975</v>
      </c>
      <c r="Q258" s="128">
        <f t="shared" si="28"/>
        <v>0.8230815556132216</v>
      </c>
      <c r="R258" s="128">
        <f t="shared" si="29"/>
        <v>0.87683498386113579</v>
      </c>
      <c r="S258" s="129">
        <v>1</v>
      </c>
      <c r="T258" s="129">
        <v>1</v>
      </c>
      <c r="U258" s="129">
        <v>1</v>
      </c>
      <c r="V258" s="138">
        <f t="shared" si="30"/>
        <v>3</v>
      </c>
      <c r="W258" s="138">
        <f t="shared" si="31"/>
        <v>3</v>
      </c>
      <c r="X258" s="138">
        <f t="shared" si="32"/>
        <v>1</v>
      </c>
      <c r="Y258" s="138">
        <f t="shared" si="33"/>
        <v>3</v>
      </c>
      <c r="Z258" s="138">
        <f t="shared" si="34"/>
        <v>3</v>
      </c>
      <c r="AA258" s="138">
        <f t="shared" si="35"/>
        <v>1</v>
      </c>
      <c r="AB258" s="127" t="s">
        <v>32</v>
      </c>
      <c r="AC258" s="127"/>
      <c r="AD258" s="127"/>
      <c r="AE258" s="130"/>
      <c r="AF258" s="136">
        <v>9.11</v>
      </c>
      <c r="AG258" s="136">
        <v>11.33</v>
      </c>
      <c r="AH258" s="136">
        <v>27.87</v>
      </c>
      <c r="AI258" s="136">
        <v>5.99</v>
      </c>
      <c r="AJ258" s="136">
        <v>3.49</v>
      </c>
      <c r="AK258" s="136">
        <v>0.49</v>
      </c>
      <c r="AL258" s="136">
        <v>3.31</v>
      </c>
      <c r="AM258" s="136">
        <v>61.590000000000011</v>
      </c>
      <c r="AN258" s="131"/>
      <c r="AO258" s="131"/>
      <c r="AP258" s="131"/>
      <c r="AQ258" s="131"/>
      <c r="AR258" s="131"/>
      <c r="AS258" s="131"/>
      <c r="AT258" s="131"/>
      <c r="AU258" s="91"/>
      <c r="AV258" s="91"/>
      <c r="AW258" s="131"/>
      <c r="AX258" s="131"/>
      <c r="AY258" s="131"/>
    </row>
    <row r="259" spans="1:51" ht="15" x14ac:dyDescent="0.25">
      <c r="A259" s="123"/>
      <c r="B259" s="124"/>
      <c r="C259" s="125">
        <v>141000</v>
      </c>
      <c r="D259" s="89"/>
      <c r="E259" s="86" t="s">
        <v>10</v>
      </c>
      <c r="F259" s="86" t="s">
        <v>418</v>
      </c>
      <c r="H259" s="126" t="s">
        <v>51</v>
      </c>
      <c r="I259" s="89">
        <v>1</v>
      </c>
      <c r="J259" s="127">
        <v>30823.569900000002</v>
      </c>
      <c r="K259" s="127">
        <v>51060.25</v>
      </c>
      <c r="L259" s="127">
        <v>6004.1399999999994</v>
      </c>
      <c r="M259" s="127">
        <v>13742.569900000013</v>
      </c>
      <c r="N259" s="127">
        <v>42026.75</v>
      </c>
      <c r="O259" s="127">
        <v>5264.6399999999994</v>
      </c>
      <c r="P259" s="128">
        <f t="shared" si="27"/>
        <v>0.44584614775590975</v>
      </c>
      <c r="Q259" s="128">
        <f t="shared" si="28"/>
        <v>0.8230815556132216</v>
      </c>
      <c r="R259" s="128">
        <f t="shared" si="29"/>
        <v>0.87683498386113579</v>
      </c>
      <c r="S259" s="129">
        <v>1</v>
      </c>
      <c r="T259" s="129">
        <v>1</v>
      </c>
      <c r="U259" s="129">
        <v>1</v>
      </c>
      <c r="V259" s="138">
        <f t="shared" si="30"/>
        <v>3</v>
      </c>
      <c r="W259" s="138">
        <f t="shared" si="31"/>
        <v>3</v>
      </c>
      <c r="X259" s="138">
        <f t="shared" si="32"/>
        <v>1</v>
      </c>
      <c r="Y259" s="138">
        <f t="shared" si="33"/>
        <v>3</v>
      </c>
      <c r="Z259" s="138">
        <f t="shared" si="34"/>
        <v>3</v>
      </c>
      <c r="AA259" s="138">
        <f t="shared" si="35"/>
        <v>1</v>
      </c>
      <c r="AB259" s="127" t="s">
        <v>32</v>
      </c>
      <c r="AC259" s="127"/>
      <c r="AD259" s="127"/>
      <c r="AE259" s="130"/>
      <c r="AF259" s="136">
        <v>9.11</v>
      </c>
      <c r="AG259" s="136">
        <v>11.33</v>
      </c>
      <c r="AH259" s="136">
        <v>27.87</v>
      </c>
      <c r="AI259" s="136">
        <v>5.99</v>
      </c>
      <c r="AJ259" s="136">
        <v>3.49</v>
      </c>
      <c r="AK259" s="136">
        <v>0.49</v>
      </c>
      <c r="AL259" s="136">
        <v>3.31</v>
      </c>
      <c r="AM259" s="136">
        <v>61.590000000000011</v>
      </c>
      <c r="AN259" s="131"/>
      <c r="AO259" s="131"/>
      <c r="AP259" s="131"/>
      <c r="AQ259" s="131"/>
      <c r="AR259" s="131"/>
      <c r="AS259" s="131"/>
      <c r="AT259" s="131"/>
      <c r="AU259" s="91"/>
      <c r="AV259" s="91"/>
      <c r="AW259" s="131"/>
      <c r="AX259" s="131"/>
      <c r="AY259" s="131"/>
    </row>
    <row r="260" spans="1:51" ht="15" x14ac:dyDescent="0.25">
      <c r="A260" s="123"/>
      <c r="B260" s="124"/>
      <c r="C260" s="125">
        <v>210322</v>
      </c>
      <c r="D260" s="89"/>
      <c r="E260" s="86" t="s">
        <v>10</v>
      </c>
      <c r="F260" s="86" t="s">
        <v>418</v>
      </c>
      <c r="H260" s="126" t="s">
        <v>51</v>
      </c>
      <c r="I260" s="89">
        <v>1</v>
      </c>
      <c r="J260" s="127">
        <v>30823.569900000002</v>
      </c>
      <c r="K260" s="127">
        <v>51060.25</v>
      </c>
      <c r="L260" s="127">
        <v>6004.1399999999994</v>
      </c>
      <c r="M260" s="127">
        <v>13742.569900000013</v>
      </c>
      <c r="N260" s="127">
        <v>42026.75</v>
      </c>
      <c r="O260" s="127">
        <v>5264.6399999999994</v>
      </c>
      <c r="P260" s="128">
        <f t="shared" si="27"/>
        <v>0.44584614775590975</v>
      </c>
      <c r="Q260" s="128">
        <f t="shared" si="28"/>
        <v>0.8230815556132216</v>
      </c>
      <c r="R260" s="128">
        <f t="shared" si="29"/>
        <v>0.87683498386113579</v>
      </c>
      <c r="S260" s="129">
        <v>1</v>
      </c>
      <c r="T260" s="129">
        <v>1</v>
      </c>
      <c r="U260" s="129">
        <v>1</v>
      </c>
      <c r="V260" s="138">
        <f t="shared" si="30"/>
        <v>3</v>
      </c>
      <c r="W260" s="138">
        <f t="shared" si="31"/>
        <v>3</v>
      </c>
      <c r="X260" s="138">
        <f t="shared" si="32"/>
        <v>1</v>
      </c>
      <c r="Y260" s="138">
        <f t="shared" si="33"/>
        <v>3</v>
      </c>
      <c r="Z260" s="138">
        <f t="shared" si="34"/>
        <v>3</v>
      </c>
      <c r="AA260" s="138">
        <f t="shared" si="35"/>
        <v>1</v>
      </c>
      <c r="AB260" s="127" t="s">
        <v>32</v>
      </c>
      <c r="AC260" s="127"/>
      <c r="AD260" s="127"/>
      <c r="AE260" s="130"/>
      <c r="AF260" s="136">
        <v>9.11</v>
      </c>
      <c r="AG260" s="136">
        <v>11.33</v>
      </c>
      <c r="AH260" s="136">
        <v>27.87</v>
      </c>
      <c r="AI260" s="136">
        <v>5.99</v>
      </c>
      <c r="AJ260" s="136">
        <v>3.49</v>
      </c>
      <c r="AK260" s="136">
        <v>0.49</v>
      </c>
      <c r="AL260" s="136">
        <v>3.31</v>
      </c>
      <c r="AM260" s="136">
        <v>61.590000000000011</v>
      </c>
      <c r="AN260" s="131"/>
      <c r="AO260" s="131"/>
      <c r="AP260" s="131"/>
      <c r="AQ260" s="131"/>
      <c r="AR260" s="131"/>
      <c r="AS260" s="131"/>
      <c r="AT260" s="131"/>
      <c r="AU260" s="91"/>
      <c r="AV260" s="91"/>
      <c r="AW260" s="131"/>
      <c r="AX260" s="131"/>
      <c r="AY260" s="131"/>
    </row>
    <row r="261" spans="1:51" ht="15" x14ac:dyDescent="0.25">
      <c r="A261" s="123"/>
      <c r="B261" s="124"/>
      <c r="C261" s="125">
        <v>256145.99999999997</v>
      </c>
      <c r="D261" s="89"/>
      <c r="E261" s="86" t="s">
        <v>10</v>
      </c>
      <c r="F261" s="86" t="s">
        <v>418</v>
      </c>
      <c r="H261" s="126" t="s">
        <v>51</v>
      </c>
      <c r="I261" s="89">
        <v>1</v>
      </c>
      <c r="J261" s="127">
        <v>30823.569900000002</v>
      </c>
      <c r="K261" s="127">
        <v>51060.25</v>
      </c>
      <c r="L261" s="127">
        <v>6004.1399999999994</v>
      </c>
      <c r="M261" s="127">
        <v>13742.569900000013</v>
      </c>
      <c r="N261" s="127">
        <v>42026.75</v>
      </c>
      <c r="O261" s="127">
        <v>5264.6399999999994</v>
      </c>
      <c r="P261" s="128">
        <f t="shared" si="27"/>
        <v>0.44584614775590975</v>
      </c>
      <c r="Q261" s="128">
        <f t="shared" si="28"/>
        <v>0.8230815556132216</v>
      </c>
      <c r="R261" s="128">
        <f t="shared" si="29"/>
        <v>0.87683498386113579</v>
      </c>
      <c r="S261" s="129">
        <v>1</v>
      </c>
      <c r="T261" s="129">
        <v>1</v>
      </c>
      <c r="U261" s="129">
        <v>1</v>
      </c>
      <c r="V261" s="138">
        <f t="shared" si="30"/>
        <v>3</v>
      </c>
      <c r="W261" s="138">
        <f t="shared" si="31"/>
        <v>3</v>
      </c>
      <c r="X261" s="138">
        <f t="shared" si="32"/>
        <v>1</v>
      </c>
      <c r="Y261" s="138">
        <f t="shared" si="33"/>
        <v>3</v>
      </c>
      <c r="Z261" s="138">
        <f t="shared" si="34"/>
        <v>3</v>
      </c>
      <c r="AA261" s="138">
        <f t="shared" si="35"/>
        <v>1</v>
      </c>
      <c r="AB261" s="127" t="s">
        <v>32</v>
      </c>
      <c r="AC261" s="127"/>
      <c r="AD261" s="127"/>
      <c r="AE261" s="130"/>
      <c r="AF261" s="136">
        <v>9.11</v>
      </c>
      <c r="AG261" s="136">
        <v>11.33</v>
      </c>
      <c r="AH261" s="136">
        <v>27.87</v>
      </c>
      <c r="AI261" s="136">
        <v>5.99</v>
      </c>
      <c r="AJ261" s="136">
        <v>3.49</v>
      </c>
      <c r="AK261" s="136">
        <v>0.49</v>
      </c>
      <c r="AL261" s="136">
        <v>3.31</v>
      </c>
      <c r="AM261" s="136">
        <v>61.590000000000011</v>
      </c>
      <c r="AN261" s="131"/>
      <c r="AO261" s="131"/>
      <c r="AP261" s="131"/>
      <c r="AQ261" s="131"/>
      <c r="AR261" s="131"/>
      <c r="AS261" s="131"/>
      <c r="AT261" s="131"/>
      <c r="AU261" s="91"/>
      <c r="AV261" s="91"/>
      <c r="AW261" s="131"/>
      <c r="AX261" s="131"/>
      <c r="AY261" s="131"/>
    </row>
    <row r="262" spans="1:51" ht="15" x14ac:dyDescent="0.25">
      <c r="A262" s="123"/>
      <c r="B262" s="124"/>
      <c r="C262" s="125">
        <v>258153.00000000003</v>
      </c>
      <c r="D262" s="89"/>
      <c r="E262" s="86" t="s">
        <v>10</v>
      </c>
      <c r="F262" s="86" t="s">
        <v>418</v>
      </c>
      <c r="H262" s="126" t="s">
        <v>51</v>
      </c>
      <c r="I262" s="89">
        <v>1</v>
      </c>
      <c r="J262" s="127">
        <v>30823.569900000002</v>
      </c>
      <c r="K262" s="127">
        <v>51060.25</v>
      </c>
      <c r="L262" s="127">
        <v>6004.1399999999994</v>
      </c>
      <c r="M262" s="127">
        <v>13742.569900000013</v>
      </c>
      <c r="N262" s="127">
        <v>42026.75</v>
      </c>
      <c r="O262" s="127">
        <v>5264.6399999999994</v>
      </c>
      <c r="P262" s="128">
        <f t="shared" ref="P262:P325" si="36">M262/J262</f>
        <v>0.44584614775590975</v>
      </c>
      <c r="Q262" s="128">
        <f t="shared" ref="Q262:Q325" si="37">N262/K262</f>
        <v>0.8230815556132216</v>
      </c>
      <c r="R262" s="128">
        <f t="shared" ref="R262:R325" si="38">O262/L262</f>
        <v>0.87683498386113579</v>
      </c>
      <c r="S262" s="129">
        <v>1</v>
      </c>
      <c r="T262" s="129">
        <v>1</v>
      </c>
      <c r="U262" s="129">
        <v>1</v>
      </c>
      <c r="V262" s="138">
        <f t="shared" ref="V262:V325" si="39">I262+2</f>
        <v>3</v>
      </c>
      <c r="W262" s="138">
        <f t="shared" ref="W262:W325" si="40">I262+2</f>
        <v>3</v>
      </c>
      <c r="X262" s="138">
        <f t="shared" ref="X262:X325" si="41">I262</f>
        <v>1</v>
      </c>
      <c r="Y262" s="138">
        <f t="shared" ref="Y262:Y325" si="42">IF(S262=0,0,V262)</f>
        <v>3</v>
      </c>
      <c r="Z262" s="138">
        <f t="shared" ref="Z262:Z325" si="43">IF(T262=0,0,W262)</f>
        <v>3</v>
      </c>
      <c r="AA262" s="138">
        <f t="shared" ref="AA262:AA325" si="44">IF(U262=0,0,1)</f>
        <v>1</v>
      </c>
      <c r="AB262" s="127" t="s">
        <v>32</v>
      </c>
      <c r="AC262" s="127"/>
      <c r="AD262" s="127"/>
      <c r="AE262" s="130"/>
      <c r="AF262" s="136">
        <v>9.11</v>
      </c>
      <c r="AG262" s="136">
        <v>11.33</v>
      </c>
      <c r="AH262" s="136">
        <v>27.87</v>
      </c>
      <c r="AI262" s="136">
        <v>5.99</v>
      </c>
      <c r="AJ262" s="136">
        <v>3.49</v>
      </c>
      <c r="AK262" s="136">
        <v>0.49</v>
      </c>
      <c r="AL262" s="136">
        <v>3.31</v>
      </c>
      <c r="AM262" s="136">
        <v>61.590000000000011</v>
      </c>
      <c r="AN262" s="131"/>
      <c r="AO262" s="131"/>
      <c r="AP262" s="131"/>
      <c r="AQ262" s="131"/>
      <c r="AR262" s="131"/>
      <c r="AS262" s="131"/>
      <c r="AT262" s="131"/>
      <c r="AU262" s="91"/>
      <c r="AV262" s="91"/>
      <c r="AW262" s="131"/>
      <c r="AX262" s="131"/>
      <c r="AY262" s="131"/>
    </row>
    <row r="263" spans="1:51" ht="15" x14ac:dyDescent="0.25">
      <c r="A263" s="123"/>
      <c r="B263" s="124"/>
      <c r="C263" s="125">
        <v>275327</v>
      </c>
      <c r="D263" s="89"/>
      <c r="E263" s="86" t="s">
        <v>10</v>
      </c>
      <c r="F263" s="86" t="s">
        <v>418</v>
      </c>
      <c r="H263" s="126" t="s">
        <v>51</v>
      </c>
      <c r="I263" s="89">
        <v>1</v>
      </c>
      <c r="J263" s="127">
        <v>30823.569900000002</v>
      </c>
      <c r="K263" s="127">
        <v>51060.25</v>
      </c>
      <c r="L263" s="127">
        <v>6004.1399999999994</v>
      </c>
      <c r="M263" s="127">
        <v>13742.569900000013</v>
      </c>
      <c r="N263" s="127">
        <v>42026.75</v>
      </c>
      <c r="O263" s="127">
        <v>5264.6399999999994</v>
      </c>
      <c r="P263" s="128">
        <f t="shared" si="36"/>
        <v>0.44584614775590975</v>
      </c>
      <c r="Q263" s="128">
        <f t="shared" si="37"/>
        <v>0.8230815556132216</v>
      </c>
      <c r="R263" s="128">
        <f t="shared" si="38"/>
        <v>0.87683498386113579</v>
      </c>
      <c r="S263" s="129">
        <v>1</v>
      </c>
      <c r="T263" s="129">
        <v>1</v>
      </c>
      <c r="U263" s="129">
        <v>1</v>
      </c>
      <c r="V263" s="138">
        <f t="shared" si="39"/>
        <v>3</v>
      </c>
      <c r="W263" s="138">
        <f t="shared" si="40"/>
        <v>3</v>
      </c>
      <c r="X263" s="138">
        <f t="shared" si="41"/>
        <v>1</v>
      </c>
      <c r="Y263" s="138">
        <f t="shared" si="42"/>
        <v>3</v>
      </c>
      <c r="Z263" s="138">
        <f t="shared" si="43"/>
        <v>3</v>
      </c>
      <c r="AA263" s="138">
        <f t="shared" si="44"/>
        <v>1</v>
      </c>
      <c r="AB263" s="127" t="s">
        <v>32</v>
      </c>
      <c r="AC263" s="127"/>
      <c r="AD263" s="127"/>
      <c r="AE263" s="130"/>
      <c r="AF263" s="136">
        <v>9.11</v>
      </c>
      <c r="AG263" s="136">
        <v>11.33</v>
      </c>
      <c r="AH263" s="136">
        <v>27.87</v>
      </c>
      <c r="AI263" s="136">
        <v>5.99</v>
      </c>
      <c r="AJ263" s="136">
        <v>3.49</v>
      </c>
      <c r="AK263" s="136">
        <v>0.49</v>
      </c>
      <c r="AL263" s="136">
        <v>3.31</v>
      </c>
      <c r="AM263" s="136">
        <v>61.590000000000011</v>
      </c>
      <c r="AN263" s="131"/>
      <c r="AO263" s="131"/>
      <c r="AP263" s="131"/>
      <c r="AQ263" s="131"/>
      <c r="AR263" s="131"/>
      <c r="AS263" s="131"/>
      <c r="AT263" s="131"/>
      <c r="AU263" s="91"/>
      <c r="AV263" s="91"/>
      <c r="AW263" s="131"/>
      <c r="AX263" s="131"/>
      <c r="AY263" s="131"/>
    </row>
    <row r="264" spans="1:51" ht="15" x14ac:dyDescent="0.25">
      <c r="A264" s="123"/>
      <c r="B264" s="124"/>
      <c r="C264" s="125">
        <v>374864</v>
      </c>
      <c r="D264" s="89"/>
      <c r="E264" s="86" t="s">
        <v>10</v>
      </c>
      <c r="F264" s="86" t="s">
        <v>418</v>
      </c>
      <c r="H264" s="126" t="s">
        <v>51</v>
      </c>
      <c r="I264" s="89">
        <v>1</v>
      </c>
      <c r="J264" s="127">
        <v>30823.569900000002</v>
      </c>
      <c r="K264" s="127">
        <v>51060.25</v>
      </c>
      <c r="L264" s="127">
        <v>6004.1399999999994</v>
      </c>
      <c r="M264" s="127">
        <v>13742.569900000013</v>
      </c>
      <c r="N264" s="127">
        <v>42026.75</v>
      </c>
      <c r="O264" s="127">
        <v>5264.6399999999994</v>
      </c>
      <c r="P264" s="128">
        <f t="shared" si="36"/>
        <v>0.44584614775590975</v>
      </c>
      <c r="Q264" s="128">
        <f t="shared" si="37"/>
        <v>0.8230815556132216</v>
      </c>
      <c r="R264" s="128">
        <f t="shared" si="38"/>
        <v>0.87683498386113579</v>
      </c>
      <c r="S264" s="129">
        <v>1</v>
      </c>
      <c r="T264" s="129">
        <v>1</v>
      </c>
      <c r="U264" s="129">
        <v>1</v>
      </c>
      <c r="V264" s="138">
        <f t="shared" si="39"/>
        <v>3</v>
      </c>
      <c r="W264" s="138">
        <f t="shared" si="40"/>
        <v>3</v>
      </c>
      <c r="X264" s="138">
        <f t="shared" si="41"/>
        <v>1</v>
      </c>
      <c r="Y264" s="138">
        <f t="shared" si="42"/>
        <v>3</v>
      </c>
      <c r="Z264" s="138">
        <f t="shared" si="43"/>
        <v>3</v>
      </c>
      <c r="AA264" s="138">
        <f t="shared" si="44"/>
        <v>1</v>
      </c>
      <c r="AB264" s="127" t="s">
        <v>32</v>
      </c>
      <c r="AC264" s="127"/>
      <c r="AD264" s="127"/>
      <c r="AE264" s="130"/>
      <c r="AF264" s="136">
        <v>9.11</v>
      </c>
      <c r="AG264" s="136">
        <v>11.33</v>
      </c>
      <c r="AH264" s="136">
        <v>27.87</v>
      </c>
      <c r="AI264" s="136">
        <v>5.99</v>
      </c>
      <c r="AJ264" s="136">
        <v>3.49</v>
      </c>
      <c r="AK264" s="136">
        <v>0.49</v>
      </c>
      <c r="AL264" s="136">
        <v>3.31</v>
      </c>
      <c r="AM264" s="136">
        <v>61.590000000000011</v>
      </c>
      <c r="AN264" s="131"/>
      <c r="AO264" s="131"/>
      <c r="AP264" s="131"/>
      <c r="AQ264" s="131"/>
      <c r="AR264" s="131"/>
      <c r="AS264" s="131"/>
      <c r="AT264" s="131"/>
      <c r="AU264" s="91"/>
      <c r="AV264" s="91"/>
      <c r="AW264" s="131"/>
      <c r="AX264" s="131"/>
      <c r="AY264" s="131"/>
    </row>
    <row r="265" spans="1:51" ht="15" x14ac:dyDescent="0.25">
      <c r="A265" s="123"/>
      <c r="B265" s="124"/>
      <c r="C265" s="125">
        <v>379205</v>
      </c>
      <c r="D265" s="89"/>
      <c r="E265" s="86" t="s">
        <v>10</v>
      </c>
      <c r="F265" s="86" t="s">
        <v>418</v>
      </c>
      <c r="H265" s="126" t="s">
        <v>51</v>
      </c>
      <c r="I265" s="89">
        <v>1</v>
      </c>
      <c r="J265" s="127">
        <v>30823.569900000002</v>
      </c>
      <c r="K265" s="127">
        <v>51060.25</v>
      </c>
      <c r="L265" s="127">
        <v>6004.1399999999994</v>
      </c>
      <c r="M265" s="127">
        <v>13742.569900000013</v>
      </c>
      <c r="N265" s="127">
        <v>42026.75</v>
      </c>
      <c r="O265" s="127">
        <v>5264.6399999999994</v>
      </c>
      <c r="P265" s="128">
        <f t="shared" si="36"/>
        <v>0.44584614775590975</v>
      </c>
      <c r="Q265" s="128">
        <f t="shared" si="37"/>
        <v>0.8230815556132216</v>
      </c>
      <c r="R265" s="128">
        <f t="shared" si="38"/>
        <v>0.87683498386113579</v>
      </c>
      <c r="S265" s="129">
        <v>1</v>
      </c>
      <c r="T265" s="129">
        <v>1</v>
      </c>
      <c r="U265" s="129">
        <v>1</v>
      </c>
      <c r="V265" s="138">
        <f t="shared" si="39"/>
        <v>3</v>
      </c>
      <c r="W265" s="138">
        <f t="shared" si="40"/>
        <v>3</v>
      </c>
      <c r="X265" s="138">
        <f t="shared" si="41"/>
        <v>1</v>
      </c>
      <c r="Y265" s="138">
        <f t="shared" si="42"/>
        <v>3</v>
      </c>
      <c r="Z265" s="138">
        <f t="shared" si="43"/>
        <v>3</v>
      </c>
      <c r="AA265" s="138">
        <f t="shared" si="44"/>
        <v>1</v>
      </c>
      <c r="AB265" s="127" t="s">
        <v>32</v>
      </c>
      <c r="AC265" s="127"/>
      <c r="AD265" s="127"/>
      <c r="AE265" s="130"/>
      <c r="AF265" s="136">
        <v>9.11</v>
      </c>
      <c r="AG265" s="136">
        <v>11.33</v>
      </c>
      <c r="AH265" s="136">
        <v>27.87</v>
      </c>
      <c r="AI265" s="136">
        <v>5.99</v>
      </c>
      <c r="AJ265" s="136">
        <v>3.49</v>
      </c>
      <c r="AK265" s="136">
        <v>0.49</v>
      </c>
      <c r="AL265" s="136">
        <v>3.31</v>
      </c>
      <c r="AM265" s="136">
        <v>61.590000000000011</v>
      </c>
      <c r="AN265" s="131"/>
      <c r="AO265" s="131"/>
      <c r="AP265" s="131"/>
      <c r="AQ265" s="131"/>
      <c r="AR265" s="131"/>
      <c r="AS265" s="131"/>
      <c r="AT265" s="131"/>
      <c r="AU265" s="91"/>
      <c r="AV265" s="91"/>
      <c r="AW265" s="131"/>
      <c r="AX265" s="131"/>
      <c r="AY265" s="131"/>
    </row>
    <row r="266" spans="1:51" ht="15" x14ac:dyDescent="0.25">
      <c r="A266" s="123"/>
      <c r="B266" s="124"/>
      <c r="C266" s="125">
        <v>389618</v>
      </c>
      <c r="D266" s="89"/>
      <c r="E266" s="86" t="s">
        <v>10</v>
      </c>
      <c r="F266" s="86" t="s">
        <v>418</v>
      </c>
      <c r="H266" s="126" t="s">
        <v>51</v>
      </c>
      <c r="I266" s="89">
        <v>1</v>
      </c>
      <c r="J266" s="127">
        <v>30823.569900000002</v>
      </c>
      <c r="K266" s="127">
        <v>51060.25</v>
      </c>
      <c r="L266" s="127">
        <v>6004.1399999999994</v>
      </c>
      <c r="M266" s="127">
        <v>13742.569900000013</v>
      </c>
      <c r="N266" s="127">
        <v>42026.75</v>
      </c>
      <c r="O266" s="127">
        <v>5264.6399999999994</v>
      </c>
      <c r="P266" s="128">
        <f t="shared" si="36"/>
        <v>0.44584614775590975</v>
      </c>
      <c r="Q266" s="128">
        <f t="shared" si="37"/>
        <v>0.8230815556132216</v>
      </c>
      <c r="R266" s="128">
        <f t="shared" si="38"/>
        <v>0.87683498386113579</v>
      </c>
      <c r="S266" s="129">
        <v>1</v>
      </c>
      <c r="T266" s="129">
        <v>1</v>
      </c>
      <c r="U266" s="129">
        <v>1</v>
      </c>
      <c r="V266" s="138">
        <f t="shared" si="39"/>
        <v>3</v>
      </c>
      <c r="W266" s="138">
        <f t="shared" si="40"/>
        <v>3</v>
      </c>
      <c r="X266" s="138">
        <f t="shared" si="41"/>
        <v>1</v>
      </c>
      <c r="Y266" s="138">
        <f t="shared" si="42"/>
        <v>3</v>
      </c>
      <c r="Z266" s="138">
        <f t="shared" si="43"/>
        <v>3</v>
      </c>
      <c r="AA266" s="138">
        <f t="shared" si="44"/>
        <v>1</v>
      </c>
      <c r="AB266" s="127" t="s">
        <v>32</v>
      </c>
      <c r="AC266" s="127"/>
      <c r="AD266" s="127"/>
      <c r="AE266" s="130"/>
      <c r="AF266" s="136">
        <v>9.11</v>
      </c>
      <c r="AG266" s="136">
        <v>11.33</v>
      </c>
      <c r="AH266" s="136">
        <v>27.87</v>
      </c>
      <c r="AI266" s="136">
        <v>5.99</v>
      </c>
      <c r="AJ266" s="136">
        <v>3.49</v>
      </c>
      <c r="AK266" s="136">
        <v>0.49</v>
      </c>
      <c r="AL266" s="136">
        <v>3.31</v>
      </c>
      <c r="AM266" s="136">
        <v>61.590000000000011</v>
      </c>
      <c r="AN266" s="131"/>
      <c r="AO266" s="131"/>
      <c r="AP266" s="131"/>
      <c r="AQ266" s="131"/>
      <c r="AR266" s="131"/>
      <c r="AS266" s="131"/>
      <c r="AT266" s="131"/>
      <c r="AU266" s="91"/>
      <c r="AV266" s="91"/>
      <c r="AW266" s="131"/>
      <c r="AX266" s="131"/>
      <c r="AY266" s="131"/>
    </row>
    <row r="267" spans="1:51" ht="15" x14ac:dyDescent="0.25">
      <c r="A267" s="123"/>
      <c r="B267" s="124"/>
      <c r="C267" s="125">
        <v>396853</v>
      </c>
      <c r="D267" s="89"/>
      <c r="E267" s="86" t="s">
        <v>10</v>
      </c>
      <c r="F267" s="86" t="s">
        <v>418</v>
      </c>
      <c r="H267" s="126" t="s">
        <v>51</v>
      </c>
      <c r="I267" s="89">
        <v>1</v>
      </c>
      <c r="J267" s="127">
        <v>30823.569900000002</v>
      </c>
      <c r="K267" s="127">
        <v>51060.25</v>
      </c>
      <c r="L267" s="127">
        <v>6004.1399999999994</v>
      </c>
      <c r="M267" s="127">
        <v>13742.569900000013</v>
      </c>
      <c r="N267" s="127">
        <v>42026.75</v>
      </c>
      <c r="O267" s="127">
        <v>5264.6399999999994</v>
      </c>
      <c r="P267" s="128">
        <f t="shared" si="36"/>
        <v>0.44584614775590975</v>
      </c>
      <c r="Q267" s="128">
        <f t="shared" si="37"/>
        <v>0.8230815556132216</v>
      </c>
      <c r="R267" s="128">
        <f t="shared" si="38"/>
        <v>0.87683498386113579</v>
      </c>
      <c r="S267" s="129">
        <v>1</v>
      </c>
      <c r="T267" s="129">
        <v>1</v>
      </c>
      <c r="U267" s="129">
        <v>1</v>
      </c>
      <c r="V267" s="138">
        <f t="shared" si="39"/>
        <v>3</v>
      </c>
      <c r="W267" s="138">
        <f t="shared" si="40"/>
        <v>3</v>
      </c>
      <c r="X267" s="138">
        <f t="shared" si="41"/>
        <v>1</v>
      </c>
      <c r="Y267" s="138">
        <f t="shared" si="42"/>
        <v>3</v>
      </c>
      <c r="Z267" s="138">
        <f t="shared" si="43"/>
        <v>3</v>
      </c>
      <c r="AA267" s="138">
        <f t="shared" si="44"/>
        <v>1</v>
      </c>
      <c r="AB267" s="127" t="s">
        <v>32</v>
      </c>
      <c r="AC267" s="127"/>
      <c r="AD267" s="127"/>
      <c r="AE267" s="130"/>
      <c r="AF267" s="136">
        <v>9.11</v>
      </c>
      <c r="AG267" s="136">
        <v>11.33</v>
      </c>
      <c r="AH267" s="136">
        <v>27.87</v>
      </c>
      <c r="AI267" s="136">
        <v>5.99</v>
      </c>
      <c r="AJ267" s="136">
        <v>3.49</v>
      </c>
      <c r="AK267" s="136">
        <v>0.49</v>
      </c>
      <c r="AL267" s="136">
        <v>3.31</v>
      </c>
      <c r="AM267" s="136">
        <v>61.590000000000011</v>
      </c>
      <c r="AN267" s="131"/>
      <c r="AO267" s="131"/>
      <c r="AP267" s="131"/>
      <c r="AQ267" s="131"/>
      <c r="AR267" s="131"/>
      <c r="AS267" s="131"/>
      <c r="AT267" s="131"/>
      <c r="AU267" s="91"/>
      <c r="AV267" s="91"/>
      <c r="AW267" s="131"/>
      <c r="AX267" s="131"/>
      <c r="AY267" s="131"/>
    </row>
    <row r="268" spans="1:51" ht="15" x14ac:dyDescent="0.25">
      <c r="A268" s="123"/>
      <c r="B268" s="124"/>
      <c r="C268" s="125">
        <v>407336</v>
      </c>
      <c r="D268" s="89"/>
      <c r="E268" s="86" t="s">
        <v>10</v>
      </c>
      <c r="F268" s="86" t="s">
        <v>418</v>
      </c>
      <c r="H268" s="126" t="s">
        <v>51</v>
      </c>
      <c r="I268" s="89">
        <v>1</v>
      </c>
      <c r="J268" s="127">
        <v>30823.569900000002</v>
      </c>
      <c r="K268" s="127">
        <v>51060.25</v>
      </c>
      <c r="L268" s="127">
        <v>6004.1399999999994</v>
      </c>
      <c r="M268" s="127">
        <v>13742.569900000013</v>
      </c>
      <c r="N268" s="127">
        <v>42026.75</v>
      </c>
      <c r="O268" s="127">
        <v>5264.6399999999994</v>
      </c>
      <c r="P268" s="128">
        <f t="shared" si="36"/>
        <v>0.44584614775590975</v>
      </c>
      <c r="Q268" s="128">
        <f t="shared" si="37"/>
        <v>0.8230815556132216</v>
      </c>
      <c r="R268" s="128">
        <f t="shared" si="38"/>
        <v>0.87683498386113579</v>
      </c>
      <c r="S268" s="129">
        <v>1</v>
      </c>
      <c r="T268" s="129">
        <v>1</v>
      </c>
      <c r="U268" s="129">
        <v>1</v>
      </c>
      <c r="V268" s="138">
        <f t="shared" si="39"/>
        <v>3</v>
      </c>
      <c r="W268" s="138">
        <f t="shared" si="40"/>
        <v>3</v>
      </c>
      <c r="X268" s="138">
        <f t="shared" si="41"/>
        <v>1</v>
      </c>
      <c r="Y268" s="138">
        <f t="shared" si="42"/>
        <v>3</v>
      </c>
      <c r="Z268" s="138">
        <f t="shared" si="43"/>
        <v>3</v>
      </c>
      <c r="AA268" s="138">
        <f t="shared" si="44"/>
        <v>1</v>
      </c>
      <c r="AB268" s="127" t="s">
        <v>32</v>
      </c>
      <c r="AC268" s="127"/>
      <c r="AD268" s="127"/>
      <c r="AE268" s="130"/>
      <c r="AF268" s="136">
        <v>9.11</v>
      </c>
      <c r="AG268" s="136">
        <v>11.33</v>
      </c>
      <c r="AH268" s="136">
        <v>27.87</v>
      </c>
      <c r="AI268" s="136">
        <v>5.99</v>
      </c>
      <c r="AJ268" s="136">
        <v>3.49</v>
      </c>
      <c r="AK268" s="136">
        <v>0.49</v>
      </c>
      <c r="AL268" s="136">
        <v>3.31</v>
      </c>
      <c r="AM268" s="136">
        <v>61.590000000000011</v>
      </c>
      <c r="AN268" s="131"/>
      <c r="AO268" s="131"/>
      <c r="AP268" s="131"/>
      <c r="AQ268" s="131"/>
      <c r="AR268" s="131"/>
      <c r="AS268" s="131"/>
      <c r="AT268" s="131"/>
      <c r="AU268" s="91"/>
      <c r="AV268" s="91"/>
      <c r="AW268" s="131"/>
      <c r="AX268" s="131"/>
      <c r="AY268" s="131"/>
    </row>
    <row r="269" spans="1:51" ht="15" x14ac:dyDescent="0.25">
      <c r="A269" s="123"/>
      <c r="B269" s="124"/>
      <c r="C269" s="125">
        <v>449142</v>
      </c>
      <c r="D269" s="89"/>
      <c r="E269" s="86" t="s">
        <v>10</v>
      </c>
      <c r="F269" s="86" t="s">
        <v>418</v>
      </c>
      <c r="H269" s="126" t="s">
        <v>51</v>
      </c>
      <c r="I269" s="89">
        <v>1</v>
      </c>
      <c r="J269" s="127">
        <v>30823.569900000002</v>
      </c>
      <c r="K269" s="127">
        <v>51060.25</v>
      </c>
      <c r="L269" s="127">
        <v>6004.1399999999994</v>
      </c>
      <c r="M269" s="127">
        <v>13742.569900000013</v>
      </c>
      <c r="N269" s="127">
        <v>42026.75</v>
      </c>
      <c r="O269" s="127">
        <v>5264.6399999999994</v>
      </c>
      <c r="P269" s="128">
        <f t="shared" si="36"/>
        <v>0.44584614775590975</v>
      </c>
      <c r="Q269" s="128">
        <f t="shared" si="37"/>
        <v>0.8230815556132216</v>
      </c>
      <c r="R269" s="128">
        <f t="shared" si="38"/>
        <v>0.87683498386113579</v>
      </c>
      <c r="S269" s="129">
        <v>1</v>
      </c>
      <c r="T269" s="129">
        <v>1</v>
      </c>
      <c r="U269" s="129">
        <v>1</v>
      </c>
      <c r="V269" s="138">
        <f t="shared" si="39"/>
        <v>3</v>
      </c>
      <c r="W269" s="138">
        <f t="shared" si="40"/>
        <v>3</v>
      </c>
      <c r="X269" s="138">
        <f t="shared" si="41"/>
        <v>1</v>
      </c>
      <c r="Y269" s="138">
        <f t="shared" si="42"/>
        <v>3</v>
      </c>
      <c r="Z269" s="138">
        <f t="shared" si="43"/>
        <v>3</v>
      </c>
      <c r="AA269" s="138">
        <f t="shared" si="44"/>
        <v>1</v>
      </c>
      <c r="AB269" s="127" t="s">
        <v>32</v>
      </c>
      <c r="AC269" s="127"/>
      <c r="AD269" s="127"/>
      <c r="AE269" s="130"/>
      <c r="AF269" s="136">
        <v>9.11</v>
      </c>
      <c r="AG269" s="136">
        <v>11.33</v>
      </c>
      <c r="AH269" s="136">
        <v>27.87</v>
      </c>
      <c r="AI269" s="136">
        <v>5.99</v>
      </c>
      <c r="AJ269" s="136">
        <v>3.49</v>
      </c>
      <c r="AK269" s="136">
        <v>0.49</v>
      </c>
      <c r="AL269" s="136">
        <v>3.31</v>
      </c>
      <c r="AM269" s="136">
        <v>61.590000000000011</v>
      </c>
      <c r="AN269" s="131"/>
      <c r="AO269" s="131"/>
      <c r="AP269" s="131"/>
      <c r="AQ269" s="131"/>
      <c r="AR269" s="131"/>
      <c r="AS269" s="131"/>
      <c r="AT269" s="131"/>
      <c r="AU269" s="91"/>
      <c r="AV269" s="91"/>
      <c r="AW269" s="131"/>
      <c r="AX269" s="131"/>
      <c r="AY269" s="131"/>
    </row>
    <row r="270" spans="1:51" ht="15" x14ac:dyDescent="0.25">
      <c r="A270" s="123"/>
      <c r="B270" s="124"/>
      <c r="C270" s="125">
        <v>474534</v>
      </c>
      <c r="D270" s="89"/>
      <c r="E270" s="86" t="s">
        <v>10</v>
      </c>
      <c r="F270" s="86" t="s">
        <v>418</v>
      </c>
      <c r="H270" s="126" t="s">
        <v>51</v>
      </c>
      <c r="I270" s="89">
        <v>1</v>
      </c>
      <c r="J270" s="127">
        <v>30823.569900000002</v>
      </c>
      <c r="K270" s="127">
        <v>51060.25</v>
      </c>
      <c r="L270" s="127">
        <v>6004.1399999999994</v>
      </c>
      <c r="M270" s="127">
        <v>13742.569900000013</v>
      </c>
      <c r="N270" s="127">
        <v>42026.75</v>
      </c>
      <c r="O270" s="127">
        <v>5264.6399999999994</v>
      </c>
      <c r="P270" s="128">
        <f t="shared" si="36"/>
        <v>0.44584614775590975</v>
      </c>
      <c r="Q270" s="128">
        <f t="shared" si="37"/>
        <v>0.8230815556132216</v>
      </c>
      <c r="R270" s="128">
        <f t="shared" si="38"/>
        <v>0.87683498386113579</v>
      </c>
      <c r="S270" s="129">
        <v>1</v>
      </c>
      <c r="T270" s="129">
        <v>1</v>
      </c>
      <c r="U270" s="129">
        <v>1</v>
      </c>
      <c r="V270" s="138">
        <f t="shared" si="39"/>
        <v>3</v>
      </c>
      <c r="W270" s="138">
        <f t="shared" si="40"/>
        <v>3</v>
      </c>
      <c r="X270" s="138">
        <f t="shared" si="41"/>
        <v>1</v>
      </c>
      <c r="Y270" s="138">
        <f t="shared" si="42"/>
        <v>3</v>
      </c>
      <c r="Z270" s="138">
        <f t="shared" si="43"/>
        <v>3</v>
      </c>
      <c r="AA270" s="138">
        <f t="shared" si="44"/>
        <v>1</v>
      </c>
      <c r="AB270" s="127" t="s">
        <v>32</v>
      </c>
      <c r="AC270" s="127"/>
      <c r="AD270" s="127"/>
      <c r="AE270" s="130"/>
      <c r="AF270" s="136">
        <v>9.11</v>
      </c>
      <c r="AG270" s="136">
        <v>11.33</v>
      </c>
      <c r="AH270" s="136">
        <v>27.87</v>
      </c>
      <c r="AI270" s="136">
        <v>5.99</v>
      </c>
      <c r="AJ270" s="136">
        <v>3.49</v>
      </c>
      <c r="AK270" s="136">
        <v>0.49</v>
      </c>
      <c r="AL270" s="136">
        <v>3.31</v>
      </c>
      <c r="AM270" s="136">
        <v>61.590000000000011</v>
      </c>
      <c r="AN270" s="131"/>
      <c r="AO270" s="131"/>
      <c r="AP270" s="131"/>
      <c r="AQ270" s="131"/>
      <c r="AR270" s="131"/>
      <c r="AS270" s="131"/>
      <c r="AT270" s="131"/>
      <c r="AU270" s="91"/>
      <c r="AV270" s="91"/>
      <c r="AW270" s="131"/>
      <c r="AX270" s="131"/>
      <c r="AY270" s="131"/>
    </row>
    <row r="271" spans="1:51" ht="15" x14ac:dyDescent="0.25">
      <c r="A271" s="123"/>
      <c r="B271" s="124"/>
      <c r="C271" s="125">
        <v>482364</v>
      </c>
      <c r="D271" s="89"/>
      <c r="E271" s="86" t="s">
        <v>10</v>
      </c>
      <c r="F271" s="86" t="s">
        <v>418</v>
      </c>
      <c r="H271" s="126" t="s">
        <v>51</v>
      </c>
      <c r="I271" s="89">
        <v>1</v>
      </c>
      <c r="J271" s="127">
        <v>30823.569900000002</v>
      </c>
      <c r="K271" s="127">
        <v>51060.25</v>
      </c>
      <c r="L271" s="127">
        <v>6004.1399999999994</v>
      </c>
      <c r="M271" s="127">
        <v>13742.569900000013</v>
      </c>
      <c r="N271" s="127">
        <v>42026.75</v>
      </c>
      <c r="O271" s="127">
        <v>5264.6399999999994</v>
      </c>
      <c r="P271" s="128">
        <f t="shared" si="36"/>
        <v>0.44584614775590975</v>
      </c>
      <c r="Q271" s="128">
        <f t="shared" si="37"/>
        <v>0.8230815556132216</v>
      </c>
      <c r="R271" s="128">
        <f t="shared" si="38"/>
        <v>0.87683498386113579</v>
      </c>
      <c r="S271" s="129">
        <v>1</v>
      </c>
      <c r="T271" s="129">
        <v>1</v>
      </c>
      <c r="U271" s="129">
        <v>1</v>
      </c>
      <c r="V271" s="138">
        <f t="shared" si="39"/>
        <v>3</v>
      </c>
      <c r="W271" s="138">
        <f t="shared" si="40"/>
        <v>3</v>
      </c>
      <c r="X271" s="138">
        <f t="shared" si="41"/>
        <v>1</v>
      </c>
      <c r="Y271" s="138">
        <f t="shared" si="42"/>
        <v>3</v>
      </c>
      <c r="Z271" s="138">
        <f t="shared" si="43"/>
        <v>3</v>
      </c>
      <c r="AA271" s="138">
        <f t="shared" si="44"/>
        <v>1</v>
      </c>
      <c r="AB271" s="127" t="s">
        <v>32</v>
      </c>
      <c r="AC271" s="127"/>
      <c r="AD271" s="127"/>
      <c r="AE271" s="130"/>
      <c r="AF271" s="136">
        <v>9.11</v>
      </c>
      <c r="AG271" s="136">
        <v>11.33</v>
      </c>
      <c r="AH271" s="136">
        <v>27.87</v>
      </c>
      <c r="AI271" s="136">
        <v>5.99</v>
      </c>
      <c r="AJ271" s="136">
        <v>3.49</v>
      </c>
      <c r="AK271" s="136">
        <v>0.49</v>
      </c>
      <c r="AL271" s="136">
        <v>3.31</v>
      </c>
      <c r="AM271" s="136">
        <v>61.590000000000011</v>
      </c>
      <c r="AN271" s="131"/>
      <c r="AO271" s="131"/>
      <c r="AP271" s="131"/>
      <c r="AQ271" s="131"/>
      <c r="AR271" s="131"/>
      <c r="AS271" s="131"/>
      <c r="AT271" s="131"/>
      <c r="AU271" s="91"/>
      <c r="AV271" s="91"/>
      <c r="AW271" s="131"/>
      <c r="AX271" s="131"/>
      <c r="AY271" s="131"/>
    </row>
    <row r="272" spans="1:51" ht="15" x14ac:dyDescent="0.25">
      <c r="A272" s="123"/>
      <c r="B272" s="124"/>
      <c r="C272" s="125">
        <v>510908</v>
      </c>
      <c r="D272" s="89"/>
      <c r="E272" s="86" t="s">
        <v>10</v>
      </c>
      <c r="F272" s="86" t="s">
        <v>418</v>
      </c>
      <c r="H272" s="126" t="s">
        <v>51</v>
      </c>
      <c r="I272" s="89">
        <v>1</v>
      </c>
      <c r="J272" s="127">
        <v>30823.569900000002</v>
      </c>
      <c r="K272" s="127">
        <v>51060.25</v>
      </c>
      <c r="L272" s="127">
        <v>6004.1399999999994</v>
      </c>
      <c r="M272" s="127">
        <v>13742.569900000013</v>
      </c>
      <c r="N272" s="127">
        <v>42026.75</v>
      </c>
      <c r="O272" s="127">
        <v>5264.6399999999994</v>
      </c>
      <c r="P272" s="128">
        <f t="shared" si="36"/>
        <v>0.44584614775590975</v>
      </c>
      <c r="Q272" s="128">
        <f t="shared" si="37"/>
        <v>0.8230815556132216</v>
      </c>
      <c r="R272" s="128">
        <f t="shared" si="38"/>
        <v>0.87683498386113579</v>
      </c>
      <c r="S272" s="129">
        <v>1</v>
      </c>
      <c r="T272" s="129">
        <v>1</v>
      </c>
      <c r="U272" s="129">
        <v>1</v>
      </c>
      <c r="V272" s="138">
        <f t="shared" si="39"/>
        <v>3</v>
      </c>
      <c r="W272" s="138">
        <f t="shared" si="40"/>
        <v>3</v>
      </c>
      <c r="X272" s="138">
        <f t="shared" si="41"/>
        <v>1</v>
      </c>
      <c r="Y272" s="138">
        <f t="shared" si="42"/>
        <v>3</v>
      </c>
      <c r="Z272" s="138">
        <f t="shared" si="43"/>
        <v>3</v>
      </c>
      <c r="AA272" s="138">
        <f t="shared" si="44"/>
        <v>1</v>
      </c>
      <c r="AB272" s="127" t="s">
        <v>32</v>
      </c>
      <c r="AC272" s="127"/>
      <c r="AD272" s="127"/>
      <c r="AE272" s="130"/>
      <c r="AF272" s="136">
        <v>9.11</v>
      </c>
      <c r="AG272" s="136">
        <v>11.33</v>
      </c>
      <c r="AH272" s="136">
        <v>27.87</v>
      </c>
      <c r="AI272" s="136">
        <v>5.99</v>
      </c>
      <c r="AJ272" s="136">
        <v>3.49</v>
      </c>
      <c r="AK272" s="136">
        <v>0.49</v>
      </c>
      <c r="AL272" s="136">
        <v>3.31</v>
      </c>
      <c r="AM272" s="136">
        <v>61.590000000000011</v>
      </c>
      <c r="AN272" s="131"/>
      <c r="AO272" s="131"/>
      <c r="AP272" s="131"/>
      <c r="AQ272" s="131"/>
      <c r="AR272" s="131"/>
      <c r="AS272" s="131"/>
      <c r="AT272" s="131"/>
      <c r="AU272" s="91"/>
      <c r="AV272" s="91"/>
      <c r="AW272" s="131"/>
      <c r="AX272" s="131"/>
      <c r="AY272" s="131"/>
    </row>
    <row r="273" spans="1:51" ht="15" x14ac:dyDescent="0.25">
      <c r="A273" s="123"/>
      <c r="B273" s="124"/>
      <c r="C273" s="125">
        <v>532240</v>
      </c>
      <c r="D273" s="89"/>
      <c r="E273" s="86" t="s">
        <v>10</v>
      </c>
      <c r="F273" s="86" t="s">
        <v>418</v>
      </c>
      <c r="H273" s="126" t="s">
        <v>51</v>
      </c>
      <c r="I273" s="89">
        <v>1</v>
      </c>
      <c r="J273" s="127">
        <v>30823.569900000002</v>
      </c>
      <c r="K273" s="127">
        <v>51060.25</v>
      </c>
      <c r="L273" s="127">
        <v>6004.1399999999994</v>
      </c>
      <c r="M273" s="127">
        <v>13742.569900000013</v>
      </c>
      <c r="N273" s="127">
        <v>42026.75</v>
      </c>
      <c r="O273" s="127">
        <v>5264.6399999999994</v>
      </c>
      <c r="P273" s="128">
        <f t="shared" si="36"/>
        <v>0.44584614775590975</v>
      </c>
      <c r="Q273" s="128">
        <f t="shared" si="37"/>
        <v>0.8230815556132216</v>
      </c>
      <c r="R273" s="128">
        <f t="shared" si="38"/>
        <v>0.87683498386113579</v>
      </c>
      <c r="S273" s="129">
        <v>1</v>
      </c>
      <c r="T273" s="129">
        <v>1</v>
      </c>
      <c r="U273" s="129">
        <v>1</v>
      </c>
      <c r="V273" s="138">
        <f t="shared" si="39"/>
        <v>3</v>
      </c>
      <c r="W273" s="138">
        <f t="shared" si="40"/>
        <v>3</v>
      </c>
      <c r="X273" s="138">
        <f t="shared" si="41"/>
        <v>1</v>
      </c>
      <c r="Y273" s="138">
        <f t="shared" si="42"/>
        <v>3</v>
      </c>
      <c r="Z273" s="138">
        <f t="shared" si="43"/>
        <v>3</v>
      </c>
      <c r="AA273" s="138">
        <f t="shared" si="44"/>
        <v>1</v>
      </c>
      <c r="AB273" s="127" t="s">
        <v>32</v>
      </c>
      <c r="AC273" s="127"/>
      <c r="AD273" s="127"/>
      <c r="AE273" s="130"/>
      <c r="AF273" s="136">
        <v>9.11</v>
      </c>
      <c r="AG273" s="136">
        <v>11.33</v>
      </c>
      <c r="AH273" s="136">
        <v>27.87</v>
      </c>
      <c r="AI273" s="136">
        <v>5.99</v>
      </c>
      <c r="AJ273" s="136">
        <v>3.49</v>
      </c>
      <c r="AK273" s="136">
        <v>0.49</v>
      </c>
      <c r="AL273" s="136">
        <v>3.31</v>
      </c>
      <c r="AM273" s="136">
        <v>61.590000000000011</v>
      </c>
      <c r="AN273" s="131"/>
      <c r="AO273" s="131"/>
      <c r="AP273" s="131"/>
      <c r="AQ273" s="131"/>
      <c r="AR273" s="131"/>
      <c r="AS273" s="131"/>
      <c r="AT273" s="131"/>
      <c r="AU273" s="91"/>
      <c r="AV273" s="91"/>
      <c r="AW273" s="131"/>
      <c r="AX273" s="131"/>
      <c r="AY273" s="131"/>
    </row>
    <row r="274" spans="1:51" ht="15" x14ac:dyDescent="0.25">
      <c r="A274" s="123"/>
      <c r="B274" s="124"/>
      <c r="C274" s="125">
        <v>542457</v>
      </c>
      <c r="D274" s="89"/>
      <c r="E274" s="86" t="s">
        <v>10</v>
      </c>
      <c r="F274" s="86" t="s">
        <v>418</v>
      </c>
      <c r="H274" s="126" t="s">
        <v>51</v>
      </c>
      <c r="I274" s="89">
        <v>1</v>
      </c>
      <c r="J274" s="127">
        <v>30823.569900000002</v>
      </c>
      <c r="K274" s="127">
        <v>51060.25</v>
      </c>
      <c r="L274" s="127">
        <v>6004.1399999999994</v>
      </c>
      <c r="M274" s="127">
        <v>13742.569900000013</v>
      </c>
      <c r="N274" s="127">
        <v>42026.75</v>
      </c>
      <c r="O274" s="127">
        <v>5264.6399999999994</v>
      </c>
      <c r="P274" s="128">
        <f t="shared" si="36"/>
        <v>0.44584614775590975</v>
      </c>
      <c r="Q274" s="128">
        <f t="shared" si="37"/>
        <v>0.8230815556132216</v>
      </c>
      <c r="R274" s="128">
        <f t="shared" si="38"/>
        <v>0.87683498386113579</v>
      </c>
      <c r="S274" s="129">
        <v>1</v>
      </c>
      <c r="T274" s="129">
        <v>1</v>
      </c>
      <c r="U274" s="129">
        <v>1</v>
      </c>
      <c r="V274" s="138">
        <f t="shared" si="39"/>
        <v>3</v>
      </c>
      <c r="W274" s="138">
        <f t="shared" si="40"/>
        <v>3</v>
      </c>
      <c r="X274" s="138">
        <f t="shared" si="41"/>
        <v>1</v>
      </c>
      <c r="Y274" s="138">
        <f t="shared" si="42"/>
        <v>3</v>
      </c>
      <c r="Z274" s="138">
        <f t="shared" si="43"/>
        <v>3</v>
      </c>
      <c r="AA274" s="138">
        <f t="shared" si="44"/>
        <v>1</v>
      </c>
      <c r="AB274" s="127" t="s">
        <v>32</v>
      </c>
      <c r="AC274" s="127"/>
      <c r="AD274" s="127"/>
      <c r="AE274" s="130"/>
      <c r="AF274" s="136">
        <v>9.11</v>
      </c>
      <c r="AG274" s="136">
        <v>11.33</v>
      </c>
      <c r="AH274" s="136">
        <v>27.87</v>
      </c>
      <c r="AI274" s="136">
        <v>5.99</v>
      </c>
      <c r="AJ274" s="136">
        <v>3.49</v>
      </c>
      <c r="AK274" s="136">
        <v>0.49</v>
      </c>
      <c r="AL274" s="136">
        <v>3.31</v>
      </c>
      <c r="AM274" s="136">
        <v>61.590000000000011</v>
      </c>
      <c r="AN274" s="131"/>
      <c r="AO274" s="131"/>
      <c r="AP274" s="131"/>
      <c r="AQ274" s="131"/>
      <c r="AR274" s="131"/>
      <c r="AS274" s="131"/>
      <c r="AT274" s="131"/>
      <c r="AU274" s="91"/>
      <c r="AV274" s="91"/>
      <c r="AW274" s="131"/>
      <c r="AX274" s="131"/>
      <c r="AY274" s="131"/>
    </row>
    <row r="275" spans="1:51" ht="15" x14ac:dyDescent="0.25">
      <c r="A275" s="123"/>
      <c r="B275" s="124"/>
      <c r="C275" s="125">
        <v>548464</v>
      </c>
      <c r="D275" s="89"/>
      <c r="E275" s="86" t="s">
        <v>10</v>
      </c>
      <c r="F275" s="86" t="s">
        <v>418</v>
      </c>
      <c r="H275" s="126" t="s">
        <v>51</v>
      </c>
      <c r="I275" s="89">
        <v>1</v>
      </c>
      <c r="J275" s="127">
        <v>30823.569900000002</v>
      </c>
      <c r="K275" s="127">
        <v>51060.25</v>
      </c>
      <c r="L275" s="127">
        <v>6004.1399999999994</v>
      </c>
      <c r="M275" s="127">
        <v>13742.569900000013</v>
      </c>
      <c r="N275" s="127">
        <v>42026.75</v>
      </c>
      <c r="O275" s="127">
        <v>5264.6399999999994</v>
      </c>
      <c r="P275" s="128">
        <f t="shared" si="36"/>
        <v>0.44584614775590975</v>
      </c>
      <c r="Q275" s="128">
        <f t="shared" si="37"/>
        <v>0.8230815556132216</v>
      </c>
      <c r="R275" s="128">
        <f t="shared" si="38"/>
        <v>0.87683498386113579</v>
      </c>
      <c r="S275" s="129">
        <v>1</v>
      </c>
      <c r="T275" s="129">
        <v>1</v>
      </c>
      <c r="U275" s="129">
        <v>1</v>
      </c>
      <c r="V275" s="138">
        <f t="shared" si="39"/>
        <v>3</v>
      </c>
      <c r="W275" s="138">
        <f t="shared" si="40"/>
        <v>3</v>
      </c>
      <c r="X275" s="138">
        <f t="shared" si="41"/>
        <v>1</v>
      </c>
      <c r="Y275" s="138">
        <f t="shared" si="42"/>
        <v>3</v>
      </c>
      <c r="Z275" s="138">
        <f t="shared" si="43"/>
        <v>3</v>
      </c>
      <c r="AA275" s="138">
        <f t="shared" si="44"/>
        <v>1</v>
      </c>
      <c r="AB275" s="127" t="s">
        <v>32</v>
      </c>
      <c r="AC275" s="127"/>
      <c r="AD275" s="127"/>
      <c r="AE275" s="130"/>
      <c r="AF275" s="136">
        <v>9.11</v>
      </c>
      <c r="AG275" s="136">
        <v>11.33</v>
      </c>
      <c r="AH275" s="136">
        <v>27.87</v>
      </c>
      <c r="AI275" s="136">
        <v>5.99</v>
      </c>
      <c r="AJ275" s="136">
        <v>3.49</v>
      </c>
      <c r="AK275" s="136">
        <v>0.49</v>
      </c>
      <c r="AL275" s="136">
        <v>3.31</v>
      </c>
      <c r="AM275" s="136">
        <v>61.590000000000011</v>
      </c>
      <c r="AN275" s="131"/>
      <c r="AO275" s="131"/>
      <c r="AP275" s="131"/>
      <c r="AQ275" s="131"/>
      <c r="AR275" s="131"/>
      <c r="AS275" s="131"/>
      <c r="AT275" s="131"/>
      <c r="AU275" s="91"/>
      <c r="AV275" s="91"/>
      <c r="AW275" s="131"/>
      <c r="AX275" s="131"/>
      <c r="AY275" s="131"/>
    </row>
    <row r="276" spans="1:51" ht="15" x14ac:dyDescent="0.25">
      <c r="A276" s="123"/>
      <c r="B276" s="124"/>
      <c r="C276" s="125">
        <v>602975</v>
      </c>
      <c r="D276" s="89"/>
      <c r="E276" s="86" t="s">
        <v>10</v>
      </c>
      <c r="F276" s="86" t="s">
        <v>418</v>
      </c>
      <c r="H276" s="126" t="s">
        <v>51</v>
      </c>
      <c r="I276" s="89">
        <v>1</v>
      </c>
      <c r="J276" s="127">
        <v>30823.569900000002</v>
      </c>
      <c r="K276" s="127">
        <v>51060.25</v>
      </c>
      <c r="L276" s="127">
        <v>6004.1399999999994</v>
      </c>
      <c r="M276" s="127">
        <v>13742.569900000013</v>
      </c>
      <c r="N276" s="127">
        <v>42026.75</v>
      </c>
      <c r="O276" s="127">
        <v>5264.6399999999994</v>
      </c>
      <c r="P276" s="128">
        <f t="shared" si="36"/>
        <v>0.44584614775590975</v>
      </c>
      <c r="Q276" s="128">
        <f t="shared" si="37"/>
        <v>0.8230815556132216</v>
      </c>
      <c r="R276" s="128">
        <f t="shared" si="38"/>
        <v>0.87683498386113579</v>
      </c>
      <c r="S276" s="129">
        <v>1</v>
      </c>
      <c r="T276" s="129">
        <v>1</v>
      </c>
      <c r="U276" s="129">
        <v>1</v>
      </c>
      <c r="V276" s="138">
        <f t="shared" si="39"/>
        <v>3</v>
      </c>
      <c r="W276" s="138">
        <f t="shared" si="40"/>
        <v>3</v>
      </c>
      <c r="X276" s="138">
        <f t="shared" si="41"/>
        <v>1</v>
      </c>
      <c r="Y276" s="138">
        <f t="shared" si="42"/>
        <v>3</v>
      </c>
      <c r="Z276" s="138">
        <f t="shared" si="43"/>
        <v>3</v>
      </c>
      <c r="AA276" s="138">
        <f t="shared" si="44"/>
        <v>1</v>
      </c>
      <c r="AB276" s="127" t="s">
        <v>32</v>
      </c>
      <c r="AC276" s="127"/>
      <c r="AD276" s="127"/>
      <c r="AE276" s="130"/>
      <c r="AF276" s="136">
        <v>9.11</v>
      </c>
      <c r="AG276" s="136">
        <v>11.33</v>
      </c>
      <c r="AH276" s="136">
        <v>27.87</v>
      </c>
      <c r="AI276" s="136">
        <v>5.99</v>
      </c>
      <c r="AJ276" s="136">
        <v>3.49</v>
      </c>
      <c r="AK276" s="136">
        <v>0.49</v>
      </c>
      <c r="AL276" s="136">
        <v>3.31</v>
      </c>
      <c r="AM276" s="136">
        <v>61.590000000000011</v>
      </c>
      <c r="AN276" s="131"/>
      <c r="AO276" s="131"/>
      <c r="AP276" s="131"/>
      <c r="AQ276" s="131"/>
      <c r="AR276" s="131"/>
      <c r="AS276" s="131"/>
      <c r="AT276" s="131"/>
      <c r="AU276" s="91"/>
      <c r="AV276" s="91"/>
      <c r="AW276" s="131"/>
      <c r="AX276" s="131"/>
      <c r="AY276" s="131"/>
    </row>
    <row r="277" spans="1:51" ht="15" x14ac:dyDescent="0.25">
      <c r="A277" s="123"/>
      <c r="B277" s="124"/>
      <c r="C277" s="125">
        <v>677342</v>
      </c>
      <c r="D277" s="89"/>
      <c r="E277" s="86" t="s">
        <v>10</v>
      </c>
      <c r="F277" s="86" t="s">
        <v>418</v>
      </c>
      <c r="H277" s="126" t="s">
        <v>51</v>
      </c>
      <c r="I277" s="89">
        <v>1</v>
      </c>
      <c r="J277" s="127">
        <v>30823.569900000002</v>
      </c>
      <c r="K277" s="127">
        <v>51060.25</v>
      </c>
      <c r="L277" s="127">
        <v>6004.1399999999994</v>
      </c>
      <c r="M277" s="127">
        <v>13742.569900000013</v>
      </c>
      <c r="N277" s="127">
        <v>42026.75</v>
      </c>
      <c r="O277" s="127">
        <v>5264.6399999999994</v>
      </c>
      <c r="P277" s="128">
        <f t="shared" si="36"/>
        <v>0.44584614775590975</v>
      </c>
      <c r="Q277" s="128">
        <f t="shared" si="37"/>
        <v>0.8230815556132216</v>
      </c>
      <c r="R277" s="128">
        <f t="shared" si="38"/>
        <v>0.87683498386113579</v>
      </c>
      <c r="S277" s="129">
        <v>1</v>
      </c>
      <c r="T277" s="129">
        <v>1</v>
      </c>
      <c r="U277" s="129">
        <v>1</v>
      </c>
      <c r="V277" s="138">
        <f t="shared" si="39"/>
        <v>3</v>
      </c>
      <c r="W277" s="138">
        <f t="shared" si="40"/>
        <v>3</v>
      </c>
      <c r="X277" s="138">
        <f t="shared" si="41"/>
        <v>1</v>
      </c>
      <c r="Y277" s="138">
        <f t="shared" si="42"/>
        <v>3</v>
      </c>
      <c r="Z277" s="138">
        <f t="shared" si="43"/>
        <v>3</v>
      </c>
      <c r="AA277" s="138">
        <f t="shared" si="44"/>
        <v>1</v>
      </c>
      <c r="AB277" s="127" t="s">
        <v>32</v>
      </c>
      <c r="AC277" s="127"/>
      <c r="AD277" s="127"/>
      <c r="AE277" s="130"/>
      <c r="AF277" s="136">
        <v>9.11</v>
      </c>
      <c r="AG277" s="136">
        <v>11.33</v>
      </c>
      <c r="AH277" s="136">
        <v>27.87</v>
      </c>
      <c r="AI277" s="136">
        <v>5.99</v>
      </c>
      <c r="AJ277" s="136">
        <v>3.49</v>
      </c>
      <c r="AK277" s="136">
        <v>0.49</v>
      </c>
      <c r="AL277" s="136">
        <v>3.31</v>
      </c>
      <c r="AM277" s="136">
        <v>61.590000000000011</v>
      </c>
      <c r="AN277" s="131"/>
      <c r="AO277" s="131"/>
      <c r="AP277" s="131"/>
      <c r="AQ277" s="131"/>
      <c r="AR277" s="131"/>
      <c r="AS277" s="131"/>
      <c r="AT277" s="131"/>
      <c r="AU277" s="91"/>
      <c r="AV277" s="91"/>
      <c r="AW277" s="131"/>
      <c r="AX277" s="131"/>
      <c r="AY277" s="131"/>
    </row>
    <row r="278" spans="1:51" ht="15" x14ac:dyDescent="0.25">
      <c r="A278" s="123"/>
      <c r="B278" s="124"/>
      <c r="C278" s="125">
        <v>698083</v>
      </c>
      <c r="D278" s="89"/>
      <c r="E278" s="86" t="s">
        <v>10</v>
      </c>
      <c r="F278" s="86" t="s">
        <v>418</v>
      </c>
      <c r="H278" s="126" t="s">
        <v>51</v>
      </c>
      <c r="I278" s="89">
        <v>1</v>
      </c>
      <c r="J278" s="127">
        <v>30823.569900000002</v>
      </c>
      <c r="K278" s="127">
        <v>51060.25</v>
      </c>
      <c r="L278" s="127">
        <v>6004.1399999999994</v>
      </c>
      <c r="M278" s="127">
        <v>13742.569900000013</v>
      </c>
      <c r="N278" s="127">
        <v>42026.75</v>
      </c>
      <c r="O278" s="127">
        <v>5264.6399999999994</v>
      </c>
      <c r="P278" s="128">
        <f t="shared" si="36"/>
        <v>0.44584614775590975</v>
      </c>
      <c r="Q278" s="128">
        <f t="shared" si="37"/>
        <v>0.8230815556132216</v>
      </c>
      <c r="R278" s="128">
        <f t="shared" si="38"/>
        <v>0.87683498386113579</v>
      </c>
      <c r="S278" s="129">
        <v>1</v>
      </c>
      <c r="T278" s="129">
        <v>1</v>
      </c>
      <c r="U278" s="129">
        <v>1</v>
      </c>
      <c r="V278" s="138">
        <f t="shared" si="39"/>
        <v>3</v>
      </c>
      <c r="W278" s="138">
        <f t="shared" si="40"/>
        <v>3</v>
      </c>
      <c r="X278" s="138">
        <f t="shared" si="41"/>
        <v>1</v>
      </c>
      <c r="Y278" s="138">
        <f t="shared" si="42"/>
        <v>3</v>
      </c>
      <c r="Z278" s="138">
        <f t="shared" si="43"/>
        <v>3</v>
      </c>
      <c r="AA278" s="138">
        <f t="shared" si="44"/>
        <v>1</v>
      </c>
      <c r="AB278" s="127" t="s">
        <v>32</v>
      </c>
      <c r="AC278" s="127"/>
      <c r="AD278" s="127"/>
      <c r="AE278" s="130"/>
      <c r="AF278" s="136">
        <v>9.11</v>
      </c>
      <c r="AG278" s="136">
        <v>11.33</v>
      </c>
      <c r="AH278" s="136">
        <v>27.87</v>
      </c>
      <c r="AI278" s="136">
        <v>5.99</v>
      </c>
      <c r="AJ278" s="136">
        <v>3.49</v>
      </c>
      <c r="AK278" s="136">
        <v>0.49</v>
      </c>
      <c r="AL278" s="136">
        <v>3.31</v>
      </c>
      <c r="AM278" s="136">
        <v>61.590000000000011</v>
      </c>
      <c r="AN278" s="131"/>
      <c r="AO278" s="131"/>
      <c r="AP278" s="131"/>
      <c r="AQ278" s="131"/>
      <c r="AR278" s="131"/>
      <c r="AS278" s="131"/>
      <c r="AT278" s="131"/>
      <c r="AU278" s="91"/>
      <c r="AV278" s="91"/>
      <c r="AW278" s="131"/>
      <c r="AX278" s="131"/>
      <c r="AY278" s="131"/>
    </row>
    <row r="279" spans="1:51" ht="15" x14ac:dyDescent="0.25">
      <c r="A279" s="123"/>
      <c r="B279" s="124"/>
      <c r="C279" s="125">
        <v>751923</v>
      </c>
      <c r="D279" s="89"/>
      <c r="E279" s="86" t="s">
        <v>10</v>
      </c>
      <c r="F279" s="86" t="s">
        <v>418</v>
      </c>
      <c r="H279" s="126" t="s">
        <v>51</v>
      </c>
      <c r="I279" s="89">
        <v>1</v>
      </c>
      <c r="J279" s="127">
        <v>30823.569900000002</v>
      </c>
      <c r="K279" s="127">
        <v>51060.25</v>
      </c>
      <c r="L279" s="127">
        <v>6004.1399999999994</v>
      </c>
      <c r="M279" s="127">
        <v>13742.569900000013</v>
      </c>
      <c r="N279" s="127">
        <v>42026.75</v>
      </c>
      <c r="O279" s="127">
        <v>5264.6399999999994</v>
      </c>
      <c r="P279" s="128">
        <f t="shared" si="36"/>
        <v>0.44584614775590975</v>
      </c>
      <c r="Q279" s="128">
        <f t="shared" si="37"/>
        <v>0.8230815556132216</v>
      </c>
      <c r="R279" s="128">
        <f t="shared" si="38"/>
        <v>0.87683498386113579</v>
      </c>
      <c r="S279" s="129">
        <v>1</v>
      </c>
      <c r="T279" s="129">
        <v>1</v>
      </c>
      <c r="U279" s="129">
        <v>1</v>
      </c>
      <c r="V279" s="138">
        <f t="shared" si="39"/>
        <v>3</v>
      </c>
      <c r="W279" s="138">
        <f t="shared" si="40"/>
        <v>3</v>
      </c>
      <c r="X279" s="138">
        <f t="shared" si="41"/>
        <v>1</v>
      </c>
      <c r="Y279" s="138">
        <f t="shared" si="42"/>
        <v>3</v>
      </c>
      <c r="Z279" s="138">
        <f t="shared" si="43"/>
        <v>3</v>
      </c>
      <c r="AA279" s="138">
        <f t="shared" si="44"/>
        <v>1</v>
      </c>
      <c r="AB279" s="127" t="s">
        <v>32</v>
      </c>
      <c r="AC279" s="127"/>
      <c r="AD279" s="127"/>
      <c r="AE279" s="130"/>
      <c r="AF279" s="136">
        <v>9.11</v>
      </c>
      <c r="AG279" s="136">
        <v>11.33</v>
      </c>
      <c r="AH279" s="136">
        <v>27.87</v>
      </c>
      <c r="AI279" s="136">
        <v>5.99</v>
      </c>
      <c r="AJ279" s="136">
        <v>3.49</v>
      </c>
      <c r="AK279" s="136">
        <v>0.49</v>
      </c>
      <c r="AL279" s="136">
        <v>3.31</v>
      </c>
      <c r="AM279" s="136">
        <v>61.590000000000011</v>
      </c>
      <c r="AN279" s="131"/>
      <c r="AO279" s="131"/>
      <c r="AP279" s="131"/>
      <c r="AQ279" s="131"/>
      <c r="AR279" s="131"/>
      <c r="AS279" s="131"/>
      <c r="AT279" s="131"/>
      <c r="AU279" s="91"/>
      <c r="AV279" s="91"/>
      <c r="AW279" s="131"/>
      <c r="AX279" s="131"/>
      <c r="AY279" s="131"/>
    </row>
    <row r="280" spans="1:51" ht="15" x14ac:dyDescent="0.25">
      <c r="A280" s="123"/>
      <c r="B280" s="124"/>
      <c r="C280" s="125">
        <v>773364</v>
      </c>
      <c r="D280" s="89"/>
      <c r="E280" s="86" t="s">
        <v>10</v>
      </c>
      <c r="F280" s="86" t="s">
        <v>418</v>
      </c>
      <c r="H280" s="126" t="s">
        <v>51</v>
      </c>
      <c r="I280" s="89">
        <v>1</v>
      </c>
      <c r="J280" s="127">
        <v>30823.569900000002</v>
      </c>
      <c r="K280" s="127">
        <v>51060.25</v>
      </c>
      <c r="L280" s="127">
        <v>6004.1399999999994</v>
      </c>
      <c r="M280" s="127">
        <v>13742.569900000013</v>
      </c>
      <c r="N280" s="127">
        <v>42026.75</v>
      </c>
      <c r="O280" s="127">
        <v>5264.6399999999994</v>
      </c>
      <c r="P280" s="128">
        <f t="shared" si="36"/>
        <v>0.44584614775590975</v>
      </c>
      <c r="Q280" s="128">
        <f t="shared" si="37"/>
        <v>0.8230815556132216</v>
      </c>
      <c r="R280" s="128">
        <f t="shared" si="38"/>
        <v>0.87683498386113579</v>
      </c>
      <c r="S280" s="129">
        <v>1</v>
      </c>
      <c r="T280" s="129">
        <v>1</v>
      </c>
      <c r="U280" s="129">
        <v>1</v>
      </c>
      <c r="V280" s="138">
        <f t="shared" si="39"/>
        <v>3</v>
      </c>
      <c r="W280" s="138">
        <f t="shared" si="40"/>
        <v>3</v>
      </c>
      <c r="X280" s="138">
        <f t="shared" si="41"/>
        <v>1</v>
      </c>
      <c r="Y280" s="138">
        <f t="shared" si="42"/>
        <v>3</v>
      </c>
      <c r="Z280" s="138">
        <f t="shared" si="43"/>
        <v>3</v>
      </c>
      <c r="AA280" s="138">
        <f t="shared" si="44"/>
        <v>1</v>
      </c>
      <c r="AB280" s="127" t="s">
        <v>32</v>
      </c>
      <c r="AC280" s="127"/>
      <c r="AD280" s="127"/>
      <c r="AE280" s="130"/>
      <c r="AF280" s="136">
        <v>9.11</v>
      </c>
      <c r="AG280" s="136">
        <v>11.33</v>
      </c>
      <c r="AH280" s="136">
        <v>27.87</v>
      </c>
      <c r="AI280" s="136">
        <v>5.99</v>
      </c>
      <c r="AJ280" s="136">
        <v>3.49</v>
      </c>
      <c r="AK280" s="136">
        <v>0.49</v>
      </c>
      <c r="AL280" s="136">
        <v>3.31</v>
      </c>
      <c r="AM280" s="136">
        <v>61.590000000000011</v>
      </c>
      <c r="AN280" s="131"/>
      <c r="AO280" s="131"/>
      <c r="AP280" s="131"/>
      <c r="AQ280" s="131"/>
      <c r="AR280" s="131"/>
      <c r="AS280" s="131"/>
      <c r="AT280" s="131"/>
      <c r="AU280" s="91"/>
      <c r="AV280" s="91"/>
      <c r="AW280" s="131"/>
      <c r="AX280" s="131"/>
      <c r="AY280" s="131"/>
    </row>
    <row r="281" spans="1:51" ht="15" x14ac:dyDescent="0.25">
      <c r="A281" s="123"/>
      <c r="B281" s="124"/>
      <c r="C281" s="125">
        <v>799406</v>
      </c>
      <c r="D281" s="89"/>
      <c r="E281" s="86" t="s">
        <v>10</v>
      </c>
      <c r="F281" s="86" t="s">
        <v>418</v>
      </c>
      <c r="H281" s="126" t="s">
        <v>51</v>
      </c>
      <c r="I281" s="89">
        <v>1</v>
      </c>
      <c r="J281" s="127">
        <v>30823.569900000002</v>
      </c>
      <c r="K281" s="127">
        <v>51060.25</v>
      </c>
      <c r="L281" s="127">
        <v>6004.1399999999994</v>
      </c>
      <c r="M281" s="127">
        <v>13742.569900000013</v>
      </c>
      <c r="N281" s="127">
        <v>42026.75</v>
      </c>
      <c r="O281" s="127">
        <v>5264.6399999999994</v>
      </c>
      <c r="P281" s="128">
        <f t="shared" si="36"/>
        <v>0.44584614775590975</v>
      </c>
      <c r="Q281" s="128">
        <f t="shared" si="37"/>
        <v>0.8230815556132216</v>
      </c>
      <c r="R281" s="128">
        <f t="shared" si="38"/>
        <v>0.87683498386113579</v>
      </c>
      <c r="S281" s="129">
        <v>1</v>
      </c>
      <c r="T281" s="129">
        <v>1</v>
      </c>
      <c r="U281" s="129">
        <v>1</v>
      </c>
      <c r="V281" s="138">
        <f t="shared" si="39"/>
        <v>3</v>
      </c>
      <c r="W281" s="138">
        <f t="shared" si="40"/>
        <v>3</v>
      </c>
      <c r="X281" s="138">
        <f t="shared" si="41"/>
        <v>1</v>
      </c>
      <c r="Y281" s="138">
        <f t="shared" si="42"/>
        <v>3</v>
      </c>
      <c r="Z281" s="138">
        <f t="shared" si="43"/>
        <v>3</v>
      </c>
      <c r="AA281" s="138">
        <f t="shared" si="44"/>
        <v>1</v>
      </c>
      <c r="AB281" s="127" t="s">
        <v>32</v>
      </c>
      <c r="AC281" s="127"/>
      <c r="AD281" s="127"/>
      <c r="AE281" s="130"/>
      <c r="AF281" s="136">
        <v>9.11</v>
      </c>
      <c r="AG281" s="136">
        <v>11.33</v>
      </c>
      <c r="AH281" s="136">
        <v>27.87</v>
      </c>
      <c r="AI281" s="136">
        <v>5.99</v>
      </c>
      <c r="AJ281" s="136">
        <v>3.49</v>
      </c>
      <c r="AK281" s="136">
        <v>0.49</v>
      </c>
      <c r="AL281" s="136">
        <v>3.31</v>
      </c>
      <c r="AM281" s="136">
        <v>61.590000000000011</v>
      </c>
      <c r="AN281" s="131"/>
      <c r="AO281" s="131"/>
      <c r="AP281" s="131"/>
      <c r="AQ281" s="131"/>
      <c r="AR281" s="131"/>
      <c r="AS281" s="131"/>
      <c r="AT281" s="131"/>
      <c r="AU281" s="91"/>
      <c r="AV281" s="91"/>
      <c r="AW281" s="131"/>
      <c r="AX281" s="131"/>
      <c r="AY281" s="131"/>
    </row>
    <row r="282" spans="1:51" ht="15" x14ac:dyDescent="0.25">
      <c r="A282" s="123"/>
      <c r="B282" s="124"/>
      <c r="C282" s="125">
        <v>902272</v>
      </c>
      <c r="D282" s="89"/>
      <c r="E282" s="86" t="s">
        <v>10</v>
      </c>
      <c r="F282" s="86" t="s">
        <v>418</v>
      </c>
      <c r="H282" s="126" t="s">
        <v>51</v>
      </c>
      <c r="I282" s="89">
        <v>1</v>
      </c>
      <c r="J282" s="127">
        <v>30823.569900000002</v>
      </c>
      <c r="K282" s="127">
        <v>51060.25</v>
      </c>
      <c r="L282" s="127">
        <v>6004.1399999999994</v>
      </c>
      <c r="M282" s="127">
        <v>13742.569900000013</v>
      </c>
      <c r="N282" s="127">
        <v>42026.75</v>
      </c>
      <c r="O282" s="127">
        <v>5264.6399999999994</v>
      </c>
      <c r="P282" s="128">
        <f t="shared" si="36"/>
        <v>0.44584614775590975</v>
      </c>
      <c r="Q282" s="128">
        <f t="shared" si="37"/>
        <v>0.8230815556132216</v>
      </c>
      <c r="R282" s="128">
        <f t="shared" si="38"/>
        <v>0.87683498386113579</v>
      </c>
      <c r="S282" s="129">
        <v>1</v>
      </c>
      <c r="T282" s="129">
        <v>1</v>
      </c>
      <c r="U282" s="129">
        <v>1</v>
      </c>
      <c r="V282" s="138">
        <f t="shared" si="39"/>
        <v>3</v>
      </c>
      <c r="W282" s="138">
        <f t="shared" si="40"/>
        <v>3</v>
      </c>
      <c r="X282" s="138">
        <f t="shared" si="41"/>
        <v>1</v>
      </c>
      <c r="Y282" s="138">
        <f t="shared" si="42"/>
        <v>3</v>
      </c>
      <c r="Z282" s="138">
        <f t="shared" si="43"/>
        <v>3</v>
      </c>
      <c r="AA282" s="138">
        <f t="shared" si="44"/>
        <v>1</v>
      </c>
      <c r="AB282" s="127" t="s">
        <v>32</v>
      </c>
      <c r="AC282" s="127"/>
      <c r="AD282" s="127"/>
      <c r="AE282" s="130"/>
      <c r="AF282" s="136">
        <v>9.11</v>
      </c>
      <c r="AG282" s="136">
        <v>11.33</v>
      </c>
      <c r="AH282" s="136">
        <v>27.87</v>
      </c>
      <c r="AI282" s="136">
        <v>5.99</v>
      </c>
      <c r="AJ282" s="136">
        <v>3.49</v>
      </c>
      <c r="AK282" s="136">
        <v>0.49</v>
      </c>
      <c r="AL282" s="136">
        <v>3.31</v>
      </c>
      <c r="AM282" s="136">
        <v>61.590000000000011</v>
      </c>
      <c r="AN282" s="131"/>
      <c r="AO282" s="131"/>
      <c r="AP282" s="131"/>
      <c r="AQ282" s="131"/>
      <c r="AR282" s="131"/>
      <c r="AS282" s="131"/>
      <c r="AT282" s="131"/>
      <c r="AU282" s="91"/>
      <c r="AV282" s="91"/>
      <c r="AW282" s="131"/>
      <c r="AX282" s="131"/>
      <c r="AY282" s="131"/>
    </row>
    <row r="283" spans="1:51" ht="15" x14ac:dyDescent="0.25">
      <c r="A283" s="123"/>
      <c r="B283" s="124"/>
      <c r="C283" s="125">
        <v>927832</v>
      </c>
      <c r="D283" s="89"/>
      <c r="E283" s="86" t="s">
        <v>10</v>
      </c>
      <c r="F283" s="86" t="s">
        <v>418</v>
      </c>
      <c r="H283" s="126" t="s">
        <v>51</v>
      </c>
      <c r="I283" s="89">
        <v>1</v>
      </c>
      <c r="J283" s="127">
        <v>30823.569900000002</v>
      </c>
      <c r="K283" s="127">
        <v>51060.25</v>
      </c>
      <c r="L283" s="127">
        <v>6004.1399999999994</v>
      </c>
      <c r="M283" s="127">
        <v>13742.569900000013</v>
      </c>
      <c r="N283" s="127">
        <v>42026.75</v>
      </c>
      <c r="O283" s="127">
        <v>5264.6399999999994</v>
      </c>
      <c r="P283" s="128">
        <f t="shared" si="36"/>
        <v>0.44584614775590975</v>
      </c>
      <c r="Q283" s="128">
        <f t="shared" si="37"/>
        <v>0.8230815556132216</v>
      </c>
      <c r="R283" s="128">
        <f t="shared" si="38"/>
        <v>0.87683498386113579</v>
      </c>
      <c r="S283" s="129">
        <v>1</v>
      </c>
      <c r="T283" s="129">
        <v>1</v>
      </c>
      <c r="U283" s="129">
        <v>1</v>
      </c>
      <c r="V283" s="138">
        <f t="shared" si="39"/>
        <v>3</v>
      </c>
      <c r="W283" s="138">
        <f t="shared" si="40"/>
        <v>3</v>
      </c>
      <c r="X283" s="138">
        <f t="shared" si="41"/>
        <v>1</v>
      </c>
      <c r="Y283" s="138">
        <f t="shared" si="42"/>
        <v>3</v>
      </c>
      <c r="Z283" s="138">
        <f t="shared" si="43"/>
        <v>3</v>
      </c>
      <c r="AA283" s="138">
        <f t="shared" si="44"/>
        <v>1</v>
      </c>
      <c r="AB283" s="127" t="s">
        <v>32</v>
      </c>
      <c r="AC283" s="127"/>
      <c r="AD283" s="127"/>
      <c r="AE283" s="130"/>
      <c r="AF283" s="136">
        <v>9.11</v>
      </c>
      <c r="AG283" s="136">
        <v>11.33</v>
      </c>
      <c r="AH283" s="136">
        <v>27.87</v>
      </c>
      <c r="AI283" s="136">
        <v>5.99</v>
      </c>
      <c r="AJ283" s="136">
        <v>3.49</v>
      </c>
      <c r="AK283" s="136">
        <v>0.49</v>
      </c>
      <c r="AL283" s="136">
        <v>3.31</v>
      </c>
      <c r="AM283" s="136">
        <v>61.590000000000011</v>
      </c>
      <c r="AN283" s="131"/>
      <c r="AO283" s="131"/>
      <c r="AP283" s="131"/>
      <c r="AQ283" s="131"/>
      <c r="AR283" s="131"/>
      <c r="AS283" s="131"/>
      <c r="AT283" s="131"/>
      <c r="AU283" s="91"/>
      <c r="AV283" s="91"/>
      <c r="AW283" s="131"/>
      <c r="AX283" s="131"/>
      <c r="AY283" s="131"/>
    </row>
    <row r="284" spans="1:51" ht="15" x14ac:dyDescent="0.25">
      <c r="A284" s="123"/>
      <c r="B284" s="124"/>
      <c r="C284" s="125">
        <v>931072</v>
      </c>
      <c r="D284" s="89"/>
      <c r="E284" s="86" t="s">
        <v>10</v>
      </c>
      <c r="F284" s="86" t="s">
        <v>418</v>
      </c>
      <c r="H284" s="126" t="s">
        <v>51</v>
      </c>
      <c r="I284" s="89">
        <v>1</v>
      </c>
      <c r="J284" s="127">
        <v>30823.569900000002</v>
      </c>
      <c r="K284" s="127">
        <v>51060.25</v>
      </c>
      <c r="L284" s="127">
        <v>6004.1399999999994</v>
      </c>
      <c r="M284" s="127">
        <v>13742.569900000013</v>
      </c>
      <c r="N284" s="127">
        <v>42026.75</v>
      </c>
      <c r="O284" s="127">
        <v>5264.6399999999994</v>
      </c>
      <c r="P284" s="128">
        <f t="shared" si="36"/>
        <v>0.44584614775590975</v>
      </c>
      <c r="Q284" s="128">
        <f t="shared" si="37"/>
        <v>0.8230815556132216</v>
      </c>
      <c r="R284" s="128">
        <f t="shared" si="38"/>
        <v>0.87683498386113579</v>
      </c>
      <c r="S284" s="129">
        <v>1</v>
      </c>
      <c r="T284" s="129">
        <v>1</v>
      </c>
      <c r="U284" s="129">
        <v>1</v>
      </c>
      <c r="V284" s="138">
        <f t="shared" si="39"/>
        <v>3</v>
      </c>
      <c r="W284" s="138">
        <f t="shared" si="40"/>
        <v>3</v>
      </c>
      <c r="X284" s="138">
        <f t="shared" si="41"/>
        <v>1</v>
      </c>
      <c r="Y284" s="138">
        <f t="shared" si="42"/>
        <v>3</v>
      </c>
      <c r="Z284" s="138">
        <f t="shared" si="43"/>
        <v>3</v>
      </c>
      <c r="AA284" s="138">
        <f t="shared" si="44"/>
        <v>1</v>
      </c>
      <c r="AB284" s="127" t="s">
        <v>32</v>
      </c>
      <c r="AC284" s="127"/>
      <c r="AD284" s="127"/>
      <c r="AE284" s="130"/>
      <c r="AF284" s="136">
        <v>9.11</v>
      </c>
      <c r="AG284" s="136">
        <v>11.33</v>
      </c>
      <c r="AH284" s="136">
        <v>27.87</v>
      </c>
      <c r="AI284" s="136">
        <v>5.99</v>
      </c>
      <c r="AJ284" s="136">
        <v>3.49</v>
      </c>
      <c r="AK284" s="136">
        <v>0.49</v>
      </c>
      <c r="AL284" s="136">
        <v>3.31</v>
      </c>
      <c r="AM284" s="136">
        <v>61.590000000000011</v>
      </c>
      <c r="AN284" s="131"/>
      <c r="AO284" s="131"/>
      <c r="AP284" s="131"/>
      <c r="AQ284" s="131"/>
      <c r="AR284" s="131"/>
      <c r="AS284" s="131"/>
      <c r="AT284" s="131"/>
      <c r="AU284" s="91"/>
      <c r="AV284" s="91"/>
      <c r="AW284" s="131"/>
      <c r="AX284" s="131"/>
      <c r="AY284" s="131"/>
    </row>
    <row r="285" spans="1:51" ht="15" x14ac:dyDescent="0.25">
      <c r="A285" s="123"/>
      <c r="B285" s="124"/>
      <c r="C285" s="125">
        <v>956851</v>
      </c>
      <c r="D285" s="89"/>
      <c r="E285" s="86" t="s">
        <v>10</v>
      </c>
      <c r="F285" s="86" t="s">
        <v>418</v>
      </c>
      <c r="H285" s="126" t="s">
        <v>51</v>
      </c>
      <c r="I285" s="89">
        <v>1</v>
      </c>
      <c r="J285" s="127">
        <v>30823.569900000002</v>
      </c>
      <c r="K285" s="127">
        <v>51060.25</v>
      </c>
      <c r="L285" s="127">
        <v>6004.1399999999994</v>
      </c>
      <c r="M285" s="127">
        <v>13742.569900000013</v>
      </c>
      <c r="N285" s="127">
        <v>42026.75</v>
      </c>
      <c r="O285" s="127">
        <v>5264.6399999999994</v>
      </c>
      <c r="P285" s="128">
        <f t="shared" si="36"/>
        <v>0.44584614775590975</v>
      </c>
      <c r="Q285" s="128">
        <f t="shared" si="37"/>
        <v>0.8230815556132216</v>
      </c>
      <c r="R285" s="128">
        <f t="shared" si="38"/>
        <v>0.87683498386113579</v>
      </c>
      <c r="S285" s="129">
        <v>1</v>
      </c>
      <c r="T285" s="129">
        <v>1</v>
      </c>
      <c r="U285" s="129">
        <v>1</v>
      </c>
      <c r="V285" s="138">
        <f t="shared" si="39"/>
        <v>3</v>
      </c>
      <c r="W285" s="138">
        <f t="shared" si="40"/>
        <v>3</v>
      </c>
      <c r="X285" s="138">
        <f t="shared" si="41"/>
        <v>1</v>
      </c>
      <c r="Y285" s="138">
        <f t="shared" si="42"/>
        <v>3</v>
      </c>
      <c r="Z285" s="138">
        <f t="shared" si="43"/>
        <v>3</v>
      </c>
      <c r="AA285" s="138">
        <f t="shared" si="44"/>
        <v>1</v>
      </c>
      <c r="AB285" s="127" t="s">
        <v>32</v>
      </c>
      <c r="AC285" s="127"/>
      <c r="AD285" s="127"/>
      <c r="AE285" s="130"/>
      <c r="AF285" s="136">
        <v>9.11</v>
      </c>
      <c r="AG285" s="136">
        <v>11.33</v>
      </c>
      <c r="AH285" s="136">
        <v>27.87</v>
      </c>
      <c r="AI285" s="136">
        <v>5.99</v>
      </c>
      <c r="AJ285" s="136">
        <v>3.49</v>
      </c>
      <c r="AK285" s="136">
        <v>0.49</v>
      </c>
      <c r="AL285" s="136">
        <v>3.31</v>
      </c>
      <c r="AM285" s="136">
        <v>61.590000000000011</v>
      </c>
      <c r="AN285" s="131"/>
      <c r="AO285" s="131"/>
      <c r="AP285" s="131"/>
      <c r="AQ285" s="131"/>
      <c r="AR285" s="131"/>
      <c r="AS285" s="131"/>
      <c r="AT285" s="131"/>
      <c r="AU285" s="91"/>
      <c r="AV285" s="91"/>
      <c r="AW285" s="131"/>
      <c r="AX285" s="131"/>
      <c r="AY285" s="131"/>
    </row>
    <row r="286" spans="1:51" ht="15" x14ac:dyDescent="0.25">
      <c r="A286" s="123"/>
      <c r="B286" s="124"/>
      <c r="C286" s="125">
        <v>970653</v>
      </c>
      <c r="D286" s="89"/>
      <c r="E286" s="86" t="s">
        <v>10</v>
      </c>
      <c r="F286" s="86" t="s">
        <v>418</v>
      </c>
      <c r="H286" s="126" t="s">
        <v>51</v>
      </c>
      <c r="I286" s="89">
        <v>1</v>
      </c>
      <c r="J286" s="127">
        <v>30823.569900000002</v>
      </c>
      <c r="K286" s="127">
        <v>51060.25</v>
      </c>
      <c r="L286" s="127">
        <v>6004.1399999999994</v>
      </c>
      <c r="M286" s="127">
        <v>13742.569900000013</v>
      </c>
      <c r="N286" s="127">
        <v>42026.75</v>
      </c>
      <c r="O286" s="127">
        <v>5264.6399999999994</v>
      </c>
      <c r="P286" s="128">
        <f t="shared" si="36"/>
        <v>0.44584614775590975</v>
      </c>
      <c r="Q286" s="128">
        <f t="shared" si="37"/>
        <v>0.8230815556132216</v>
      </c>
      <c r="R286" s="128">
        <f t="shared" si="38"/>
        <v>0.87683498386113579</v>
      </c>
      <c r="S286" s="129">
        <v>1</v>
      </c>
      <c r="T286" s="129">
        <v>1</v>
      </c>
      <c r="U286" s="129">
        <v>1</v>
      </c>
      <c r="V286" s="138">
        <f t="shared" si="39"/>
        <v>3</v>
      </c>
      <c r="W286" s="138">
        <f t="shared" si="40"/>
        <v>3</v>
      </c>
      <c r="X286" s="138">
        <f t="shared" si="41"/>
        <v>1</v>
      </c>
      <c r="Y286" s="138">
        <f t="shared" si="42"/>
        <v>3</v>
      </c>
      <c r="Z286" s="138">
        <f t="shared" si="43"/>
        <v>3</v>
      </c>
      <c r="AA286" s="138">
        <f t="shared" si="44"/>
        <v>1</v>
      </c>
      <c r="AB286" s="127" t="s">
        <v>32</v>
      </c>
      <c r="AC286" s="127"/>
      <c r="AD286" s="127"/>
      <c r="AE286" s="130"/>
      <c r="AF286" s="136">
        <v>9.11</v>
      </c>
      <c r="AG286" s="136">
        <v>11.33</v>
      </c>
      <c r="AH286" s="136">
        <v>27.87</v>
      </c>
      <c r="AI286" s="136">
        <v>5.99</v>
      </c>
      <c r="AJ286" s="136">
        <v>3.49</v>
      </c>
      <c r="AK286" s="136">
        <v>0.49</v>
      </c>
      <c r="AL286" s="136">
        <v>3.31</v>
      </c>
      <c r="AM286" s="136">
        <v>61.590000000000011</v>
      </c>
      <c r="AN286" s="131"/>
      <c r="AO286" s="131"/>
      <c r="AP286" s="131"/>
      <c r="AQ286" s="131"/>
      <c r="AR286" s="131"/>
      <c r="AS286" s="131"/>
      <c r="AT286" s="131"/>
      <c r="AU286" s="91"/>
      <c r="AV286" s="91"/>
      <c r="AW286" s="131"/>
      <c r="AX286" s="131"/>
      <c r="AY286" s="131"/>
    </row>
    <row r="287" spans="1:51" ht="15" x14ac:dyDescent="0.25">
      <c r="A287" s="123"/>
      <c r="B287" s="124"/>
      <c r="C287" s="125">
        <v>10973</v>
      </c>
      <c r="D287" s="89"/>
      <c r="E287" s="86" t="s">
        <v>11</v>
      </c>
      <c r="F287" s="86" t="s">
        <v>418</v>
      </c>
      <c r="H287" s="126" t="s">
        <v>51</v>
      </c>
      <c r="I287" s="89">
        <v>1</v>
      </c>
      <c r="J287" s="127">
        <v>25096.689900000001</v>
      </c>
      <c r="K287" s="127">
        <v>108181.04999999999</v>
      </c>
      <c r="L287" s="127">
        <v>8091.71</v>
      </c>
      <c r="M287" s="127">
        <v>0</v>
      </c>
      <c r="N287" s="127">
        <v>98836.049999999988</v>
      </c>
      <c r="O287" s="127">
        <v>7326.71</v>
      </c>
      <c r="P287" s="128">
        <f t="shared" si="36"/>
        <v>0</v>
      </c>
      <c r="Q287" s="128">
        <f t="shared" si="37"/>
        <v>0.91361703366717184</v>
      </c>
      <c r="R287" s="128">
        <f t="shared" si="38"/>
        <v>0.90545879671911134</v>
      </c>
      <c r="S287" s="129">
        <v>0</v>
      </c>
      <c r="T287" s="129">
        <v>1</v>
      </c>
      <c r="U287" s="129">
        <v>1</v>
      </c>
      <c r="V287" s="138">
        <f t="shared" si="39"/>
        <v>3</v>
      </c>
      <c r="W287" s="138">
        <f t="shared" si="40"/>
        <v>3</v>
      </c>
      <c r="X287" s="138">
        <f t="shared" si="41"/>
        <v>1</v>
      </c>
      <c r="Y287" s="138">
        <f t="shared" si="42"/>
        <v>0</v>
      </c>
      <c r="Z287" s="138">
        <f t="shared" si="43"/>
        <v>3</v>
      </c>
      <c r="AA287" s="138">
        <f t="shared" si="44"/>
        <v>1</v>
      </c>
      <c r="AB287" s="127" t="s">
        <v>32</v>
      </c>
      <c r="AC287" s="127"/>
      <c r="AD287" s="127"/>
      <c r="AE287" s="130"/>
      <c r="AF287" s="136">
        <v>0</v>
      </c>
      <c r="AG287" s="136">
        <v>11.33</v>
      </c>
      <c r="AH287" s="136">
        <v>63.36</v>
      </c>
      <c r="AI287" s="136">
        <v>5.99</v>
      </c>
      <c r="AJ287" s="136">
        <v>4.7</v>
      </c>
      <c r="AK287" s="136">
        <v>0.49</v>
      </c>
      <c r="AL287" s="136">
        <v>3.31</v>
      </c>
      <c r="AM287" s="136">
        <v>89.179999999999993</v>
      </c>
      <c r="AN287" s="131"/>
      <c r="AO287" s="131"/>
      <c r="AP287" s="131"/>
      <c r="AQ287" s="131"/>
      <c r="AR287" s="131"/>
      <c r="AS287" s="131"/>
      <c r="AT287" s="131"/>
      <c r="AU287" s="91"/>
      <c r="AV287" s="91"/>
      <c r="AW287" s="131"/>
      <c r="AX287" s="131"/>
      <c r="AY287" s="131"/>
    </row>
    <row r="288" spans="1:51" ht="15" x14ac:dyDescent="0.25">
      <c r="A288" s="123"/>
      <c r="B288" s="124"/>
      <c r="C288" s="125">
        <v>21264</v>
      </c>
      <c r="D288" s="89"/>
      <c r="E288" s="86" t="s">
        <v>11</v>
      </c>
      <c r="F288" s="86" t="s">
        <v>418</v>
      </c>
      <c r="H288" s="126" t="s">
        <v>51</v>
      </c>
      <c r="I288" s="89">
        <v>1</v>
      </c>
      <c r="J288" s="127">
        <v>25096.689900000001</v>
      </c>
      <c r="K288" s="127">
        <v>108181.04999999999</v>
      </c>
      <c r="L288" s="127">
        <v>8091.71</v>
      </c>
      <c r="M288" s="127">
        <v>0</v>
      </c>
      <c r="N288" s="127">
        <v>98836.049999999988</v>
      </c>
      <c r="O288" s="127">
        <v>7326.71</v>
      </c>
      <c r="P288" s="128">
        <f t="shared" si="36"/>
        <v>0</v>
      </c>
      <c r="Q288" s="128">
        <f t="shared" si="37"/>
        <v>0.91361703366717184</v>
      </c>
      <c r="R288" s="128">
        <f t="shared" si="38"/>
        <v>0.90545879671911134</v>
      </c>
      <c r="S288" s="129">
        <v>0</v>
      </c>
      <c r="T288" s="129">
        <v>1</v>
      </c>
      <c r="U288" s="129">
        <v>1</v>
      </c>
      <c r="V288" s="138">
        <f t="shared" si="39"/>
        <v>3</v>
      </c>
      <c r="W288" s="138">
        <f t="shared" si="40"/>
        <v>3</v>
      </c>
      <c r="X288" s="138">
        <f t="shared" si="41"/>
        <v>1</v>
      </c>
      <c r="Y288" s="138">
        <f t="shared" si="42"/>
        <v>0</v>
      </c>
      <c r="Z288" s="138">
        <f t="shared" si="43"/>
        <v>3</v>
      </c>
      <c r="AA288" s="138">
        <f t="shared" si="44"/>
        <v>1</v>
      </c>
      <c r="AB288" s="127" t="s">
        <v>32</v>
      </c>
      <c r="AC288" s="127"/>
      <c r="AD288" s="127"/>
      <c r="AE288" s="130"/>
      <c r="AF288" s="136">
        <v>0</v>
      </c>
      <c r="AG288" s="136">
        <v>11.33</v>
      </c>
      <c r="AH288" s="136">
        <v>63.36</v>
      </c>
      <c r="AI288" s="136">
        <v>5.99</v>
      </c>
      <c r="AJ288" s="136">
        <v>4.7</v>
      </c>
      <c r="AK288" s="136">
        <v>0.49</v>
      </c>
      <c r="AL288" s="136">
        <v>3.31</v>
      </c>
      <c r="AM288" s="136">
        <v>89.179999999999993</v>
      </c>
      <c r="AN288" s="131"/>
      <c r="AO288" s="131"/>
      <c r="AP288" s="131"/>
      <c r="AQ288" s="131"/>
      <c r="AR288" s="131"/>
      <c r="AS288" s="131"/>
      <c r="AT288" s="131"/>
      <c r="AU288" s="91"/>
      <c r="AV288" s="91"/>
      <c r="AW288" s="131"/>
      <c r="AX288" s="131"/>
      <c r="AY288" s="131"/>
    </row>
    <row r="289" spans="1:51" ht="15" x14ac:dyDescent="0.25">
      <c r="A289" s="123"/>
      <c r="B289" s="124"/>
      <c r="C289" s="125">
        <v>105063</v>
      </c>
      <c r="D289" s="89"/>
      <c r="E289" s="86" t="s">
        <v>11</v>
      </c>
      <c r="F289" s="86" t="s">
        <v>418</v>
      </c>
      <c r="H289" s="126" t="s">
        <v>51</v>
      </c>
      <c r="I289" s="89">
        <v>1</v>
      </c>
      <c r="J289" s="127">
        <v>25096.689900000001</v>
      </c>
      <c r="K289" s="127">
        <v>108181.04999999999</v>
      </c>
      <c r="L289" s="127">
        <v>8091.71</v>
      </c>
      <c r="M289" s="127">
        <v>0</v>
      </c>
      <c r="N289" s="127">
        <v>98836.049999999988</v>
      </c>
      <c r="O289" s="127">
        <v>7326.71</v>
      </c>
      <c r="P289" s="128">
        <f t="shared" si="36"/>
        <v>0</v>
      </c>
      <c r="Q289" s="128">
        <f t="shared" si="37"/>
        <v>0.91361703366717184</v>
      </c>
      <c r="R289" s="128">
        <f t="shared" si="38"/>
        <v>0.90545879671911134</v>
      </c>
      <c r="S289" s="129">
        <v>0</v>
      </c>
      <c r="T289" s="129">
        <v>1</v>
      </c>
      <c r="U289" s="129">
        <v>1</v>
      </c>
      <c r="V289" s="138">
        <f t="shared" si="39"/>
        <v>3</v>
      </c>
      <c r="W289" s="138">
        <f t="shared" si="40"/>
        <v>3</v>
      </c>
      <c r="X289" s="138">
        <f t="shared" si="41"/>
        <v>1</v>
      </c>
      <c r="Y289" s="138">
        <f t="shared" si="42"/>
        <v>0</v>
      </c>
      <c r="Z289" s="138">
        <f t="shared" si="43"/>
        <v>3</v>
      </c>
      <c r="AA289" s="138">
        <f t="shared" si="44"/>
        <v>1</v>
      </c>
      <c r="AB289" s="127" t="s">
        <v>32</v>
      </c>
      <c r="AC289" s="127"/>
      <c r="AD289" s="127"/>
      <c r="AE289" s="130"/>
      <c r="AF289" s="136">
        <v>0</v>
      </c>
      <c r="AG289" s="136">
        <v>11.33</v>
      </c>
      <c r="AH289" s="136">
        <v>63.36</v>
      </c>
      <c r="AI289" s="136">
        <v>5.99</v>
      </c>
      <c r="AJ289" s="136">
        <v>4.7</v>
      </c>
      <c r="AK289" s="136">
        <v>0.49</v>
      </c>
      <c r="AL289" s="136">
        <v>3.31</v>
      </c>
      <c r="AM289" s="136">
        <v>89.179999999999993</v>
      </c>
      <c r="AN289" s="131"/>
      <c r="AO289" s="131"/>
      <c r="AP289" s="131"/>
      <c r="AQ289" s="131"/>
      <c r="AR289" s="131"/>
      <c r="AS289" s="131"/>
      <c r="AT289" s="131"/>
      <c r="AU289" s="91"/>
      <c r="AV289" s="91"/>
      <c r="AW289" s="131"/>
      <c r="AX289" s="131"/>
      <c r="AY289" s="131"/>
    </row>
    <row r="290" spans="1:51" ht="15" x14ac:dyDescent="0.25">
      <c r="A290" s="123"/>
      <c r="B290" s="124"/>
      <c r="C290" s="125">
        <v>124803</v>
      </c>
      <c r="D290" s="89"/>
      <c r="E290" s="86" t="s">
        <v>11</v>
      </c>
      <c r="F290" s="86" t="s">
        <v>418</v>
      </c>
      <c r="H290" s="126" t="s">
        <v>51</v>
      </c>
      <c r="I290" s="89">
        <v>1</v>
      </c>
      <c r="J290" s="127">
        <v>25096.689900000001</v>
      </c>
      <c r="K290" s="127">
        <v>108181.04999999999</v>
      </c>
      <c r="L290" s="127">
        <v>8091.71</v>
      </c>
      <c r="M290" s="127">
        <v>0</v>
      </c>
      <c r="N290" s="127">
        <v>98836.049999999988</v>
      </c>
      <c r="O290" s="127">
        <v>7326.71</v>
      </c>
      <c r="P290" s="128">
        <f t="shared" si="36"/>
        <v>0</v>
      </c>
      <c r="Q290" s="128">
        <f t="shared" si="37"/>
        <v>0.91361703366717184</v>
      </c>
      <c r="R290" s="128">
        <f t="shared" si="38"/>
        <v>0.90545879671911134</v>
      </c>
      <c r="S290" s="129">
        <v>0</v>
      </c>
      <c r="T290" s="129">
        <v>1</v>
      </c>
      <c r="U290" s="129">
        <v>1</v>
      </c>
      <c r="V290" s="138">
        <f t="shared" si="39"/>
        <v>3</v>
      </c>
      <c r="W290" s="138">
        <f t="shared" si="40"/>
        <v>3</v>
      </c>
      <c r="X290" s="138">
        <f t="shared" si="41"/>
        <v>1</v>
      </c>
      <c r="Y290" s="138">
        <f t="shared" si="42"/>
        <v>0</v>
      </c>
      <c r="Z290" s="138">
        <f t="shared" si="43"/>
        <v>3</v>
      </c>
      <c r="AA290" s="138">
        <f t="shared" si="44"/>
        <v>1</v>
      </c>
      <c r="AB290" s="127" t="s">
        <v>32</v>
      </c>
      <c r="AC290" s="127"/>
      <c r="AD290" s="127"/>
      <c r="AE290" s="130"/>
      <c r="AF290" s="136">
        <v>0</v>
      </c>
      <c r="AG290" s="136">
        <v>11.33</v>
      </c>
      <c r="AH290" s="136">
        <v>63.36</v>
      </c>
      <c r="AI290" s="136">
        <v>5.99</v>
      </c>
      <c r="AJ290" s="136">
        <v>4.7</v>
      </c>
      <c r="AK290" s="136">
        <v>0.49</v>
      </c>
      <c r="AL290" s="136">
        <v>3.31</v>
      </c>
      <c r="AM290" s="136">
        <v>89.179999999999993</v>
      </c>
      <c r="AN290" s="131"/>
      <c r="AO290" s="131"/>
      <c r="AP290" s="131"/>
      <c r="AQ290" s="131"/>
      <c r="AR290" s="131"/>
      <c r="AS290" s="131"/>
      <c r="AT290" s="131"/>
      <c r="AU290" s="91"/>
      <c r="AV290" s="91"/>
      <c r="AW290" s="131"/>
      <c r="AX290" s="131"/>
      <c r="AY290" s="131"/>
    </row>
    <row r="291" spans="1:51" ht="15" x14ac:dyDescent="0.25">
      <c r="A291" s="123"/>
      <c r="B291" s="124"/>
      <c r="C291" s="125">
        <v>135898</v>
      </c>
      <c r="D291" s="89"/>
      <c r="E291" s="86" t="s">
        <v>11</v>
      </c>
      <c r="F291" s="86" t="s">
        <v>418</v>
      </c>
      <c r="H291" s="126" t="s">
        <v>51</v>
      </c>
      <c r="I291" s="89">
        <v>1</v>
      </c>
      <c r="J291" s="127">
        <v>25096.689900000001</v>
      </c>
      <c r="K291" s="127">
        <v>108181.04999999999</v>
      </c>
      <c r="L291" s="127">
        <v>8091.71</v>
      </c>
      <c r="M291" s="127">
        <v>0</v>
      </c>
      <c r="N291" s="127">
        <v>98836.049999999988</v>
      </c>
      <c r="O291" s="127">
        <v>7326.71</v>
      </c>
      <c r="P291" s="128">
        <f t="shared" si="36"/>
        <v>0</v>
      </c>
      <c r="Q291" s="128">
        <f t="shared" si="37"/>
        <v>0.91361703366717184</v>
      </c>
      <c r="R291" s="128">
        <f t="shared" si="38"/>
        <v>0.90545879671911134</v>
      </c>
      <c r="S291" s="129">
        <v>0</v>
      </c>
      <c r="T291" s="129">
        <v>1</v>
      </c>
      <c r="U291" s="129">
        <v>1</v>
      </c>
      <c r="V291" s="138">
        <f t="shared" si="39"/>
        <v>3</v>
      </c>
      <c r="W291" s="138">
        <f t="shared" si="40"/>
        <v>3</v>
      </c>
      <c r="X291" s="138">
        <f t="shared" si="41"/>
        <v>1</v>
      </c>
      <c r="Y291" s="138">
        <f t="shared" si="42"/>
        <v>0</v>
      </c>
      <c r="Z291" s="138">
        <f t="shared" si="43"/>
        <v>3</v>
      </c>
      <c r="AA291" s="138">
        <f t="shared" si="44"/>
        <v>1</v>
      </c>
      <c r="AB291" s="127" t="s">
        <v>32</v>
      </c>
      <c r="AC291" s="127"/>
      <c r="AD291" s="127"/>
      <c r="AE291" s="130"/>
      <c r="AF291" s="136">
        <v>0</v>
      </c>
      <c r="AG291" s="136">
        <v>11.33</v>
      </c>
      <c r="AH291" s="136">
        <v>63.36</v>
      </c>
      <c r="AI291" s="136">
        <v>5.99</v>
      </c>
      <c r="AJ291" s="136">
        <v>4.7</v>
      </c>
      <c r="AK291" s="136">
        <v>0.49</v>
      </c>
      <c r="AL291" s="136">
        <v>3.31</v>
      </c>
      <c r="AM291" s="136">
        <v>89.179999999999993</v>
      </c>
      <c r="AN291" s="131"/>
      <c r="AO291" s="131"/>
      <c r="AP291" s="131"/>
      <c r="AQ291" s="131"/>
      <c r="AR291" s="131"/>
      <c r="AS291" s="131"/>
      <c r="AT291" s="131"/>
      <c r="AU291" s="91"/>
      <c r="AV291" s="91"/>
      <c r="AW291" s="131"/>
      <c r="AX291" s="131"/>
      <c r="AY291" s="131"/>
    </row>
    <row r="292" spans="1:51" ht="15" x14ac:dyDescent="0.25">
      <c r="A292" s="123"/>
      <c r="B292" s="124"/>
      <c r="C292" s="125">
        <v>151866</v>
      </c>
      <c r="D292" s="89"/>
      <c r="E292" s="86" t="s">
        <v>11</v>
      </c>
      <c r="F292" s="86" t="s">
        <v>418</v>
      </c>
      <c r="H292" s="126" t="s">
        <v>51</v>
      </c>
      <c r="I292" s="89">
        <v>1</v>
      </c>
      <c r="J292" s="127">
        <v>25096.689900000001</v>
      </c>
      <c r="K292" s="127">
        <v>108181.04999999999</v>
      </c>
      <c r="L292" s="127">
        <v>8091.71</v>
      </c>
      <c r="M292" s="127">
        <v>0</v>
      </c>
      <c r="N292" s="127">
        <v>98836.049999999988</v>
      </c>
      <c r="O292" s="127">
        <v>7326.71</v>
      </c>
      <c r="P292" s="128">
        <f t="shared" si="36"/>
        <v>0</v>
      </c>
      <c r="Q292" s="128">
        <f t="shared" si="37"/>
        <v>0.91361703366717184</v>
      </c>
      <c r="R292" s="128">
        <f t="shared" si="38"/>
        <v>0.90545879671911134</v>
      </c>
      <c r="S292" s="129">
        <v>0</v>
      </c>
      <c r="T292" s="129">
        <v>1</v>
      </c>
      <c r="U292" s="129">
        <v>1</v>
      </c>
      <c r="V292" s="138">
        <f t="shared" si="39"/>
        <v>3</v>
      </c>
      <c r="W292" s="138">
        <f t="shared" si="40"/>
        <v>3</v>
      </c>
      <c r="X292" s="138">
        <f t="shared" si="41"/>
        <v>1</v>
      </c>
      <c r="Y292" s="138">
        <f t="shared" si="42"/>
        <v>0</v>
      </c>
      <c r="Z292" s="138">
        <f t="shared" si="43"/>
        <v>3</v>
      </c>
      <c r="AA292" s="138">
        <f t="shared" si="44"/>
        <v>1</v>
      </c>
      <c r="AB292" s="127" t="s">
        <v>32</v>
      </c>
      <c r="AC292" s="127"/>
      <c r="AD292" s="127"/>
      <c r="AE292" s="130"/>
      <c r="AF292" s="136">
        <v>0</v>
      </c>
      <c r="AG292" s="136">
        <v>11.33</v>
      </c>
      <c r="AH292" s="136">
        <v>63.36</v>
      </c>
      <c r="AI292" s="136">
        <v>5.99</v>
      </c>
      <c r="AJ292" s="136">
        <v>4.7</v>
      </c>
      <c r="AK292" s="136">
        <v>0.49</v>
      </c>
      <c r="AL292" s="136">
        <v>3.31</v>
      </c>
      <c r="AM292" s="136">
        <v>89.179999999999993</v>
      </c>
      <c r="AN292" s="131"/>
      <c r="AO292" s="131"/>
      <c r="AP292" s="131"/>
      <c r="AQ292" s="131"/>
      <c r="AR292" s="131"/>
      <c r="AS292" s="131"/>
      <c r="AT292" s="131"/>
      <c r="AU292" s="91"/>
      <c r="AV292" s="91"/>
      <c r="AW292" s="131"/>
      <c r="AX292" s="131"/>
      <c r="AY292" s="131"/>
    </row>
    <row r="293" spans="1:51" ht="15" x14ac:dyDescent="0.25">
      <c r="A293" s="123"/>
      <c r="B293" s="124"/>
      <c r="C293" s="125">
        <v>191467</v>
      </c>
      <c r="D293" s="89"/>
      <c r="E293" s="86" t="s">
        <v>11</v>
      </c>
      <c r="F293" s="86" t="s">
        <v>418</v>
      </c>
      <c r="H293" s="126" t="s">
        <v>51</v>
      </c>
      <c r="I293" s="89">
        <v>1</v>
      </c>
      <c r="J293" s="127">
        <v>25096.689900000001</v>
      </c>
      <c r="K293" s="127">
        <v>108181.04999999999</v>
      </c>
      <c r="L293" s="127">
        <v>8091.71</v>
      </c>
      <c r="M293" s="127">
        <v>0</v>
      </c>
      <c r="N293" s="127">
        <v>98836.049999999988</v>
      </c>
      <c r="O293" s="127">
        <v>7326.71</v>
      </c>
      <c r="P293" s="128">
        <f t="shared" si="36"/>
        <v>0</v>
      </c>
      <c r="Q293" s="128">
        <f t="shared" si="37"/>
        <v>0.91361703366717184</v>
      </c>
      <c r="R293" s="128">
        <f t="shared" si="38"/>
        <v>0.90545879671911134</v>
      </c>
      <c r="S293" s="129">
        <v>0</v>
      </c>
      <c r="T293" s="129">
        <v>1</v>
      </c>
      <c r="U293" s="129">
        <v>1</v>
      </c>
      <c r="V293" s="138">
        <f t="shared" si="39"/>
        <v>3</v>
      </c>
      <c r="W293" s="138">
        <f t="shared" si="40"/>
        <v>3</v>
      </c>
      <c r="X293" s="138">
        <f t="shared" si="41"/>
        <v>1</v>
      </c>
      <c r="Y293" s="138">
        <f t="shared" si="42"/>
        <v>0</v>
      </c>
      <c r="Z293" s="138">
        <f t="shared" si="43"/>
        <v>3</v>
      </c>
      <c r="AA293" s="138">
        <f t="shared" si="44"/>
        <v>1</v>
      </c>
      <c r="AB293" s="127" t="s">
        <v>32</v>
      </c>
      <c r="AC293" s="127"/>
      <c r="AD293" s="127"/>
      <c r="AE293" s="130"/>
      <c r="AF293" s="136">
        <v>0</v>
      </c>
      <c r="AG293" s="136">
        <v>11.33</v>
      </c>
      <c r="AH293" s="136">
        <v>63.36</v>
      </c>
      <c r="AI293" s="136">
        <v>5.99</v>
      </c>
      <c r="AJ293" s="136">
        <v>4.7</v>
      </c>
      <c r="AK293" s="136">
        <v>0.49</v>
      </c>
      <c r="AL293" s="136">
        <v>3.31</v>
      </c>
      <c r="AM293" s="136">
        <v>89.179999999999993</v>
      </c>
      <c r="AN293" s="131"/>
      <c r="AO293" s="131"/>
      <c r="AP293" s="131"/>
      <c r="AQ293" s="131"/>
      <c r="AR293" s="131"/>
      <c r="AS293" s="131"/>
      <c r="AT293" s="131"/>
      <c r="AU293" s="91"/>
      <c r="AV293" s="91"/>
      <c r="AW293" s="131"/>
      <c r="AX293" s="131"/>
      <c r="AY293" s="131"/>
    </row>
    <row r="294" spans="1:51" ht="15" x14ac:dyDescent="0.25">
      <c r="A294" s="123"/>
      <c r="B294" s="124"/>
      <c r="C294" s="125">
        <v>204195</v>
      </c>
      <c r="D294" s="89"/>
      <c r="E294" s="86" t="s">
        <v>11</v>
      </c>
      <c r="F294" s="86" t="s">
        <v>418</v>
      </c>
      <c r="H294" s="126" t="s">
        <v>51</v>
      </c>
      <c r="I294" s="89">
        <v>1</v>
      </c>
      <c r="J294" s="127">
        <v>25096.689900000001</v>
      </c>
      <c r="K294" s="127">
        <v>108181.04999999999</v>
      </c>
      <c r="L294" s="127">
        <v>8091.71</v>
      </c>
      <c r="M294" s="127">
        <v>0</v>
      </c>
      <c r="N294" s="127">
        <v>98836.049999999988</v>
      </c>
      <c r="O294" s="127">
        <v>7326.71</v>
      </c>
      <c r="P294" s="128">
        <f t="shared" si="36"/>
        <v>0</v>
      </c>
      <c r="Q294" s="128">
        <f t="shared" si="37"/>
        <v>0.91361703366717184</v>
      </c>
      <c r="R294" s="128">
        <f t="shared" si="38"/>
        <v>0.90545879671911134</v>
      </c>
      <c r="S294" s="129">
        <v>0</v>
      </c>
      <c r="T294" s="129">
        <v>1</v>
      </c>
      <c r="U294" s="129">
        <v>1</v>
      </c>
      <c r="V294" s="138">
        <f t="shared" si="39"/>
        <v>3</v>
      </c>
      <c r="W294" s="138">
        <f t="shared" si="40"/>
        <v>3</v>
      </c>
      <c r="X294" s="138">
        <f t="shared" si="41"/>
        <v>1</v>
      </c>
      <c r="Y294" s="138">
        <f t="shared" si="42"/>
        <v>0</v>
      </c>
      <c r="Z294" s="138">
        <f t="shared" si="43"/>
        <v>3</v>
      </c>
      <c r="AA294" s="138">
        <f t="shared" si="44"/>
        <v>1</v>
      </c>
      <c r="AB294" s="127" t="s">
        <v>32</v>
      </c>
      <c r="AC294" s="127"/>
      <c r="AD294" s="127"/>
      <c r="AE294" s="130"/>
      <c r="AF294" s="136">
        <v>0</v>
      </c>
      <c r="AG294" s="136">
        <v>11.33</v>
      </c>
      <c r="AH294" s="136">
        <v>63.36</v>
      </c>
      <c r="AI294" s="136">
        <v>5.99</v>
      </c>
      <c r="AJ294" s="136">
        <v>4.7</v>
      </c>
      <c r="AK294" s="136">
        <v>0.49</v>
      </c>
      <c r="AL294" s="136">
        <v>3.31</v>
      </c>
      <c r="AM294" s="136">
        <v>89.179999999999993</v>
      </c>
      <c r="AN294" s="131"/>
      <c r="AO294" s="131"/>
      <c r="AP294" s="131"/>
      <c r="AQ294" s="131"/>
      <c r="AR294" s="131"/>
      <c r="AS294" s="131"/>
      <c r="AT294" s="131"/>
      <c r="AU294" s="91"/>
      <c r="AV294" s="91"/>
      <c r="AW294" s="131"/>
      <c r="AX294" s="131"/>
      <c r="AY294" s="131"/>
    </row>
    <row r="295" spans="1:51" ht="15" x14ac:dyDescent="0.25">
      <c r="A295" s="123"/>
      <c r="B295" s="124"/>
      <c r="C295" s="125">
        <v>253908.00000000003</v>
      </c>
      <c r="D295" s="89"/>
      <c r="E295" s="86" t="s">
        <v>11</v>
      </c>
      <c r="F295" s="86" t="s">
        <v>418</v>
      </c>
      <c r="H295" s="126" t="s">
        <v>51</v>
      </c>
      <c r="I295" s="89">
        <v>1</v>
      </c>
      <c r="J295" s="127">
        <v>25096.689900000001</v>
      </c>
      <c r="K295" s="127">
        <v>108181.04999999999</v>
      </c>
      <c r="L295" s="127">
        <v>8091.71</v>
      </c>
      <c r="M295" s="127">
        <v>0</v>
      </c>
      <c r="N295" s="127">
        <v>98836.049999999988</v>
      </c>
      <c r="O295" s="127">
        <v>7326.71</v>
      </c>
      <c r="P295" s="128">
        <f t="shared" si="36"/>
        <v>0</v>
      </c>
      <c r="Q295" s="128">
        <f t="shared" si="37"/>
        <v>0.91361703366717184</v>
      </c>
      <c r="R295" s="128">
        <f t="shared" si="38"/>
        <v>0.90545879671911134</v>
      </c>
      <c r="S295" s="129">
        <v>0</v>
      </c>
      <c r="T295" s="129">
        <v>1</v>
      </c>
      <c r="U295" s="129">
        <v>1</v>
      </c>
      <c r="V295" s="138">
        <f t="shared" si="39"/>
        <v>3</v>
      </c>
      <c r="W295" s="138">
        <f t="shared" si="40"/>
        <v>3</v>
      </c>
      <c r="X295" s="138">
        <f t="shared" si="41"/>
        <v>1</v>
      </c>
      <c r="Y295" s="138">
        <f t="shared" si="42"/>
        <v>0</v>
      </c>
      <c r="Z295" s="138">
        <f t="shared" si="43"/>
        <v>3</v>
      </c>
      <c r="AA295" s="138">
        <f t="shared" si="44"/>
        <v>1</v>
      </c>
      <c r="AB295" s="127" t="s">
        <v>32</v>
      </c>
      <c r="AC295" s="127"/>
      <c r="AD295" s="127"/>
      <c r="AE295" s="130"/>
      <c r="AF295" s="136">
        <v>0</v>
      </c>
      <c r="AG295" s="136">
        <v>11.33</v>
      </c>
      <c r="AH295" s="136">
        <v>63.36</v>
      </c>
      <c r="AI295" s="136">
        <v>5.99</v>
      </c>
      <c r="AJ295" s="136">
        <v>4.7</v>
      </c>
      <c r="AK295" s="136">
        <v>0.49</v>
      </c>
      <c r="AL295" s="136">
        <v>3.31</v>
      </c>
      <c r="AM295" s="136">
        <v>89.179999999999993</v>
      </c>
      <c r="AN295" s="131"/>
      <c r="AO295" s="131"/>
      <c r="AP295" s="131"/>
      <c r="AQ295" s="131"/>
      <c r="AR295" s="131"/>
      <c r="AS295" s="131"/>
      <c r="AT295" s="131"/>
      <c r="AU295" s="91"/>
      <c r="AV295" s="91"/>
      <c r="AW295" s="131"/>
      <c r="AX295" s="131"/>
      <c r="AY295" s="131"/>
    </row>
    <row r="296" spans="1:51" ht="15" x14ac:dyDescent="0.25">
      <c r="A296" s="123"/>
      <c r="B296" s="124"/>
      <c r="C296" s="125">
        <v>317563</v>
      </c>
      <c r="D296" s="89"/>
      <c r="E296" s="86" t="s">
        <v>11</v>
      </c>
      <c r="F296" s="86" t="s">
        <v>418</v>
      </c>
      <c r="H296" s="126" t="s">
        <v>51</v>
      </c>
      <c r="I296" s="89">
        <v>1</v>
      </c>
      <c r="J296" s="127">
        <v>25096.689900000001</v>
      </c>
      <c r="K296" s="127">
        <v>108181.04999999999</v>
      </c>
      <c r="L296" s="127">
        <v>8091.71</v>
      </c>
      <c r="M296" s="127">
        <v>0</v>
      </c>
      <c r="N296" s="127">
        <v>98836.049999999988</v>
      </c>
      <c r="O296" s="127">
        <v>7326.71</v>
      </c>
      <c r="P296" s="128">
        <f t="shared" si="36"/>
        <v>0</v>
      </c>
      <c r="Q296" s="128">
        <f t="shared" si="37"/>
        <v>0.91361703366717184</v>
      </c>
      <c r="R296" s="128">
        <f t="shared" si="38"/>
        <v>0.90545879671911134</v>
      </c>
      <c r="S296" s="129">
        <v>0</v>
      </c>
      <c r="T296" s="129">
        <v>1</v>
      </c>
      <c r="U296" s="129">
        <v>1</v>
      </c>
      <c r="V296" s="138">
        <f t="shared" si="39"/>
        <v>3</v>
      </c>
      <c r="W296" s="138">
        <f t="shared" si="40"/>
        <v>3</v>
      </c>
      <c r="X296" s="138">
        <f t="shared" si="41"/>
        <v>1</v>
      </c>
      <c r="Y296" s="138">
        <f t="shared" si="42"/>
        <v>0</v>
      </c>
      <c r="Z296" s="138">
        <f t="shared" si="43"/>
        <v>3</v>
      </c>
      <c r="AA296" s="138">
        <f t="shared" si="44"/>
        <v>1</v>
      </c>
      <c r="AB296" s="127" t="s">
        <v>32</v>
      </c>
      <c r="AC296" s="127"/>
      <c r="AD296" s="127"/>
      <c r="AE296" s="130"/>
      <c r="AF296" s="136">
        <v>0</v>
      </c>
      <c r="AG296" s="136">
        <v>11.33</v>
      </c>
      <c r="AH296" s="136">
        <v>63.36</v>
      </c>
      <c r="AI296" s="136">
        <v>5.99</v>
      </c>
      <c r="AJ296" s="136">
        <v>4.7</v>
      </c>
      <c r="AK296" s="136">
        <v>0.49</v>
      </c>
      <c r="AL296" s="136">
        <v>3.31</v>
      </c>
      <c r="AM296" s="136">
        <v>89.179999999999993</v>
      </c>
      <c r="AN296" s="131"/>
      <c r="AO296" s="131"/>
      <c r="AP296" s="131"/>
      <c r="AQ296" s="131"/>
      <c r="AR296" s="131"/>
      <c r="AS296" s="131"/>
      <c r="AT296" s="131"/>
      <c r="AU296" s="91"/>
      <c r="AV296" s="91"/>
      <c r="AW296" s="131"/>
      <c r="AX296" s="131"/>
      <c r="AY296" s="131"/>
    </row>
    <row r="297" spans="1:51" ht="15" x14ac:dyDescent="0.25">
      <c r="A297" s="123"/>
      <c r="B297" s="124"/>
      <c r="C297" s="125">
        <v>354479</v>
      </c>
      <c r="D297" s="89"/>
      <c r="E297" s="86" t="s">
        <v>11</v>
      </c>
      <c r="F297" s="86" t="s">
        <v>418</v>
      </c>
      <c r="H297" s="126" t="s">
        <v>51</v>
      </c>
      <c r="I297" s="89">
        <v>1</v>
      </c>
      <c r="J297" s="127">
        <v>25096.689900000001</v>
      </c>
      <c r="K297" s="127">
        <v>108181.04999999999</v>
      </c>
      <c r="L297" s="127">
        <v>8091.71</v>
      </c>
      <c r="M297" s="127">
        <v>0</v>
      </c>
      <c r="N297" s="127">
        <v>98836.049999999988</v>
      </c>
      <c r="O297" s="127">
        <v>7326.71</v>
      </c>
      <c r="P297" s="128">
        <f t="shared" si="36"/>
        <v>0</v>
      </c>
      <c r="Q297" s="128">
        <f t="shared" si="37"/>
        <v>0.91361703366717184</v>
      </c>
      <c r="R297" s="128">
        <f t="shared" si="38"/>
        <v>0.90545879671911134</v>
      </c>
      <c r="S297" s="129">
        <v>0</v>
      </c>
      <c r="T297" s="129">
        <v>1</v>
      </c>
      <c r="U297" s="129">
        <v>1</v>
      </c>
      <c r="V297" s="138">
        <f t="shared" si="39"/>
        <v>3</v>
      </c>
      <c r="W297" s="138">
        <f t="shared" si="40"/>
        <v>3</v>
      </c>
      <c r="X297" s="138">
        <f t="shared" si="41"/>
        <v>1</v>
      </c>
      <c r="Y297" s="138">
        <f t="shared" si="42"/>
        <v>0</v>
      </c>
      <c r="Z297" s="138">
        <f t="shared" si="43"/>
        <v>3</v>
      </c>
      <c r="AA297" s="138">
        <f t="shared" si="44"/>
        <v>1</v>
      </c>
      <c r="AB297" s="127" t="s">
        <v>32</v>
      </c>
      <c r="AC297" s="127"/>
      <c r="AD297" s="127"/>
      <c r="AE297" s="130"/>
      <c r="AF297" s="136">
        <v>0</v>
      </c>
      <c r="AG297" s="136">
        <v>11.33</v>
      </c>
      <c r="AH297" s="136">
        <v>63.36</v>
      </c>
      <c r="AI297" s="136">
        <v>5.99</v>
      </c>
      <c r="AJ297" s="136">
        <v>4.7</v>
      </c>
      <c r="AK297" s="136">
        <v>0.49</v>
      </c>
      <c r="AL297" s="136">
        <v>3.31</v>
      </c>
      <c r="AM297" s="136">
        <v>89.179999999999993</v>
      </c>
      <c r="AN297" s="131"/>
      <c r="AO297" s="131"/>
      <c r="AP297" s="131"/>
      <c r="AQ297" s="131"/>
      <c r="AR297" s="131"/>
      <c r="AS297" s="131"/>
      <c r="AT297" s="131"/>
      <c r="AU297" s="91"/>
      <c r="AV297" s="91"/>
      <c r="AW297" s="131"/>
      <c r="AX297" s="131"/>
      <c r="AY297" s="131"/>
    </row>
    <row r="298" spans="1:51" ht="15" x14ac:dyDescent="0.25">
      <c r="A298" s="123"/>
      <c r="B298" s="124"/>
      <c r="C298" s="125">
        <v>373822</v>
      </c>
      <c r="D298" s="89"/>
      <c r="E298" s="86" t="s">
        <v>11</v>
      </c>
      <c r="F298" s="86" t="s">
        <v>418</v>
      </c>
      <c r="H298" s="126" t="s">
        <v>51</v>
      </c>
      <c r="I298" s="89">
        <v>1</v>
      </c>
      <c r="J298" s="127">
        <v>25096.689900000001</v>
      </c>
      <c r="K298" s="127">
        <v>108181.04999999999</v>
      </c>
      <c r="L298" s="127">
        <v>8091.71</v>
      </c>
      <c r="M298" s="127">
        <v>0</v>
      </c>
      <c r="N298" s="127">
        <v>98836.049999999988</v>
      </c>
      <c r="O298" s="127">
        <v>7326.71</v>
      </c>
      <c r="P298" s="128">
        <f t="shared" si="36"/>
        <v>0</v>
      </c>
      <c r="Q298" s="128">
        <f t="shared" si="37"/>
        <v>0.91361703366717184</v>
      </c>
      <c r="R298" s="128">
        <f t="shared" si="38"/>
        <v>0.90545879671911134</v>
      </c>
      <c r="S298" s="129">
        <v>0</v>
      </c>
      <c r="T298" s="129">
        <v>1</v>
      </c>
      <c r="U298" s="129">
        <v>1</v>
      </c>
      <c r="V298" s="138">
        <f t="shared" si="39"/>
        <v>3</v>
      </c>
      <c r="W298" s="138">
        <f t="shared" si="40"/>
        <v>3</v>
      </c>
      <c r="X298" s="138">
        <f t="shared" si="41"/>
        <v>1</v>
      </c>
      <c r="Y298" s="138">
        <f t="shared" si="42"/>
        <v>0</v>
      </c>
      <c r="Z298" s="138">
        <f t="shared" si="43"/>
        <v>3</v>
      </c>
      <c r="AA298" s="138">
        <f t="shared" si="44"/>
        <v>1</v>
      </c>
      <c r="AB298" s="127" t="s">
        <v>32</v>
      </c>
      <c r="AC298" s="127"/>
      <c r="AD298" s="127"/>
      <c r="AE298" s="130"/>
      <c r="AF298" s="136">
        <v>0</v>
      </c>
      <c r="AG298" s="136">
        <v>11.33</v>
      </c>
      <c r="AH298" s="136">
        <v>63.36</v>
      </c>
      <c r="AI298" s="136">
        <v>5.99</v>
      </c>
      <c r="AJ298" s="136">
        <v>4.7</v>
      </c>
      <c r="AK298" s="136">
        <v>0.49</v>
      </c>
      <c r="AL298" s="136">
        <v>3.31</v>
      </c>
      <c r="AM298" s="136">
        <v>89.179999999999993</v>
      </c>
      <c r="AN298" s="131"/>
      <c r="AO298" s="131"/>
      <c r="AP298" s="131"/>
      <c r="AQ298" s="131"/>
      <c r="AR298" s="131"/>
      <c r="AS298" s="131"/>
      <c r="AT298" s="131"/>
      <c r="AU298" s="91"/>
      <c r="AV298" s="91"/>
      <c r="AW298" s="131"/>
      <c r="AX298" s="131"/>
      <c r="AY298" s="131"/>
    </row>
    <row r="299" spans="1:51" ht="15" x14ac:dyDescent="0.25">
      <c r="A299" s="123"/>
      <c r="B299" s="124"/>
      <c r="C299" s="125">
        <v>429471</v>
      </c>
      <c r="D299" s="89"/>
      <c r="E299" s="86" t="s">
        <v>11</v>
      </c>
      <c r="F299" s="86" t="s">
        <v>418</v>
      </c>
      <c r="H299" s="126" t="s">
        <v>51</v>
      </c>
      <c r="I299" s="89">
        <v>1</v>
      </c>
      <c r="J299" s="127">
        <v>25096.689900000001</v>
      </c>
      <c r="K299" s="127">
        <v>108181.04999999999</v>
      </c>
      <c r="L299" s="127">
        <v>8091.71</v>
      </c>
      <c r="M299" s="127">
        <v>0</v>
      </c>
      <c r="N299" s="127">
        <v>98836.049999999988</v>
      </c>
      <c r="O299" s="127">
        <v>7326.71</v>
      </c>
      <c r="P299" s="128">
        <f t="shared" si="36"/>
        <v>0</v>
      </c>
      <c r="Q299" s="128">
        <f t="shared" si="37"/>
        <v>0.91361703366717184</v>
      </c>
      <c r="R299" s="128">
        <f t="shared" si="38"/>
        <v>0.90545879671911134</v>
      </c>
      <c r="S299" s="129">
        <v>0</v>
      </c>
      <c r="T299" s="129">
        <v>1</v>
      </c>
      <c r="U299" s="129">
        <v>1</v>
      </c>
      <c r="V299" s="138">
        <f t="shared" si="39"/>
        <v>3</v>
      </c>
      <c r="W299" s="138">
        <f t="shared" si="40"/>
        <v>3</v>
      </c>
      <c r="X299" s="138">
        <f t="shared" si="41"/>
        <v>1</v>
      </c>
      <c r="Y299" s="138">
        <f t="shared" si="42"/>
        <v>0</v>
      </c>
      <c r="Z299" s="138">
        <f t="shared" si="43"/>
        <v>3</v>
      </c>
      <c r="AA299" s="138">
        <f t="shared" si="44"/>
        <v>1</v>
      </c>
      <c r="AB299" s="127" t="s">
        <v>32</v>
      </c>
      <c r="AC299" s="127"/>
      <c r="AD299" s="127"/>
      <c r="AE299" s="130"/>
      <c r="AF299" s="136">
        <v>0</v>
      </c>
      <c r="AG299" s="136">
        <v>11.33</v>
      </c>
      <c r="AH299" s="136">
        <v>63.36</v>
      </c>
      <c r="AI299" s="136">
        <v>5.99</v>
      </c>
      <c r="AJ299" s="136">
        <v>4.7</v>
      </c>
      <c r="AK299" s="136">
        <v>0.49</v>
      </c>
      <c r="AL299" s="136">
        <v>3.31</v>
      </c>
      <c r="AM299" s="136">
        <v>89.179999999999993</v>
      </c>
      <c r="AN299" s="131"/>
      <c r="AO299" s="131"/>
      <c r="AP299" s="131"/>
      <c r="AQ299" s="131"/>
      <c r="AR299" s="131"/>
      <c r="AS299" s="131"/>
      <c r="AT299" s="131"/>
      <c r="AU299" s="91"/>
      <c r="AV299" s="91"/>
      <c r="AW299" s="131"/>
      <c r="AX299" s="131"/>
      <c r="AY299" s="131"/>
    </row>
    <row r="300" spans="1:51" ht="15" x14ac:dyDescent="0.25">
      <c r="A300" s="123"/>
      <c r="B300" s="124"/>
      <c r="C300" s="125">
        <v>470045</v>
      </c>
      <c r="D300" s="89"/>
      <c r="E300" s="86" t="s">
        <v>11</v>
      </c>
      <c r="F300" s="86" t="s">
        <v>418</v>
      </c>
      <c r="H300" s="126" t="s">
        <v>51</v>
      </c>
      <c r="I300" s="89">
        <v>1</v>
      </c>
      <c r="J300" s="127">
        <v>25096.689900000001</v>
      </c>
      <c r="K300" s="127">
        <v>108181.04999999999</v>
      </c>
      <c r="L300" s="127">
        <v>8091.71</v>
      </c>
      <c r="M300" s="127">
        <v>0</v>
      </c>
      <c r="N300" s="127">
        <v>98836.049999999988</v>
      </c>
      <c r="O300" s="127">
        <v>7326.71</v>
      </c>
      <c r="P300" s="128">
        <f t="shared" si="36"/>
        <v>0</v>
      </c>
      <c r="Q300" s="128">
        <f t="shared" si="37"/>
        <v>0.91361703366717184</v>
      </c>
      <c r="R300" s="128">
        <f t="shared" si="38"/>
        <v>0.90545879671911134</v>
      </c>
      <c r="S300" s="129">
        <v>0</v>
      </c>
      <c r="T300" s="129">
        <v>1</v>
      </c>
      <c r="U300" s="129">
        <v>1</v>
      </c>
      <c r="V300" s="138">
        <f t="shared" si="39"/>
        <v>3</v>
      </c>
      <c r="W300" s="138">
        <f t="shared" si="40"/>
        <v>3</v>
      </c>
      <c r="X300" s="138">
        <f t="shared" si="41"/>
        <v>1</v>
      </c>
      <c r="Y300" s="138">
        <f t="shared" si="42"/>
        <v>0</v>
      </c>
      <c r="Z300" s="138">
        <f t="shared" si="43"/>
        <v>3</v>
      </c>
      <c r="AA300" s="138">
        <f t="shared" si="44"/>
        <v>1</v>
      </c>
      <c r="AB300" s="127" t="s">
        <v>32</v>
      </c>
      <c r="AC300" s="127"/>
      <c r="AD300" s="127"/>
      <c r="AE300" s="130"/>
      <c r="AF300" s="136">
        <v>0</v>
      </c>
      <c r="AG300" s="136">
        <v>11.33</v>
      </c>
      <c r="AH300" s="136">
        <v>63.36</v>
      </c>
      <c r="AI300" s="136">
        <v>5.99</v>
      </c>
      <c r="AJ300" s="136">
        <v>4.7</v>
      </c>
      <c r="AK300" s="136">
        <v>0.49</v>
      </c>
      <c r="AL300" s="136">
        <v>3.31</v>
      </c>
      <c r="AM300" s="136">
        <v>89.179999999999993</v>
      </c>
      <c r="AN300" s="131"/>
      <c r="AO300" s="131"/>
      <c r="AP300" s="131"/>
      <c r="AQ300" s="131"/>
      <c r="AR300" s="131"/>
      <c r="AS300" s="131"/>
      <c r="AT300" s="131"/>
      <c r="AU300" s="91"/>
      <c r="AV300" s="91"/>
      <c r="AW300" s="131"/>
      <c r="AX300" s="131"/>
      <c r="AY300" s="131"/>
    </row>
    <row r="301" spans="1:51" ht="15" x14ac:dyDescent="0.25">
      <c r="A301" s="123"/>
      <c r="B301" s="124"/>
      <c r="C301" s="125">
        <v>476541</v>
      </c>
      <c r="D301" s="89"/>
      <c r="E301" s="86" t="s">
        <v>11</v>
      </c>
      <c r="F301" s="86" t="s">
        <v>418</v>
      </c>
      <c r="H301" s="126" t="s">
        <v>51</v>
      </c>
      <c r="I301" s="89">
        <v>1</v>
      </c>
      <c r="J301" s="127">
        <v>25096.689900000001</v>
      </c>
      <c r="K301" s="127">
        <v>108181.04999999999</v>
      </c>
      <c r="L301" s="127">
        <v>8091.71</v>
      </c>
      <c r="M301" s="127">
        <v>0</v>
      </c>
      <c r="N301" s="127">
        <v>98836.049999999988</v>
      </c>
      <c r="O301" s="127">
        <v>7326.71</v>
      </c>
      <c r="P301" s="128">
        <f t="shared" si="36"/>
        <v>0</v>
      </c>
      <c r="Q301" s="128">
        <f t="shared" si="37"/>
        <v>0.91361703366717184</v>
      </c>
      <c r="R301" s="128">
        <f t="shared" si="38"/>
        <v>0.90545879671911134</v>
      </c>
      <c r="S301" s="129">
        <v>0</v>
      </c>
      <c r="T301" s="129">
        <v>1</v>
      </c>
      <c r="U301" s="129">
        <v>1</v>
      </c>
      <c r="V301" s="138">
        <f t="shared" si="39"/>
        <v>3</v>
      </c>
      <c r="W301" s="138">
        <f t="shared" si="40"/>
        <v>3</v>
      </c>
      <c r="X301" s="138">
        <f t="shared" si="41"/>
        <v>1</v>
      </c>
      <c r="Y301" s="138">
        <f t="shared" si="42"/>
        <v>0</v>
      </c>
      <c r="Z301" s="138">
        <f t="shared" si="43"/>
        <v>3</v>
      </c>
      <c r="AA301" s="138">
        <f t="shared" si="44"/>
        <v>1</v>
      </c>
      <c r="AB301" s="127" t="s">
        <v>32</v>
      </c>
      <c r="AC301" s="127"/>
      <c r="AD301" s="127"/>
      <c r="AE301" s="130"/>
      <c r="AF301" s="136">
        <v>0</v>
      </c>
      <c r="AG301" s="136">
        <v>11.33</v>
      </c>
      <c r="AH301" s="136">
        <v>63.36</v>
      </c>
      <c r="AI301" s="136">
        <v>5.99</v>
      </c>
      <c r="AJ301" s="136">
        <v>4.7</v>
      </c>
      <c r="AK301" s="136">
        <v>0.49</v>
      </c>
      <c r="AL301" s="136">
        <v>3.31</v>
      </c>
      <c r="AM301" s="136">
        <v>89.179999999999993</v>
      </c>
      <c r="AN301" s="131"/>
      <c r="AO301" s="131"/>
      <c r="AP301" s="131"/>
      <c r="AQ301" s="131"/>
      <c r="AR301" s="131"/>
      <c r="AS301" s="131"/>
      <c r="AT301" s="131"/>
      <c r="AU301" s="91"/>
      <c r="AV301" s="91"/>
      <c r="AW301" s="131"/>
      <c r="AX301" s="131"/>
      <c r="AY301" s="131"/>
    </row>
    <row r="302" spans="1:51" ht="15" x14ac:dyDescent="0.25">
      <c r="A302" s="123"/>
      <c r="B302" s="124"/>
      <c r="C302" s="125">
        <v>586286</v>
      </c>
      <c r="D302" s="89"/>
      <c r="E302" s="86" t="s">
        <v>11</v>
      </c>
      <c r="F302" s="86" t="s">
        <v>418</v>
      </c>
      <c r="H302" s="126" t="s">
        <v>51</v>
      </c>
      <c r="I302" s="89">
        <v>1</v>
      </c>
      <c r="J302" s="127">
        <v>25096.689900000001</v>
      </c>
      <c r="K302" s="127">
        <v>108181.04999999999</v>
      </c>
      <c r="L302" s="127">
        <v>8091.71</v>
      </c>
      <c r="M302" s="127">
        <v>0</v>
      </c>
      <c r="N302" s="127">
        <v>98836.049999999988</v>
      </c>
      <c r="O302" s="127">
        <v>7326.71</v>
      </c>
      <c r="P302" s="128">
        <f t="shared" si="36"/>
        <v>0</v>
      </c>
      <c r="Q302" s="128">
        <f t="shared" si="37"/>
        <v>0.91361703366717184</v>
      </c>
      <c r="R302" s="128">
        <f t="shared" si="38"/>
        <v>0.90545879671911134</v>
      </c>
      <c r="S302" s="129">
        <v>0</v>
      </c>
      <c r="T302" s="129">
        <v>1</v>
      </c>
      <c r="U302" s="129">
        <v>1</v>
      </c>
      <c r="V302" s="138">
        <f t="shared" si="39"/>
        <v>3</v>
      </c>
      <c r="W302" s="138">
        <f t="shared" si="40"/>
        <v>3</v>
      </c>
      <c r="X302" s="138">
        <f t="shared" si="41"/>
        <v>1</v>
      </c>
      <c r="Y302" s="138">
        <f t="shared" si="42"/>
        <v>0</v>
      </c>
      <c r="Z302" s="138">
        <f t="shared" si="43"/>
        <v>3</v>
      </c>
      <c r="AA302" s="138">
        <f t="shared" si="44"/>
        <v>1</v>
      </c>
      <c r="AB302" s="127" t="s">
        <v>32</v>
      </c>
      <c r="AC302" s="127"/>
      <c r="AD302" s="127"/>
      <c r="AE302" s="130"/>
      <c r="AF302" s="136">
        <v>0</v>
      </c>
      <c r="AG302" s="136">
        <v>11.33</v>
      </c>
      <c r="AH302" s="136">
        <v>63.36</v>
      </c>
      <c r="AI302" s="136">
        <v>5.99</v>
      </c>
      <c r="AJ302" s="136">
        <v>4.7</v>
      </c>
      <c r="AK302" s="136">
        <v>0.49</v>
      </c>
      <c r="AL302" s="136">
        <v>3.31</v>
      </c>
      <c r="AM302" s="136">
        <v>89.179999999999993</v>
      </c>
      <c r="AN302" s="131"/>
      <c r="AO302" s="131"/>
      <c r="AP302" s="131"/>
      <c r="AQ302" s="131"/>
      <c r="AR302" s="131"/>
      <c r="AS302" s="131"/>
      <c r="AT302" s="131"/>
      <c r="AU302" s="91"/>
      <c r="AV302" s="91"/>
      <c r="AW302" s="131"/>
      <c r="AX302" s="131"/>
      <c r="AY302" s="131"/>
    </row>
    <row r="303" spans="1:51" ht="15" x14ac:dyDescent="0.25">
      <c r="A303" s="123"/>
      <c r="B303" s="124"/>
      <c r="C303" s="125">
        <v>641862</v>
      </c>
      <c r="D303" s="89"/>
      <c r="E303" s="86" t="s">
        <v>11</v>
      </c>
      <c r="F303" s="86" t="s">
        <v>418</v>
      </c>
      <c r="H303" s="126" t="s">
        <v>51</v>
      </c>
      <c r="I303" s="89">
        <v>1</v>
      </c>
      <c r="J303" s="127">
        <v>25096.689900000001</v>
      </c>
      <c r="K303" s="127">
        <v>108181.04999999999</v>
      </c>
      <c r="L303" s="127">
        <v>8091.71</v>
      </c>
      <c r="M303" s="127">
        <v>0</v>
      </c>
      <c r="N303" s="127">
        <v>98836.049999999988</v>
      </c>
      <c r="O303" s="127">
        <v>7326.71</v>
      </c>
      <c r="P303" s="128">
        <f t="shared" si="36"/>
        <v>0</v>
      </c>
      <c r="Q303" s="128">
        <f t="shared" si="37"/>
        <v>0.91361703366717184</v>
      </c>
      <c r="R303" s="128">
        <f t="shared" si="38"/>
        <v>0.90545879671911134</v>
      </c>
      <c r="S303" s="129">
        <v>0</v>
      </c>
      <c r="T303" s="129">
        <v>1</v>
      </c>
      <c r="U303" s="129">
        <v>1</v>
      </c>
      <c r="V303" s="138">
        <f t="shared" si="39"/>
        <v>3</v>
      </c>
      <c r="W303" s="138">
        <f t="shared" si="40"/>
        <v>3</v>
      </c>
      <c r="X303" s="138">
        <f t="shared" si="41"/>
        <v>1</v>
      </c>
      <c r="Y303" s="138">
        <f t="shared" si="42"/>
        <v>0</v>
      </c>
      <c r="Z303" s="138">
        <f t="shared" si="43"/>
        <v>3</v>
      </c>
      <c r="AA303" s="138">
        <f t="shared" si="44"/>
        <v>1</v>
      </c>
      <c r="AB303" s="127" t="s">
        <v>32</v>
      </c>
      <c r="AC303" s="127"/>
      <c r="AD303" s="127"/>
      <c r="AE303" s="130"/>
      <c r="AF303" s="136">
        <v>0</v>
      </c>
      <c r="AG303" s="136">
        <v>11.33</v>
      </c>
      <c r="AH303" s="136">
        <v>63.36</v>
      </c>
      <c r="AI303" s="136">
        <v>5.99</v>
      </c>
      <c r="AJ303" s="136">
        <v>4.7</v>
      </c>
      <c r="AK303" s="136">
        <v>0.49</v>
      </c>
      <c r="AL303" s="136">
        <v>3.31</v>
      </c>
      <c r="AM303" s="136">
        <v>89.179999999999993</v>
      </c>
      <c r="AN303" s="131"/>
      <c r="AO303" s="131"/>
      <c r="AP303" s="131"/>
      <c r="AQ303" s="131"/>
      <c r="AR303" s="131"/>
      <c r="AS303" s="131"/>
      <c r="AT303" s="131"/>
      <c r="AU303" s="91"/>
      <c r="AV303" s="91"/>
      <c r="AW303" s="131"/>
      <c r="AX303" s="131"/>
      <c r="AY303" s="131"/>
    </row>
    <row r="304" spans="1:51" ht="15" x14ac:dyDescent="0.25">
      <c r="A304" s="123"/>
      <c r="B304" s="124"/>
      <c r="C304" s="125">
        <v>643009</v>
      </c>
      <c r="D304" s="89"/>
      <c r="E304" s="86" t="s">
        <v>11</v>
      </c>
      <c r="F304" s="86" t="s">
        <v>418</v>
      </c>
      <c r="H304" s="126" t="s">
        <v>51</v>
      </c>
      <c r="I304" s="89">
        <v>1</v>
      </c>
      <c r="J304" s="127">
        <v>25096.689900000001</v>
      </c>
      <c r="K304" s="127">
        <v>108181.04999999999</v>
      </c>
      <c r="L304" s="127">
        <v>8091.71</v>
      </c>
      <c r="M304" s="127">
        <v>0</v>
      </c>
      <c r="N304" s="127">
        <v>98836.049999999988</v>
      </c>
      <c r="O304" s="127">
        <v>7326.71</v>
      </c>
      <c r="P304" s="128">
        <f t="shared" si="36"/>
        <v>0</v>
      </c>
      <c r="Q304" s="128">
        <f t="shared" si="37"/>
        <v>0.91361703366717184</v>
      </c>
      <c r="R304" s="128">
        <f t="shared" si="38"/>
        <v>0.90545879671911134</v>
      </c>
      <c r="S304" s="129">
        <v>0</v>
      </c>
      <c r="T304" s="129">
        <v>1</v>
      </c>
      <c r="U304" s="129">
        <v>1</v>
      </c>
      <c r="V304" s="138">
        <f t="shared" si="39"/>
        <v>3</v>
      </c>
      <c r="W304" s="138">
        <f t="shared" si="40"/>
        <v>3</v>
      </c>
      <c r="X304" s="138">
        <f t="shared" si="41"/>
        <v>1</v>
      </c>
      <c r="Y304" s="138">
        <f t="shared" si="42"/>
        <v>0</v>
      </c>
      <c r="Z304" s="138">
        <f t="shared" si="43"/>
        <v>3</v>
      </c>
      <c r="AA304" s="138">
        <f t="shared" si="44"/>
        <v>1</v>
      </c>
      <c r="AB304" s="127" t="s">
        <v>32</v>
      </c>
      <c r="AC304" s="127"/>
      <c r="AD304" s="127"/>
      <c r="AE304" s="130"/>
      <c r="AF304" s="136">
        <v>0</v>
      </c>
      <c r="AG304" s="136">
        <v>11.33</v>
      </c>
      <c r="AH304" s="136">
        <v>63.36</v>
      </c>
      <c r="AI304" s="136">
        <v>5.99</v>
      </c>
      <c r="AJ304" s="136">
        <v>4.7</v>
      </c>
      <c r="AK304" s="136">
        <v>0.49</v>
      </c>
      <c r="AL304" s="136">
        <v>3.31</v>
      </c>
      <c r="AM304" s="136">
        <v>89.179999999999993</v>
      </c>
      <c r="AN304" s="131"/>
      <c r="AO304" s="131"/>
      <c r="AP304" s="131"/>
      <c r="AQ304" s="131"/>
      <c r="AR304" s="131"/>
      <c r="AS304" s="131"/>
      <c r="AT304" s="131"/>
      <c r="AU304" s="91"/>
      <c r="AV304" s="91"/>
      <c r="AW304" s="131"/>
      <c r="AX304" s="131"/>
      <c r="AY304" s="131"/>
    </row>
    <row r="305" spans="1:51" ht="15" x14ac:dyDescent="0.25">
      <c r="A305" s="123"/>
      <c r="B305" s="124"/>
      <c r="C305" s="125">
        <v>677011</v>
      </c>
      <c r="D305" s="89"/>
      <c r="E305" s="86" t="s">
        <v>11</v>
      </c>
      <c r="F305" s="86" t="s">
        <v>418</v>
      </c>
      <c r="H305" s="126" t="s">
        <v>51</v>
      </c>
      <c r="I305" s="89">
        <v>1</v>
      </c>
      <c r="J305" s="127">
        <v>25096.689900000001</v>
      </c>
      <c r="K305" s="127">
        <v>108181.04999999999</v>
      </c>
      <c r="L305" s="127">
        <v>8091.71</v>
      </c>
      <c r="M305" s="127">
        <v>0</v>
      </c>
      <c r="N305" s="127">
        <v>98836.049999999988</v>
      </c>
      <c r="O305" s="127">
        <v>7326.71</v>
      </c>
      <c r="P305" s="128">
        <f t="shared" si="36"/>
        <v>0</v>
      </c>
      <c r="Q305" s="128">
        <f t="shared" si="37"/>
        <v>0.91361703366717184</v>
      </c>
      <c r="R305" s="128">
        <f t="shared" si="38"/>
        <v>0.90545879671911134</v>
      </c>
      <c r="S305" s="129">
        <v>0</v>
      </c>
      <c r="T305" s="129">
        <v>1</v>
      </c>
      <c r="U305" s="129">
        <v>1</v>
      </c>
      <c r="V305" s="138">
        <f t="shared" si="39"/>
        <v>3</v>
      </c>
      <c r="W305" s="138">
        <f t="shared" si="40"/>
        <v>3</v>
      </c>
      <c r="X305" s="138">
        <f t="shared" si="41"/>
        <v>1</v>
      </c>
      <c r="Y305" s="138">
        <f t="shared" si="42"/>
        <v>0</v>
      </c>
      <c r="Z305" s="138">
        <f t="shared" si="43"/>
        <v>3</v>
      </c>
      <c r="AA305" s="138">
        <f t="shared" si="44"/>
        <v>1</v>
      </c>
      <c r="AB305" s="127" t="s">
        <v>32</v>
      </c>
      <c r="AC305" s="127"/>
      <c r="AD305" s="127"/>
      <c r="AE305" s="130"/>
      <c r="AF305" s="136">
        <v>0</v>
      </c>
      <c r="AG305" s="136">
        <v>11.33</v>
      </c>
      <c r="AH305" s="136">
        <v>63.36</v>
      </c>
      <c r="AI305" s="136">
        <v>5.99</v>
      </c>
      <c r="AJ305" s="136">
        <v>4.7</v>
      </c>
      <c r="AK305" s="136">
        <v>0.49</v>
      </c>
      <c r="AL305" s="136">
        <v>3.31</v>
      </c>
      <c r="AM305" s="136">
        <v>89.179999999999993</v>
      </c>
      <c r="AN305" s="131"/>
      <c r="AO305" s="131"/>
      <c r="AP305" s="131"/>
      <c r="AQ305" s="131"/>
      <c r="AR305" s="131"/>
      <c r="AS305" s="131"/>
      <c r="AT305" s="131"/>
      <c r="AU305" s="91"/>
      <c r="AV305" s="91"/>
      <c r="AW305" s="131"/>
      <c r="AX305" s="131"/>
      <c r="AY305" s="131"/>
    </row>
    <row r="306" spans="1:51" ht="15" x14ac:dyDescent="0.25">
      <c r="A306" s="123"/>
      <c r="B306" s="124"/>
      <c r="C306" s="125">
        <v>730045</v>
      </c>
      <c r="D306" s="89"/>
      <c r="E306" s="86" t="s">
        <v>11</v>
      </c>
      <c r="F306" s="86" t="s">
        <v>418</v>
      </c>
      <c r="H306" s="126" t="s">
        <v>51</v>
      </c>
      <c r="I306" s="89">
        <v>1</v>
      </c>
      <c r="J306" s="127">
        <v>25096.689900000001</v>
      </c>
      <c r="K306" s="127">
        <v>108181.04999999999</v>
      </c>
      <c r="L306" s="127">
        <v>8091.71</v>
      </c>
      <c r="M306" s="127">
        <v>0</v>
      </c>
      <c r="N306" s="127">
        <v>98836.049999999988</v>
      </c>
      <c r="O306" s="127">
        <v>7326.71</v>
      </c>
      <c r="P306" s="128">
        <f t="shared" si="36"/>
        <v>0</v>
      </c>
      <c r="Q306" s="128">
        <f t="shared" si="37"/>
        <v>0.91361703366717184</v>
      </c>
      <c r="R306" s="128">
        <f t="shared" si="38"/>
        <v>0.90545879671911134</v>
      </c>
      <c r="S306" s="129">
        <v>0</v>
      </c>
      <c r="T306" s="129">
        <v>1</v>
      </c>
      <c r="U306" s="129">
        <v>1</v>
      </c>
      <c r="V306" s="138">
        <f t="shared" si="39"/>
        <v>3</v>
      </c>
      <c r="W306" s="138">
        <f t="shared" si="40"/>
        <v>3</v>
      </c>
      <c r="X306" s="138">
        <f t="shared" si="41"/>
        <v>1</v>
      </c>
      <c r="Y306" s="138">
        <f t="shared" si="42"/>
        <v>0</v>
      </c>
      <c r="Z306" s="138">
        <f t="shared" si="43"/>
        <v>3</v>
      </c>
      <c r="AA306" s="138">
        <f t="shared" si="44"/>
        <v>1</v>
      </c>
      <c r="AB306" s="127" t="s">
        <v>32</v>
      </c>
      <c r="AC306" s="127"/>
      <c r="AD306" s="127"/>
      <c r="AE306" s="130"/>
      <c r="AF306" s="136">
        <v>0</v>
      </c>
      <c r="AG306" s="136">
        <v>11.33</v>
      </c>
      <c r="AH306" s="136">
        <v>63.36</v>
      </c>
      <c r="AI306" s="136">
        <v>5.99</v>
      </c>
      <c r="AJ306" s="136">
        <v>4.7</v>
      </c>
      <c r="AK306" s="136">
        <v>0.49</v>
      </c>
      <c r="AL306" s="136">
        <v>3.31</v>
      </c>
      <c r="AM306" s="136">
        <v>89.179999999999993</v>
      </c>
      <c r="AN306" s="131"/>
      <c r="AO306" s="131"/>
      <c r="AP306" s="131"/>
      <c r="AQ306" s="131"/>
      <c r="AR306" s="131"/>
      <c r="AS306" s="131"/>
      <c r="AT306" s="131"/>
      <c r="AU306" s="91"/>
      <c r="AV306" s="91"/>
      <c r="AW306" s="131"/>
      <c r="AX306" s="131"/>
      <c r="AY306" s="131"/>
    </row>
    <row r="307" spans="1:51" ht="15" x14ac:dyDescent="0.25">
      <c r="A307" s="123"/>
      <c r="B307" s="124"/>
      <c r="C307" s="125">
        <v>766330</v>
      </c>
      <c r="D307" s="89"/>
      <c r="E307" s="86" t="s">
        <v>11</v>
      </c>
      <c r="F307" s="86" t="s">
        <v>418</v>
      </c>
      <c r="H307" s="126" t="s">
        <v>51</v>
      </c>
      <c r="I307" s="89">
        <v>1</v>
      </c>
      <c r="J307" s="127">
        <v>25096.689900000001</v>
      </c>
      <c r="K307" s="127">
        <v>108181.04999999999</v>
      </c>
      <c r="L307" s="127">
        <v>8091.71</v>
      </c>
      <c r="M307" s="127">
        <v>0</v>
      </c>
      <c r="N307" s="127">
        <v>98836.049999999988</v>
      </c>
      <c r="O307" s="127">
        <v>7326.71</v>
      </c>
      <c r="P307" s="128">
        <f t="shared" si="36"/>
        <v>0</v>
      </c>
      <c r="Q307" s="128">
        <f t="shared" si="37"/>
        <v>0.91361703366717184</v>
      </c>
      <c r="R307" s="128">
        <f t="shared" si="38"/>
        <v>0.90545879671911134</v>
      </c>
      <c r="S307" s="129">
        <v>0</v>
      </c>
      <c r="T307" s="129">
        <v>1</v>
      </c>
      <c r="U307" s="129">
        <v>1</v>
      </c>
      <c r="V307" s="138">
        <f t="shared" si="39"/>
        <v>3</v>
      </c>
      <c r="W307" s="138">
        <f t="shared" si="40"/>
        <v>3</v>
      </c>
      <c r="X307" s="138">
        <f t="shared" si="41"/>
        <v>1</v>
      </c>
      <c r="Y307" s="138">
        <f t="shared" si="42"/>
        <v>0</v>
      </c>
      <c r="Z307" s="138">
        <f t="shared" si="43"/>
        <v>3</v>
      </c>
      <c r="AA307" s="138">
        <f t="shared" si="44"/>
        <v>1</v>
      </c>
      <c r="AB307" s="127" t="s">
        <v>32</v>
      </c>
      <c r="AC307" s="127"/>
      <c r="AD307" s="127"/>
      <c r="AE307" s="130"/>
      <c r="AF307" s="136">
        <v>0</v>
      </c>
      <c r="AG307" s="136">
        <v>11.33</v>
      </c>
      <c r="AH307" s="136">
        <v>63.36</v>
      </c>
      <c r="AI307" s="136">
        <v>5.99</v>
      </c>
      <c r="AJ307" s="136">
        <v>4.7</v>
      </c>
      <c r="AK307" s="136">
        <v>0.49</v>
      </c>
      <c r="AL307" s="136">
        <v>3.31</v>
      </c>
      <c r="AM307" s="136">
        <v>89.179999999999993</v>
      </c>
      <c r="AN307" s="131"/>
      <c r="AO307" s="131"/>
      <c r="AP307" s="131"/>
      <c r="AQ307" s="131"/>
      <c r="AR307" s="131"/>
      <c r="AS307" s="131"/>
      <c r="AT307" s="131"/>
      <c r="AU307" s="91"/>
      <c r="AV307" s="91"/>
      <c r="AW307" s="131"/>
      <c r="AX307" s="131"/>
      <c r="AY307" s="131"/>
    </row>
    <row r="308" spans="1:51" ht="15" x14ac:dyDescent="0.25">
      <c r="A308" s="123"/>
      <c r="B308" s="124"/>
      <c r="C308" s="125">
        <v>823700</v>
      </c>
      <c r="D308" s="89"/>
      <c r="E308" s="86" t="s">
        <v>11</v>
      </c>
      <c r="F308" s="86" t="s">
        <v>418</v>
      </c>
      <c r="H308" s="126" t="s">
        <v>51</v>
      </c>
      <c r="I308" s="89">
        <v>1</v>
      </c>
      <c r="J308" s="127">
        <v>25096.689900000001</v>
      </c>
      <c r="K308" s="127">
        <v>108181.04999999999</v>
      </c>
      <c r="L308" s="127">
        <v>8091.71</v>
      </c>
      <c r="M308" s="127">
        <v>0</v>
      </c>
      <c r="N308" s="127">
        <v>98836.049999999988</v>
      </c>
      <c r="O308" s="127">
        <v>7326.71</v>
      </c>
      <c r="P308" s="128">
        <f t="shared" si="36"/>
        <v>0</v>
      </c>
      <c r="Q308" s="128">
        <f t="shared" si="37"/>
        <v>0.91361703366717184</v>
      </c>
      <c r="R308" s="128">
        <f t="shared" si="38"/>
        <v>0.90545879671911134</v>
      </c>
      <c r="S308" s="129">
        <v>0</v>
      </c>
      <c r="T308" s="129">
        <v>1</v>
      </c>
      <c r="U308" s="129">
        <v>1</v>
      </c>
      <c r="V308" s="138">
        <f t="shared" si="39"/>
        <v>3</v>
      </c>
      <c r="W308" s="138">
        <f t="shared" si="40"/>
        <v>3</v>
      </c>
      <c r="X308" s="138">
        <f t="shared" si="41"/>
        <v>1</v>
      </c>
      <c r="Y308" s="138">
        <f t="shared" si="42"/>
        <v>0</v>
      </c>
      <c r="Z308" s="138">
        <f t="shared" si="43"/>
        <v>3</v>
      </c>
      <c r="AA308" s="138">
        <f t="shared" si="44"/>
        <v>1</v>
      </c>
      <c r="AB308" s="127" t="s">
        <v>32</v>
      </c>
      <c r="AC308" s="127"/>
      <c r="AD308" s="127"/>
      <c r="AE308" s="130"/>
      <c r="AF308" s="136">
        <v>0</v>
      </c>
      <c r="AG308" s="136">
        <v>11.33</v>
      </c>
      <c r="AH308" s="136">
        <v>63.36</v>
      </c>
      <c r="AI308" s="136">
        <v>5.99</v>
      </c>
      <c r="AJ308" s="136">
        <v>4.7</v>
      </c>
      <c r="AK308" s="136">
        <v>0.49</v>
      </c>
      <c r="AL308" s="136">
        <v>3.31</v>
      </c>
      <c r="AM308" s="136">
        <v>89.179999999999993</v>
      </c>
      <c r="AN308" s="131"/>
      <c r="AO308" s="131"/>
      <c r="AP308" s="131"/>
      <c r="AQ308" s="131"/>
      <c r="AR308" s="131"/>
      <c r="AS308" s="131"/>
      <c r="AT308" s="131"/>
      <c r="AU308" s="91"/>
      <c r="AV308" s="91"/>
      <c r="AW308" s="131"/>
      <c r="AX308" s="131"/>
      <c r="AY308" s="131"/>
    </row>
    <row r="309" spans="1:51" ht="15" x14ac:dyDescent="0.25">
      <c r="A309" s="123"/>
      <c r="B309" s="124"/>
      <c r="C309" s="125">
        <v>825238</v>
      </c>
      <c r="D309" s="89"/>
      <c r="E309" s="86" t="s">
        <v>11</v>
      </c>
      <c r="F309" s="86" t="s">
        <v>418</v>
      </c>
      <c r="H309" s="126" t="s">
        <v>51</v>
      </c>
      <c r="I309" s="89">
        <v>1</v>
      </c>
      <c r="J309" s="127">
        <v>25096.689900000001</v>
      </c>
      <c r="K309" s="127">
        <v>108181.04999999999</v>
      </c>
      <c r="L309" s="127">
        <v>8091.71</v>
      </c>
      <c r="M309" s="127">
        <v>0</v>
      </c>
      <c r="N309" s="127">
        <v>98836.049999999988</v>
      </c>
      <c r="O309" s="127">
        <v>7326.71</v>
      </c>
      <c r="P309" s="128">
        <f t="shared" si="36"/>
        <v>0</v>
      </c>
      <c r="Q309" s="128">
        <f t="shared" si="37"/>
        <v>0.91361703366717184</v>
      </c>
      <c r="R309" s="128">
        <f t="shared" si="38"/>
        <v>0.90545879671911134</v>
      </c>
      <c r="S309" s="129">
        <v>0</v>
      </c>
      <c r="T309" s="129">
        <v>1</v>
      </c>
      <c r="U309" s="129">
        <v>1</v>
      </c>
      <c r="V309" s="138">
        <f t="shared" si="39"/>
        <v>3</v>
      </c>
      <c r="W309" s="138">
        <f t="shared" si="40"/>
        <v>3</v>
      </c>
      <c r="X309" s="138">
        <f t="shared" si="41"/>
        <v>1</v>
      </c>
      <c r="Y309" s="138">
        <f t="shared" si="42"/>
        <v>0</v>
      </c>
      <c r="Z309" s="138">
        <f t="shared" si="43"/>
        <v>3</v>
      </c>
      <c r="AA309" s="138">
        <f t="shared" si="44"/>
        <v>1</v>
      </c>
      <c r="AB309" s="127" t="s">
        <v>32</v>
      </c>
      <c r="AC309" s="127"/>
      <c r="AD309" s="127"/>
      <c r="AE309" s="130"/>
      <c r="AF309" s="136">
        <v>0</v>
      </c>
      <c r="AG309" s="136">
        <v>11.33</v>
      </c>
      <c r="AH309" s="136">
        <v>63.36</v>
      </c>
      <c r="AI309" s="136">
        <v>5.99</v>
      </c>
      <c r="AJ309" s="136">
        <v>4.7</v>
      </c>
      <c r="AK309" s="136">
        <v>0.49</v>
      </c>
      <c r="AL309" s="136">
        <v>3.31</v>
      </c>
      <c r="AM309" s="136">
        <v>89.179999999999993</v>
      </c>
      <c r="AN309" s="131"/>
      <c r="AO309" s="131"/>
      <c r="AP309" s="131"/>
      <c r="AQ309" s="131"/>
      <c r="AR309" s="131"/>
      <c r="AS309" s="131"/>
      <c r="AT309" s="131"/>
      <c r="AU309" s="91"/>
      <c r="AV309" s="91"/>
      <c r="AW309" s="131"/>
      <c r="AX309" s="131"/>
      <c r="AY309" s="131"/>
    </row>
    <row r="310" spans="1:51" ht="15" x14ac:dyDescent="0.25">
      <c r="A310" s="123"/>
      <c r="B310" s="124"/>
      <c r="C310" s="125">
        <v>844299</v>
      </c>
      <c r="D310" s="89"/>
      <c r="E310" s="86" t="s">
        <v>11</v>
      </c>
      <c r="F310" s="86" t="s">
        <v>418</v>
      </c>
      <c r="H310" s="126" t="s">
        <v>51</v>
      </c>
      <c r="I310" s="89">
        <v>1</v>
      </c>
      <c r="J310" s="127">
        <v>25096.689900000001</v>
      </c>
      <c r="K310" s="127">
        <v>108181.04999999999</v>
      </c>
      <c r="L310" s="127">
        <v>8091.71</v>
      </c>
      <c r="M310" s="127">
        <v>0</v>
      </c>
      <c r="N310" s="127">
        <v>98836.049999999988</v>
      </c>
      <c r="O310" s="127">
        <v>7326.71</v>
      </c>
      <c r="P310" s="128">
        <f t="shared" si="36"/>
        <v>0</v>
      </c>
      <c r="Q310" s="128">
        <f t="shared" si="37"/>
        <v>0.91361703366717184</v>
      </c>
      <c r="R310" s="128">
        <f t="shared" si="38"/>
        <v>0.90545879671911134</v>
      </c>
      <c r="S310" s="129">
        <v>0</v>
      </c>
      <c r="T310" s="129">
        <v>1</v>
      </c>
      <c r="U310" s="129">
        <v>1</v>
      </c>
      <c r="V310" s="138">
        <f t="shared" si="39"/>
        <v>3</v>
      </c>
      <c r="W310" s="138">
        <f t="shared" si="40"/>
        <v>3</v>
      </c>
      <c r="X310" s="138">
        <f t="shared" si="41"/>
        <v>1</v>
      </c>
      <c r="Y310" s="138">
        <f t="shared" si="42"/>
        <v>0</v>
      </c>
      <c r="Z310" s="138">
        <f t="shared" si="43"/>
        <v>3</v>
      </c>
      <c r="AA310" s="138">
        <f t="shared" si="44"/>
        <v>1</v>
      </c>
      <c r="AB310" s="127" t="s">
        <v>32</v>
      </c>
      <c r="AC310" s="127"/>
      <c r="AD310" s="127"/>
      <c r="AE310" s="130"/>
      <c r="AF310" s="136">
        <v>0</v>
      </c>
      <c r="AG310" s="136">
        <v>11.33</v>
      </c>
      <c r="AH310" s="136">
        <v>63.36</v>
      </c>
      <c r="AI310" s="136">
        <v>5.99</v>
      </c>
      <c r="AJ310" s="136">
        <v>4.7</v>
      </c>
      <c r="AK310" s="136">
        <v>0.49</v>
      </c>
      <c r="AL310" s="136">
        <v>3.31</v>
      </c>
      <c r="AM310" s="136">
        <v>89.179999999999993</v>
      </c>
      <c r="AN310" s="131"/>
      <c r="AO310" s="131"/>
      <c r="AP310" s="131"/>
      <c r="AQ310" s="131"/>
      <c r="AR310" s="131"/>
      <c r="AS310" s="131"/>
      <c r="AT310" s="131"/>
      <c r="AU310" s="91"/>
      <c r="AV310" s="91"/>
      <c r="AW310" s="131"/>
      <c r="AX310" s="131"/>
      <c r="AY310" s="131"/>
    </row>
    <row r="311" spans="1:51" ht="15" x14ac:dyDescent="0.25">
      <c r="A311" s="123"/>
      <c r="B311" s="124"/>
      <c r="C311" s="125">
        <v>850744</v>
      </c>
      <c r="D311" s="89"/>
      <c r="E311" s="86" t="s">
        <v>11</v>
      </c>
      <c r="F311" s="86" t="s">
        <v>418</v>
      </c>
      <c r="H311" s="126" t="s">
        <v>51</v>
      </c>
      <c r="I311" s="89">
        <v>1</v>
      </c>
      <c r="J311" s="127">
        <v>25096.689900000001</v>
      </c>
      <c r="K311" s="127">
        <v>108181.04999999999</v>
      </c>
      <c r="L311" s="127">
        <v>8091.71</v>
      </c>
      <c r="M311" s="127">
        <v>0</v>
      </c>
      <c r="N311" s="127">
        <v>98836.049999999988</v>
      </c>
      <c r="O311" s="127">
        <v>7326.71</v>
      </c>
      <c r="P311" s="128">
        <f t="shared" si="36"/>
        <v>0</v>
      </c>
      <c r="Q311" s="128">
        <f t="shared" si="37"/>
        <v>0.91361703366717184</v>
      </c>
      <c r="R311" s="128">
        <f t="shared" si="38"/>
        <v>0.90545879671911134</v>
      </c>
      <c r="S311" s="129">
        <v>0</v>
      </c>
      <c r="T311" s="129">
        <v>1</v>
      </c>
      <c r="U311" s="129">
        <v>1</v>
      </c>
      <c r="V311" s="138">
        <f t="shared" si="39"/>
        <v>3</v>
      </c>
      <c r="W311" s="138">
        <f t="shared" si="40"/>
        <v>3</v>
      </c>
      <c r="X311" s="138">
        <f t="shared" si="41"/>
        <v>1</v>
      </c>
      <c r="Y311" s="138">
        <f t="shared" si="42"/>
        <v>0</v>
      </c>
      <c r="Z311" s="138">
        <f t="shared" si="43"/>
        <v>3</v>
      </c>
      <c r="AA311" s="138">
        <f t="shared" si="44"/>
        <v>1</v>
      </c>
      <c r="AB311" s="127" t="s">
        <v>32</v>
      </c>
      <c r="AC311" s="127"/>
      <c r="AD311" s="127"/>
      <c r="AE311" s="130"/>
      <c r="AF311" s="136">
        <v>0</v>
      </c>
      <c r="AG311" s="136">
        <v>11.33</v>
      </c>
      <c r="AH311" s="136">
        <v>63.36</v>
      </c>
      <c r="AI311" s="136">
        <v>5.99</v>
      </c>
      <c r="AJ311" s="136">
        <v>4.7</v>
      </c>
      <c r="AK311" s="136">
        <v>0.49</v>
      </c>
      <c r="AL311" s="136">
        <v>3.31</v>
      </c>
      <c r="AM311" s="136">
        <v>89.179999999999993</v>
      </c>
      <c r="AN311" s="131"/>
      <c r="AO311" s="131"/>
      <c r="AP311" s="131"/>
      <c r="AQ311" s="131"/>
      <c r="AR311" s="131"/>
      <c r="AS311" s="131"/>
      <c r="AT311" s="131"/>
      <c r="AU311" s="91"/>
      <c r="AV311" s="91"/>
      <c r="AW311" s="131"/>
      <c r="AX311" s="131"/>
      <c r="AY311" s="131"/>
    </row>
    <row r="312" spans="1:51" ht="15" x14ac:dyDescent="0.25">
      <c r="A312" s="123"/>
      <c r="B312" s="124"/>
      <c r="C312" s="125">
        <v>863959</v>
      </c>
      <c r="D312" s="89"/>
      <c r="E312" s="86" t="s">
        <v>11</v>
      </c>
      <c r="F312" s="86" t="s">
        <v>418</v>
      </c>
      <c r="H312" s="126" t="s">
        <v>51</v>
      </c>
      <c r="I312" s="89">
        <v>1</v>
      </c>
      <c r="J312" s="127">
        <v>25096.689900000001</v>
      </c>
      <c r="K312" s="127">
        <v>108181.04999999999</v>
      </c>
      <c r="L312" s="127">
        <v>8091.71</v>
      </c>
      <c r="M312" s="127">
        <v>0</v>
      </c>
      <c r="N312" s="127">
        <v>98836.049999999988</v>
      </c>
      <c r="O312" s="127">
        <v>7326.71</v>
      </c>
      <c r="P312" s="128">
        <f t="shared" si="36"/>
        <v>0</v>
      </c>
      <c r="Q312" s="128">
        <f t="shared" si="37"/>
        <v>0.91361703366717184</v>
      </c>
      <c r="R312" s="128">
        <f t="shared" si="38"/>
        <v>0.90545879671911134</v>
      </c>
      <c r="S312" s="129">
        <v>0</v>
      </c>
      <c r="T312" s="129">
        <v>1</v>
      </c>
      <c r="U312" s="129">
        <v>1</v>
      </c>
      <c r="V312" s="138">
        <f t="shared" si="39"/>
        <v>3</v>
      </c>
      <c r="W312" s="138">
        <f t="shared" si="40"/>
        <v>3</v>
      </c>
      <c r="X312" s="138">
        <f t="shared" si="41"/>
        <v>1</v>
      </c>
      <c r="Y312" s="138">
        <f t="shared" si="42"/>
        <v>0</v>
      </c>
      <c r="Z312" s="138">
        <f t="shared" si="43"/>
        <v>3</v>
      </c>
      <c r="AA312" s="138">
        <f t="shared" si="44"/>
        <v>1</v>
      </c>
      <c r="AB312" s="127" t="s">
        <v>32</v>
      </c>
      <c r="AC312" s="127"/>
      <c r="AD312" s="127"/>
      <c r="AE312" s="130"/>
      <c r="AF312" s="136">
        <v>0</v>
      </c>
      <c r="AG312" s="136">
        <v>11.33</v>
      </c>
      <c r="AH312" s="136">
        <v>63.36</v>
      </c>
      <c r="AI312" s="136">
        <v>5.99</v>
      </c>
      <c r="AJ312" s="136">
        <v>4.7</v>
      </c>
      <c r="AK312" s="136">
        <v>0.49</v>
      </c>
      <c r="AL312" s="136">
        <v>3.31</v>
      </c>
      <c r="AM312" s="136">
        <v>89.179999999999993</v>
      </c>
      <c r="AN312" s="131"/>
      <c r="AO312" s="131"/>
      <c r="AP312" s="131"/>
      <c r="AQ312" s="131"/>
      <c r="AR312" s="131"/>
      <c r="AS312" s="131"/>
      <c r="AT312" s="131"/>
      <c r="AU312" s="91"/>
      <c r="AV312" s="91"/>
      <c r="AW312" s="131"/>
      <c r="AX312" s="131"/>
      <c r="AY312" s="131"/>
    </row>
    <row r="313" spans="1:51" ht="15" x14ac:dyDescent="0.25">
      <c r="A313" s="123"/>
      <c r="B313" s="124"/>
      <c r="C313" s="125">
        <v>867849</v>
      </c>
      <c r="D313" s="89"/>
      <c r="E313" s="86" t="s">
        <v>11</v>
      </c>
      <c r="F313" s="86" t="s">
        <v>418</v>
      </c>
      <c r="H313" s="126" t="s">
        <v>51</v>
      </c>
      <c r="I313" s="89">
        <v>1</v>
      </c>
      <c r="J313" s="127">
        <v>25096.689900000001</v>
      </c>
      <c r="K313" s="127">
        <v>108181.04999999999</v>
      </c>
      <c r="L313" s="127">
        <v>8091.71</v>
      </c>
      <c r="M313" s="127">
        <v>0</v>
      </c>
      <c r="N313" s="127">
        <v>98836.049999999988</v>
      </c>
      <c r="O313" s="127">
        <v>7326.71</v>
      </c>
      <c r="P313" s="128">
        <f t="shared" si="36"/>
        <v>0</v>
      </c>
      <c r="Q313" s="128">
        <f t="shared" si="37"/>
        <v>0.91361703366717184</v>
      </c>
      <c r="R313" s="128">
        <f t="shared" si="38"/>
        <v>0.90545879671911134</v>
      </c>
      <c r="S313" s="129">
        <v>0</v>
      </c>
      <c r="T313" s="129">
        <v>1</v>
      </c>
      <c r="U313" s="129">
        <v>1</v>
      </c>
      <c r="V313" s="138">
        <f t="shared" si="39"/>
        <v>3</v>
      </c>
      <c r="W313" s="138">
        <f t="shared" si="40"/>
        <v>3</v>
      </c>
      <c r="X313" s="138">
        <f t="shared" si="41"/>
        <v>1</v>
      </c>
      <c r="Y313" s="138">
        <f t="shared" si="42"/>
        <v>0</v>
      </c>
      <c r="Z313" s="138">
        <f t="shared" si="43"/>
        <v>3</v>
      </c>
      <c r="AA313" s="138">
        <f t="shared" si="44"/>
        <v>1</v>
      </c>
      <c r="AB313" s="127" t="s">
        <v>32</v>
      </c>
      <c r="AC313" s="127"/>
      <c r="AD313" s="127"/>
      <c r="AE313" s="130"/>
      <c r="AF313" s="136">
        <v>0</v>
      </c>
      <c r="AG313" s="136">
        <v>11.33</v>
      </c>
      <c r="AH313" s="136">
        <v>63.36</v>
      </c>
      <c r="AI313" s="136">
        <v>5.99</v>
      </c>
      <c r="AJ313" s="136">
        <v>4.7</v>
      </c>
      <c r="AK313" s="136">
        <v>0.49</v>
      </c>
      <c r="AL313" s="136">
        <v>3.31</v>
      </c>
      <c r="AM313" s="136">
        <v>89.179999999999993</v>
      </c>
      <c r="AN313" s="131"/>
      <c r="AO313" s="131"/>
      <c r="AP313" s="131"/>
      <c r="AQ313" s="131"/>
      <c r="AR313" s="131"/>
      <c r="AS313" s="131"/>
      <c r="AT313" s="131"/>
      <c r="AU313" s="91"/>
      <c r="AV313" s="91"/>
      <c r="AW313" s="131"/>
      <c r="AX313" s="131"/>
      <c r="AY313" s="131"/>
    </row>
    <row r="314" spans="1:51" ht="15" x14ac:dyDescent="0.25">
      <c r="A314" s="123"/>
      <c r="B314" s="124"/>
      <c r="C314" s="125">
        <v>885683</v>
      </c>
      <c r="D314" s="89"/>
      <c r="E314" s="86" t="s">
        <v>11</v>
      </c>
      <c r="F314" s="86" t="s">
        <v>418</v>
      </c>
      <c r="H314" s="126" t="s">
        <v>51</v>
      </c>
      <c r="I314" s="89">
        <v>1</v>
      </c>
      <c r="J314" s="127">
        <v>25096.689900000001</v>
      </c>
      <c r="K314" s="127">
        <v>108181.04999999999</v>
      </c>
      <c r="L314" s="127">
        <v>8091.71</v>
      </c>
      <c r="M314" s="127">
        <v>0</v>
      </c>
      <c r="N314" s="127">
        <v>98836.049999999988</v>
      </c>
      <c r="O314" s="127">
        <v>7326.71</v>
      </c>
      <c r="P314" s="128">
        <f t="shared" si="36"/>
        <v>0</v>
      </c>
      <c r="Q314" s="128">
        <f t="shared" si="37"/>
        <v>0.91361703366717184</v>
      </c>
      <c r="R314" s="128">
        <f t="shared" si="38"/>
        <v>0.90545879671911134</v>
      </c>
      <c r="S314" s="129">
        <v>0</v>
      </c>
      <c r="T314" s="129">
        <v>1</v>
      </c>
      <c r="U314" s="129">
        <v>1</v>
      </c>
      <c r="V314" s="138">
        <f t="shared" si="39"/>
        <v>3</v>
      </c>
      <c r="W314" s="138">
        <f t="shared" si="40"/>
        <v>3</v>
      </c>
      <c r="X314" s="138">
        <f t="shared" si="41"/>
        <v>1</v>
      </c>
      <c r="Y314" s="138">
        <f t="shared" si="42"/>
        <v>0</v>
      </c>
      <c r="Z314" s="138">
        <f t="shared" si="43"/>
        <v>3</v>
      </c>
      <c r="AA314" s="138">
        <f t="shared" si="44"/>
        <v>1</v>
      </c>
      <c r="AB314" s="127" t="s">
        <v>32</v>
      </c>
      <c r="AC314" s="127"/>
      <c r="AD314" s="127"/>
      <c r="AE314" s="130"/>
      <c r="AF314" s="136">
        <v>0</v>
      </c>
      <c r="AG314" s="136">
        <v>11.33</v>
      </c>
      <c r="AH314" s="136">
        <v>63.36</v>
      </c>
      <c r="AI314" s="136">
        <v>5.99</v>
      </c>
      <c r="AJ314" s="136">
        <v>4.7</v>
      </c>
      <c r="AK314" s="136">
        <v>0.49</v>
      </c>
      <c r="AL314" s="136">
        <v>3.31</v>
      </c>
      <c r="AM314" s="136">
        <v>89.179999999999993</v>
      </c>
      <c r="AN314" s="131"/>
      <c r="AO314" s="131"/>
      <c r="AP314" s="131"/>
      <c r="AQ314" s="131"/>
      <c r="AR314" s="131"/>
      <c r="AS314" s="131"/>
      <c r="AT314" s="131"/>
      <c r="AU314" s="91"/>
      <c r="AV314" s="91"/>
      <c r="AW314" s="131"/>
      <c r="AX314" s="131"/>
      <c r="AY314" s="131"/>
    </row>
    <row r="315" spans="1:51" ht="15" x14ac:dyDescent="0.25">
      <c r="A315" s="123"/>
      <c r="B315" s="124"/>
      <c r="C315" s="125">
        <v>922539</v>
      </c>
      <c r="D315" s="89"/>
      <c r="E315" s="86" t="s">
        <v>11</v>
      </c>
      <c r="F315" s="86" t="s">
        <v>418</v>
      </c>
      <c r="H315" s="126" t="s">
        <v>51</v>
      </c>
      <c r="I315" s="89">
        <v>1</v>
      </c>
      <c r="J315" s="127">
        <v>25096.689900000001</v>
      </c>
      <c r="K315" s="127">
        <v>108181.04999999999</v>
      </c>
      <c r="L315" s="127">
        <v>8091.71</v>
      </c>
      <c r="M315" s="127">
        <v>0</v>
      </c>
      <c r="N315" s="127">
        <v>98836.049999999988</v>
      </c>
      <c r="O315" s="127">
        <v>7326.71</v>
      </c>
      <c r="P315" s="128">
        <f t="shared" si="36"/>
        <v>0</v>
      </c>
      <c r="Q315" s="128">
        <f t="shared" si="37"/>
        <v>0.91361703366717184</v>
      </c>
      <c r="R315" s="128">
        <f t="shared" si="38"/>
        <v>0.90545879671911134</v>
      </c>
      <c r="S315" s="129">
        <v>0</v>
      </c>
      <c r="T315" s="129">
        <v>1</v>
      </c>
      <c r="U315" s="129">
        <v>1</v>
      </c>
      <c r="V315" s="138">
        <f t="shared" si="39"/>
        <v>3</v>
      </c>
      <c r="W315" s="138">
        <f t="shared" si="40"/>
        <v>3</v>
      </c>
      <c r="X315" s="138">
        <f t="shared" si="41"/>
        <v>1</v>
      </c>
      <c r="Y315" s="138">
        <f t="shared" si="42"/>
        <v>0</v>
      </c>
      <c r="Z315" s="138">
        <f t="shared" si="43"/>
        <v>3</v>
      </c>
      <c r="AA315" s="138">
        <f t="shared" si="44"/>
        <v>1</v>
      </c>
      <c r="AB315" s="127" t="s">
        <v>32</v>
      </c>
      <c r="AC315" s="127"/>
      <c r="AD315" s="127"/>
      <c r="AE315" s="130"/>
      <c r="AF315" s="136">
        <v>0</v>
      </c>
      <c r="AG315" s="136">
        <v>11.33</v>
      </c>
      <c r="AH315" s="136">
        <v>63.36</v>
      </c>
      <c r="AI315" s="136">
        <v>5.99</v>
      </c>
      <c r="AJ315" s="136">
        <v>4.7</v>
      </c>
      <c r="AK315" s="136">
        <v>0.49</v>
      </c>
      <c r="AL315" s="136">
        <v>3.31</v>
      </c>
      <c r="AM315" s="136">
        <v>89.179999999999993</v>
      </c>
      <c r="AN315" s="131"/>
      <c r="AO315" s="131"/>
      <c r="AP315" s="131"/>
      <c r="AQ315" s="131"/>
      <c r="AR315" s="131"/>
      <c r="AS315" s="131"/>
      <c r="AT315" s="131"/>
      <c r="AU315" s="91"/>
      <c r="AV315" s="91"/>
      <c r="AW315" s="131"/>
      <c r="AX315" s="131"/>
      <c r="AY315" s="131"/>
    </row>
    <row r="316" spans="1:51" ht="15" x14ac:dyDescent="0.25">
      <c r="A316" s="123"/>
      <c r="B316" s="124"/>
      <c r="C316" s="125">
        <v>974811</v>
      </c>
      <c r="D316" s="89"/>
      <c r="E316" s="86" t="s">
        <v>11</v>
      </c>
      <c r="F316" s="86" t="s">
        <v>418</v>
      </c>
      <c r="H316" s="126" t="s">
        <v>51</v>
      </c>
      <c r="I316" s="89">
        <v>1</v>
      </c>
      <c r="J316" s="127">
        <v>25096.689900000001</v>
      </c>
      <c r="K316" s="127">
        <v>108181.04999999999</v>
      </c>
      <c r="L316" s="127">
        <v>8091.71</v>
      </c>
      <c r="M316" s="127">
        <v>0</v>
      </c>
      <c r="N316" s="127">
        <v>98836.049999999988</v>
      </c>
      <c r="O316" s="127">
        <v>7326.71</v>
      </c>
      <c r="P316" s="128">
        <f t="shared" si="36"/>
        <v>0</v>
      </c>
      <c r="Q316" s="128">
        <f t="shared" si="37"/>
        <v>0.91361703366717184</v>
      </c>
      <c r="R316" s="128">
        <f t="shared" si="38"/>
        <v>0.90545879671911134</v>
      </c>
      <c r="S316" s="129">
        <v>0</v>
      </c>
      <c r="T316" s="129">
        <v>1</v>
      </c>
      <c r="U316" s="129">
        <v>1</v>
      </c>
      <c r="V316" s="138">
        <f t="shared" si="39"/>
        <v>3</v>
      </c>
      <c r="W316" s="138">
        <f t="shared" si="40"/>
        <v>3</v>
      </c>
      <c r="X316" s="138">
        <f t="shared" si="41"/>
        <v>1</v>
      </c>
      <c r="Y316" s="138">
        <f t="shared" si="42"/>
        <v>0</v>
      </c>
      <c r="Z316" s="138">
        <f t="shared" si="43"/>
        <v>3</v>
      </c>
      <c r="AA316" s="138">
        <f t="shared" si="44"/>
        <v>1</v>
      </c>
      <c r="AB316" s="127" t="s">
        <v>32</v>
      </c>
      <c r="AC316" s="127"/>
      <c r="AD316" s="127"/>
      <c r="AE316" s="130"/>
      <c r="AF316" s="136">
        <v>0</v>
      </c>
      <c r="AG316" s="136">
        <v>11.33</v>
      </c>
      <c r="AH316" s="136">
        <v>63.36</v>
      </c>
      <c r="AI316" s="136">
        <v>5.99</v>
      </c>
      <c r="AJ316" s="136">
        <v>4.7</v>
      </c>
      <c r="AK316" s="136">
        <v>0.49</v>
      </c>
      <c r="AL316" s="136">
        <v>3.31</v>
      </c>
      <c r="AM316" s="136">
        <v>89.179999999999993</v>
      </c>
      <c r="AN316" s="131"/>
      <c r="AO316" s="131"/>
      <c r="AP316" s="131"/>
      <c r="AQ316" s="131"/>
      <c r="AR316" s="131"/>
      <c r="AS316" s="131"/>
      <c r="AT316" s="131"/>
      <c r="AU316" s="91"/>
      <c r="AV316" s="91"/>
      <c r="AW316" s="131"/>
      <c r="AX316" s="131"/>
      <c r="AY316" s="131"/>
    </row>
    <row r="317" spans="1:51" ht="15" x14ac:dyDescent="0.25">
      <c r="A317" s="123"/>
      <c r="B317" s="124"/>
      <c r="C317" s="125">
        <v>28020</v>
      </c>
      <c r="D317" s="89"/>
      <c r="E317" s="86" t="s">
        <v>3</v>
      </c>
      <c r="F317" s="86" t="s">
        <v>418</v>
      </c>
      <c r="H317" s="126" t="s">
        <v>51</v>
      </c>
      <c r="I317" s="89">
        <v>1</v>
      </c>
      <c r="J317" s="127">
        <v>40474.2399</v>
      </c>
      <c r="K317" s="127">
        <v>58399.96</v>
      </c>
      <c r="L317" s="127">
        <v>5992.9639999999999</v>
      </c>
      <c r="M317" s="127">
        <v>21037.239900000019</v>
      </c>
      <c r="N317" s="127">
        <v>48120.460000000006</v>
      </c>
      <c r="O317" s="127">
        <v>5151.4639999999999</v>
      </c>
      <c r="P317" s="128">
        <f t="shared" si="36"/>
        <v>0.51976862201679097</v>
      </c>
      <c r="Q317" s="128">
        <f t="shared" si="37"/>
        <v>0.82398104382263293</v>
      </c>
      <c r="R317" s="128">
        <f t="shared" si="38"/>
        <v>0.85958534040918655</v>
      </c>
      <c r="S317" s="129">
        <v>1</v>
      </c>
      <c r="T317" s="129">
        <v>1</v>
      </c>
      <c r="U317" s="129">
        <v>1</v>
      </c>
      <c r="V317" s="138">
        <f t="shared" si="39"/>
        <v>3</v>
      </c>
      <c r="W317" s="138">
        <f t="shared" si="40"/>
        <v>3</v>
      </c>
      <c r="X317" s="138">
        <f t="shared" si="41"/>
        <v>1</v>
      </c>
      <c r="Y317" s="138">
        <f t="shared" si="42"/>
        <v>3</v>
      </c>
      <c r="Z317" s="138">
        <f t="shared" si="43"/>
        <v>3</v>
      </c>
      <c r="AA317" s="138">
        <f t="shared" si="44"/>
        <v>1</v>
      </c>
      <c r="AB317" s="127" t="s">
        <v>32</v>
      </c>
      <c r="AC317" s="127"/>
      <c r="AD317" s="127"/>
      <c r="AE317" s="130"/>
      <c r="AF317" s="136">
        <v>12.26</v>
      </c>
      <c r="AG317" s="136">
        <v>11.33</v>
      </c>
      <c r="AH317" s="136">
        <v>28.04</v>
      </c>
      <c r="AI317" s="136">
        <v>5.99</v>
      </c>
      <c r="AJ317" s="136">
        <v>3</v>
      </c>
      <c r="AK317" s="136">
        <v>0.49</v>
      </c>
      <c r="AL317" s="136">
        <v>3.31</v>
      </c>
      <c r="AM317" s="136">
        <v>64.42</v>
      </c>
      <c r="AN317" s="131"/>
      <c r="AO317" s="131"/>
      <c r="AP317" s="131"/>
      <c r="AQ317" s="131"/>
      <c r="AR317" s="131"/>
      <c r="AS317" s="131"/>
      <c r="AT317" s="131"/>
      <c r="AU317" s="91"/>
      <c r="AV317" s="91"/>
      <c r="AW317" s="131"/>
      <c r="AX317" s="131"/>
      <c r="AY317" s="131"/>
    </row>
    <row r="318" spans="1:51" ht="15" x14ac:dyDescent="0.25">
      <c r="A318" s="123"/>
      <c r="B318" s="124"/>
      <c r="C318" s="125">
        <v>67224</v>
      </c>
      <c r="D318" s="89"/>
      <c r="E318" s="86" t="s">
        <v>3</v>
      </c>
      <c r="F318" s="86" t="s">
        <v>418</v>
      </c>
      <c r="H318" s="126" t="s">
        <v>51</v>
      </c>
      <c r="I318" s="89">
        <v>1</v>
      </c>
      <c r="J318" s="127">
        <v>40474.2399</v>
      </c>
      <c r="K318" s="127">
        <v>58399.96</v>
      </c>
      <c r="L318" s="127">
        <v>5992.9639999999999</v>
      </c>
      <c r="M318" s="127">
        <v>21037.239900000019</v>
      </c>
      <c r="N318" s="127">
        <v>48120.460000000006</v>
      </c>
      <c r="O318" s="127">
        <v>5151.4639999999999</v>
      </c>
      <c r="P318" s="128">
        <f t="shared" si="36"/>
        <v>0.51976862201679097</v>
      </c>
      <c r="Q318" s="128">
        <f t="shared" si="37"/>
        <v>0.82398104382263293</v>
      </c>
      <c r="R318" s="128">
        <f t="shared" si="38"/>
        <v>0.85958534040918655</v>
      </c>
      <c r="S318" s="129">
        <v>1</v>
      </c>
      <c r="T318" s="129">
        <v>1</v>
      </c>
      <c r="U318" s="129">
        <v>1</v>
      </c>
      <c r="V318" s="138">
        <f t="shared" si="39"/>
        <v>3</v>
      </c>
      <c r="W318" s="138">
        <f t="shared" si="40"/>
        <v>3</v>
      </c>
      <c r="X318" s="138">
        <f t="shared" si="41"/>
        <v>1</v>
      </c>
      <c r="Y318" s="138">
        <f t="shared" si="42"/>
        <v>3</v>
      </c>
      <c r="Z318" s="138">
        <f t="shared" si="43"/>
        <v>3</v>
      </c>
      <c r="AA318" s="138">
        <f t="shared" si="44"/>
        <v>1</v>
      </c>
      <c r="AB318" s="127" t="s">
        <v>32</v>
      </c>
      <c r="AC318" s="127"/>
      <c r="AD318" s="127"/>
      <c r="AE318" s="130"/>
      <c r="AF318" s="136">
        <v>12.26</v>
      </c>
      <c r="AG318" s="136">
        <v>11.33</v>
      </c>
      <c r="AH318" s="136">
        <v>28.04</v>
      </c>
      <c r="AI318" s="136">
        <v>5.99</v>
      </c>
      <c r="AJ318" s="136">
        <v>3</v>
      </c>
      <c r="AK318" s="136">
        <v>0.49</v>
      </c>
      <c r="AL318" s="136">
        <v>3.31</v>
      </c>
      <c r="AM318" s="136">
        <v>64.42</v>
      </c>
      <c r="AN318" s="131"/>
      <c r="AO318" s="131"/>
      <c r="AP318" s="131"/>
      <c r="AQ318" s="131"/>
      <c r="AR318" s="131"/>
      <c r="AS318" s="131"/>
      <c r="AT318" s="131"/>
      <c r="AU318" s="91"/>
      <c r="AV318" s="91"/>
      <c r="AW318" s="131"/>
      <c r="AX318" s="131"/>
      <c r="AY318" s="131"/>
    </row>
    <row r="319" spans="1:51" ht="15" x14ac:dyDescent="0.25">
      <c r="A319" s="123"/>
      <c r="B319" s="124"/>
      <c r="C319" s="125">
        <v>92491</v>
      </c>
      <c r="D319" s="89"/>
      <c r="E319" s="86" t="s">
        <v>3</v>
      </c>
      <c r="F319" s="86" t="s">
        <v>418</v>
      </c>
      <c r="H319" s="126" t="s">
        <v>51</v>
      </c>
      <c r="I319" s="89">
        <v>1</v>
      </c>
      <c r="J319" s="127">
        <v>40474.2399</v>
      </c>
      <c r="K319" s="127">
        <v>58399.96</v>
      </c>
      <c r="L319" s="127">
        <v>5992.9639999999999</v>
      </c>
      <c r="M319" s="127">
        <v>21037.239900000019</v>
      </c>
      <c r="N319" s="127">
        <v>48120.460000000006</v>
      </c>
      <c r="O319" s="127">
        <v>5151.4639999999999</v>
      </c>
      <c r="P319" s="128">
        <f t="shared" si="36"/>
        <v>0.51976862201679097</v>
      </c>
      <c r="Q319" s="128">
        <f t="shared" si="37"/>
        <v>0.82398104382263293</v>
      </c>
      <c r="R319" s="128">
        <f t="shared" si="38"/>
        <v>0.85958534040918655</v>
      </c>
      <c r="S319" s="129">
        <v>1</v>
      </c>
      <c r="T319" s="129">
        <v>1</v>
      </c>
      <c r="U319" s="129">
        <v>1</v>
      </c>
      <c r="V319" s="138">
        <f t="shared" si="39"/>
        <v>3</v>
      </c>
      <c r="W319" s="138">
        <f t="shared" si="40"/>
        <v>3</v>
      </c>
      <c r="X319" s="138">
        <f t="shared" si="41"/>
        <v>1</v>
      </c>
      <c r="Y319" s="138">
        <f t="shared" si="42"/>
        <v>3</v>
      </c>
      <c r="Z319" s="138">
        <f t="shared" si="43"/>
        <v>3</v>
      </c>
      <c r="AA319" s="138">
        <f t="shared" si="44"/>
        <v>1</v>
      </c>
      <c r="AB319" s="127" t="s">
        <v>32</v>
      </c>
      <c r="AC319" s="127"/>
      <c r="AD319" s="127"/>
      <c r="AE319" s="130"/>
      <c r="AF319" s="136">
        <v>12.26</v>
      </c>
      <c r="AG319" s="136">
        <v>11.33</v>
      </c>
      <c r="AH319" s="136">
        <v>28.04</v>
      </c>
      <c r="AI319" s="136">
        <v>5.99</v>
      </c>
      <c r="AJ319" s="136">
        <v>3</v>
      </c>
      <c r="AK319" s="136">
        <v>0.49</v>
      </c>
      <c r="AL319" s="136">
        <v>3.31</v>
      </c>
      <c r="AM319" s="136">
        <v>64.42</v>
      </c>
      <c r="AN319" s="131"/>
      <c r="AO319" s="131"/>
      <c r="AP319" s="131"/>
      <c r="AQ319" s="131"/>
      <c r="AR319" s="131"/>
      <c r="AS319" s="131"/>
      <c r="AT319" s="131"/>
      <c r="AU319" s="91"/>
      <c r="AV319" s="91"/>
      <c r="AW319" s="131"/>
      <c r="AX319" s="131"/>
      <c r="AY319" s="131"/>
    </row>
    <row r="320" spans="1:51" ht="15" x14ac:dyDescent="0.25">
      <c r="A320" s="123"/>
      <c r="B320" s="124"/>
      <c r="C320" s="125">
        <v>134864</v>
      </c>
      <c r="D320" s="89"/>
      <c r="E320" s="86" t="s">
        <v>3</v>
      </c>
      <c r="F320" s="86" t="s">
        <v>418</v>
      </c>
      <c r="H320" s="126" t="s">
        <v>51</v>
      </c>
      <c r="I320" s="89">
        <v>1</v>
      </c>
      <c r="J320" s="127">
        <v>40474.2399</v>
      </c>
      <c r="K320" s="127">
        <v>58399.96</v>
      </c>
      <c r="L320" s="127">
        <v>5992.9639999999999</v>
      </c>
      <c r="M320" s="127">
        <v>21037.239900000019</v>
      </c>
      <c r="N320" s="127">
        <v>48120.460000000006</v>
      </c>
      <c r="O320" s="127">
        <v>5151.4639999999999</v>
      </c>
      <c r="P320" s="128">
        <f t="shared" si="36"/>
        <v>0.51976862201679097</v>
      </c>
      <c r="Q320" s="128">
        <f t="shared" si="37"/>
        <v>0.82398104382263293</v>
      </c>
      <c r="R320" s="128">
        <f t="shared" si="38"/>
        <v>0.85958534040918655</v>
      </c>
      <c r="S320" s="129">
        <v>1</v>
      </c>
      <c r="T320" s="129">
        <v>1</v>
      </c>
      <c r="U320" s="129">
        <v>1</v>
      </c>
      <c r="V320" s="138">
        <f t="shared" si="39"/>
        <v>3</v>
      </c>
      <c r="W320" s="138">
        <f t="shared" si="40"/>
        <v>3</v>
      </c>
      <c r="X320" s="138">
        <f t="shared" si="41"/>
        <v>1</v>
      </c>
      <c r="Y320" s="138">
        <f t="shared" si="42"/>
        <v>3</v>
      </c>
      <c r="Z320" s="138">
        <f t="shared" si="43"/>
        <v>3</v>
      </c>
      <c r="AA320" s="138">
        <f t="shared" si="44"/>
        <v>1</v>
      </c>
      <c r="AB320" s="127" t="s">
        <v>32</v>
      </c>
      <c r="AC320" s="127"/>
      <c r="AD320" s="127"/>
      <c r="AE320" s="130"/>
      <c r="AF320" s="136">
        <v>12.26</v>
      </c>
      <c r="AG320" s="136">
        <v>11.33</v>
      </c>
      <c r="AH320" s="136">
        <v>28.04</v>
      </c>
      <c r="AI320" s="136">
        <v>5.99</v>
      </c>
      <c r="AJ320" s="136">
        <v>3</v>
      </c>
      <c r="AK320" s="136">
        <v>0.49</v>
      </c>
      <c r="AL320" s="136">
        <v>3.31</v>
      </c>
      <c r="AM320" s="136">
        <v>64.42</v>
      </c>
      <c r="AN320" s="131"/>
      <c r="AO320" s="131"/>
      <c r="AP320" s="131"/>
      <c r="AQ320" s="131"/>
      <c r="AR320" s="131"/>
      <c r="AS320" s="131"/>
      <c r="AT320" s="131"/>
      <c r="AU320" s="91"/>
      <c r="AV320" s="91"/>
      <c r="AW320" s="131"/>
      <c r="AX320" s="131"/>
      <c r="AY320" s="131"/>
    </row>
    <row r="321" spans="1:51" ht="15" x14ac:dyDescent="0.25">
      <c r="A321" s="123"/>
      <c r="B321" s="124"/>
      <c r="C321" s="125">
        <v>144368</v>
      </c>
      <c r="D321" s="89"/>
      <c r="E321" s="86" t="s">
        <v>3</v>
      </c>
      <c r="F321" s="86" t="s">
        <v>418</v>
      </c>
      <c r="H321" s="126" t="s">
        <v>51</v>
      </c>
      <c r="I321" s="89">
        <v>1</v>
      </c>
      <c r="J321" s="127">
        <v>40474.2399</v>
      </c>
      <c r="K321" s="127">
        <v>58399.96</v>
      </c>
      <c r="L321" s="127">
        <v>5992.9639999999999</v>
      </c>
      <c r="M321" s="127">
        <v>21037.239900000019</v>
      </c>
      <c r="N321" s="127">
        <v>48120.460000000006</v>
      </c>
      <c r="O321" s="127">
        <v>5151.4639999999999</v>
      </c>
      <c r="P321" s="128">
        <f t="shared" si="36"/>
        <v>0.51976862201679097</v>
      </c>
      <c r="Q321" s="128">
        <f t="shared" si="37"/>
        <v>0.82398104382263293</v>
      </c>
      <c r="R321" s="128">
        <f t="shared" si="38"/>
        <v>0.85958534040918655</v>
      </c>
      <c r="S321" s="129">
        <v>1</v>
      </c>
      <c r="T321" s="129">
        <v>1</v>
      </c>
      <c r="U321" s="129">
        <v>1</v>
      </c>
      <c r="V321" s="138">
        <f t="shared" si="39"/>
        <v>3</v>
      </c>
      <c r="W321" s="138">
        <f t="shared" si="40"/>
        <v>3</v>
      </c>
      <c r="X321" s="138">
        <f t="shared" si="41"/>
        <v>1</v>
      </c>
      <c r="Y321" s="138">
        <f t="shared" si="42"/>
        <v>3</v>
      </c>
      <c r="Z321" s="138">
        <f t="shared" si="43"/>
        <v>3</v>
      </c>
      <c r="AA321" s="138">
        <f t="shared" si="44"/>
        <v>1</v>
      </c>
      <c r="AB321" s="127" t="s">
        <v>32</v>
      </c>
      <c r="AC321" s="127"/>
      <c r="AD321" s="127"/>
      <c r="AE321" s="130"/>
      <c r="AF321" s="136">
        <v>12.26</v>
      </c>
      <c r="AG321" s="136">
        <v>11.33</v>
      </c>
      <c r="AH321" s="136">
        <v>28.04</v>
      </c>
      <c r="AI321" s="136">
        <v>5.99</v>
      </c>
      <c r="AJ321" s="136">
        <v>3</v>
      </c>
      <c r="AK321" s="136">
        <v>0.49</v>
      </c>
      <c r="AL321" s="136">
        <v>3.31</v>
      </c>
      <c r="AM321" s="136">
        <v>64.42</v>
      </c>
      <c r="AN321" s="131"/>
      <c r="AO321" s="131"/>
      <c r="AP321" s="131"/>
      <c r="AQ321" s="131"/>
      <c r="AR321" s="131"/>
      <c r="AS321" s="131"/>
      <c r="AT321" s="131"/>
      <c r="AU321" s="91"/>
      <c r="AV321" s="91"/>
      <c r="AW321" s="131"/>
      <c r="AX321" s="131"/>
      <c r="AY321" s="131"/>
    </row>
    <row r="322" spans="1:51" ht="15" x14ac:dyDescent="0.25">
      <c r="A322" s="123"/>
      <c r="B322" s="124"/>
      <c r="C322" s="125">
        <v>148417</v>
      </c>
      <c r="D322" s="89"/>
      <c r="E322" s="86" t="s">
        <v>3</v>
      </c>
      <c r="F322" s="86" t="s">
        <v>418</v>
      </c>
      <c r="H322" s="126" t="s">
        <v>51</v>
      </c>
      <c r="I322" s="89">
        <v>1</v>
      </c>
      <c r="J322" s="127">
        <v>40474.2399</v>
      </c>
      <c r="K322" s="127">
        <v>58399.96</v>
      </c>
      <c r="L322" s="127">
        <v>5992.9639999999999</v>
      </c>
      <c r="M322" s="127">
        <v>21037.239900000019</v>
      </c>
      <c r="N322" s="127">
        <v>48120.460000000006</v>
      </c>
      <c r="O322" s="127">
        <v>5151.4639999999999</v>
      </c>
      <c r="P322" s="128">
        <f t="shared" si="36"/>
        <v>0.51976862201679097</v>
      </c>
      <c r="Q322" s="128">
        <f t="shared" si="37"/>
        <v>0.82398104382263293</v>
      </c>
      <c r="R322" s="128">
        <f t="shared" si="38"/>
        <v>0.85958534040918655</v>
      </c>
      <c r="S322" s="129">
        <v>1</v>
      </c>
      <c r="T322" s="129">
        <v>1</v>
      </c>
      <c r="U322" s="129">
        <v>1</v>
      </c>
      <c r="V322" s="138">
        <f t="shared" si="39"/>
        <v>3</v>
      </c>
      <c r="W322" s="138">
        <f t="shared" si="40"/>
        <v>3</v>
      </c>
      <c r="X322" s="138">
        <f t="shared" si="41"/>
        <v>1</v>
      </c>
      <c r="Y322" s="138">
        <f t="shared" si="42"/>
        <v>3</v>
      </c>
      <c r="Z322" s="138">
        <f t="shared" si="43"/>
        <v>3</v>
      </c>
      <c r="AA322" s="138">
        <f t="shared" si="44"/>
        <v>1</v>
      </c>
      <c r="AB322" s="127" t="s">
        <v>32</v>
      </c>
      <c r="AC322" s="127"/>
      <c r="AD322" s="127"/>
      <c r="AE322" s="130"/>
      <c r="AF322" s="136">
        <v>12.26</v>
      </c>
      <c r="AG322" s="136">
        <v>11.33</v>
      </c>
      <c r="AH322" s="136">
        <v>28.04</v>
      </c>
      <c r="AI322" s="136">
        <v>5.99</v>
      </c>
      <c r="AJ322" s="136">
        <v>3</v>
      </c>
      <c r="AK322" s="136">
        <v>0.49</v>
      </c>
      <c r="AL322" s="136">
        <v>3.31</v>
      </c>
      <c r="AM322" s="136">
        <v>64.42</v>
      </c>
      <c r="AN322" s="131"/>
      <c r="AO322" s="131"/>
      <c r="AP322" s="131"/>
      <c r="AQ322" s="131"/>
      <c r="AR322" s="131"/>
      <c r="AS322" s="131"/>
      <c r="AT322" s="131"/>
      <c r="AU322" s="91"/>
      <c r="AV322" s="91"/>
      <c r="AW322" s="131"/>
      <c r="AX322" s="131"/>
      <c r="AY322" s="131"/>
    </row>
    <row r="323" spans="1:51" ht="15" x14ac:dyDescent="0.25">
      <c r="A323" s="123"/>
      <c r="B323" s="124"/>
      <c r="C323" s="125">
        <v>150792</v>
      </c>
      <c r="D323" s="89"/>
      <c r="E323" s="86" t="s">
        <v>3</v>
      </c>
      <c r="F323" s="86" t="s">
        <v>418</v>
      </c>
      <c r="H323" s="126" t="s">
        <v>51</v>
      </c>
      <c r="I323" s="89">
        <v>1</v>
      </c>
      <c r="J323" s="127">
        <v>40474.2399</v>
      </c>
      <c r="K323" s="127">
        <v>58399.96</v>
      </c>
      <c r="L323" s="127">
        <v>5992.9639999999999</v>
      </c>
      <c r="M323" s="127">
        <v>21037.239900000019</v>
      </c>
      <c r="N323" s="127">
        <v>48120.460000000006</v>
      </c>
      <c r="O323" s="127">
        <v>5151.4639999999999</v>
      </c>
      <c r="P323" s="128">
        <f t="shared" si="36"/>
        <v>0.51976862201679097</v>
      </c>
      <c r="Q323" s="128">
        <f t="shared" si="37"/>
        <v>0.82398104382263293</v>
      </c>
      <c r="R323" s="128">
        <f t="shared" si="38"/>
        <v>0.85958534040918655</v>
      </c>
      <c r="S323" s="129">
        <v>1</v>
      </c>
      <c r="T323" s="129">
        <v>1</v>
      </c>
      <c r="U323" s="129">
        <v>1</v>
      </c>
      <c r="V323" s="138">
        <f t="shared" si="39"/>
        <v>3</v>
      </c>
      <c r="W323" s="138">
        <f t="shared" si="40"/>
        <v>3</v>
      </c>
      <c r="X323" s="138">
        <f t="shared" si="41"/>
        <v>1</v>
      </c>
      <c r="Y323" s="138">
        <f t="shared" si="42"/>
        <v>3</v>
      </c>
      <c r="Z323" s="138">
        <f t="shared" si="43"/>
        <v>3</v>
      </c>
      <c r="AA323" s="138">
        <f t="shared" si="44"/>
        <v>1</v>
      </c>
      <c r="AB323" s="127" t="s">
        <v>32</v>
      </c>
      <c r="AC323" s="127"/>
      <c r="AD323" s="127"/>
      <c r="AE323" s="130"/>
      <c r="AF323" s="136">
        <v>12.26</v>
      </c>
      <c r="AG323" s="136">
        <v>11.33</v>
      </c>
      <c r="AH323" s="136">
        <v>28.04</v>
      </c>
      <c r="AI323" s="136">
        <v>5.99</v>
      </c>
      <c r="AJ323" s="136">
        <v>3</v>
      </c>
      <c r="AK323" s="136">
        <v>0.49</v>
      </c>
      <c r="AL323" s="136">
        <v>3.31</v>
      </c>
      <c r="AM323" s="136">
        <v>64.42</v>
      </c>
      <c r="AN323" s="131"/>
      <c r="AO323" s="131"/>
      <c r="AP323" s="131"/>
      <c r="AQ323" s="131"/>
      <c r="AR323" s="131"/>
      <c r="AS323" s="131"/>
      <c r="AT323" s="131"/>
      <c r="AU323" s="91"/>
      <c r="AV323" s="91"/>
      <c r="AW323" s="131"/>
      <c r="AX323" s="131"/>
      <c r="AY323" s="131"/>
    </row>
    <row r="324" spans="1:51" ht="15" x14ac:dyDescent="0.25">
      <c r="A324" s="123"/>
      <c r="B324" s="124"/>
      <c r="C324" s="125">
        <v>180751</v>
      </c>
      <c r="D324" s="89"/>
      <c r="E324" s="86" t="s">
        <v>3</v>
      </c>
      <c r="F324" s="86" t="s">
        <v>418</v>
      </c>
      <c r="H324" s="126" t="s">
        <v>51</v>
      </c>
      <c r="I324" s="89">
        <v>1</v>
      </c>
      <c r="J324" s="127">
        <v>40474.2399</v>
      </c>
      <c r="K324" s="127">
        <v>58399.96</v>
      </c>
      <c r="L324" s="127">
        <v>5992.9639999999999</v>
      </c>
      <c r="M324" s="127">
        <v>21037.239900000019</v>
      </c>
      <c r="N324" s="127">
        <v>48120.460000000006</v>
      </c>
      <c r="O324" s="127">
        <v>5151.4639999999999</v>
      </c>
      <c r="P324" s="128">
        <f t="shared" si="36"/>
        <v>0.51976862201679097</v>
      </c>
      <c r="Q324" s="128">
        <f t="shared" si="37"/>
        <v>0.82398104382263293</v>
      </c>
      <c r="R324" s="128">
        <f t="shared" si="38"/>
        <v>0.85958534040918655</v>
      </c>
      <c r="S324" s="129">
        <v>1</v>
      </c>
      <c r="T324" s="129">
        <v>1</v>
      </c>
      <c r="U324" s="129">
        <v>1</v>
      </c>
      <c r="V324" s="138">
        <f t="shared" si="39"/>
        <v>3</v>
      </c>
      <c r="W324" s="138">
        <f t="shared" si="40"/>
        <v>3</v>
      </c>
      <c r="X324" s="138">
        <f t="shared" si="41"/>
        <v>1</v>
      </c>
      <c r="Y324" s="138">
        <f t="shared" si="42"/>
        <v>3</v>
      </c>
      <c r="Z324" s="138">
        <f t="shared" si="43"/>
        <v>3</v>
      </c>
      <c r="AA324" s="138">
        <f t="shared" si="44"/>
        <v>1</v>
      </c>
      <c r="AB324" s="127" t="s">
        <v>32</v>
      </c>
      <c r="AC324" s="127"/>
      <c r="AD324" s="127"/>
      <c r="AE324" s="130"/>
      <c r="AF324" s="136">
        <v>12.26</v>
      </c>
      <c r="AG324" s="136">
        <v>11.33</v>
      </c>
      <c r="AH324" s="136">
        <v>28.04</v>
      </c>
      <c r="AI324" s="136">
        <v>5.99</v>
      </c>
      <c r="AJ324" s="136">
        <v>3</v>
      </c>
      <c r="AK324" s="136">
        <v>0.49</v>
      </c>
      <c r="AL324" s="136">
        <v>3.31</v>
      </c>
      <c r="AM324" s="136">
        <v>64.42</v>
      </c>
      <c r="AN324" s="131"/>
      <c r="AO324" s="131"/>
      <c r="AP324" s="131"/>
      <c r="AQ324" s="131"/>
      <c r="AR324" s="131"/>
      <c r="AS324" s="131"/>
      <c r="AT324" s="131"/>
      <c r="AU324" s="91"/>
      <c r="AV324" s="91"/>
      <c r="AW324" s="131"/>
      <c r="AX324" s="131"/>
      <c r="AY324" s="131"/>
    </row>
    <row r="325" spans="1:51" ht="15" x14ac:dyDescent="0.25">
      <c r="A325" s="123"/>
      <c r="B325" s="124"/>
      <c r="C325" s="125">
        <v>189424</v>
      </c>
      <c r="D325" s="89"/>
      <c r="E325" s="86" t="s">
        <v>3</v>
      </c>
      <c r="F325" s="86" t="s">
        <v>418</v>
      </c>
      <c r="H325" s="126" t="s">
        <v>51</v>
      </c>
      <c r="I325" s="89">
        <v>1</v>
      </c>
      <c r="J325" s="127">
        <v>40474.2399</v>
      </c>
      <c r="K325" s="127">
        <v>58399.96</v>
      </c>
      <c r="L325" s="127">
        <v>5992.9639999999999</v>
      </c>
      <c r="M325" s="127">
        <v>21037.239900000019</v>
      </c>
      <c r="N325" s="127">
        <v>48120.460000000006</v>
      </c>
      <c r="O325" s="127">
        <v>5151.4639999999999</v>
      </c>
      <c r="P325" s="128">
        <f t="shared" si="36"/>
        <v>0.51976862201679097</v>
      </c>
      <c r="Q325" s="128">
        <f t="shared" si="37"/>
        <v>0.82398104382263293</v>
      </c>
      <c r="R325" s="128">
        <f t="shared" si="38"/>
        <v>0.85958534040918655</v>
      </c>
      <c r="S325" s="129">
        <v>1</v>
      </c>
      <c r="T325" s="129">
        <v>1</v>
      </c>
      <c r="U325" s="129">
        <v>1</v>
      </c>
      <c r="V325" s="138">
        <f t="shared" si="39"/>
        <v>3</v>
      </c>
      <c r="W325" s="138">
        <f t="shared" si="40"/>
        <v>3</v>
      </c>
      <c r="X325" s="138">
        <f t="shared" si="41"/>
        <v>1</v>
      </c>
      <c r="Y325" s="138">
        <f t="shared" si="42"/>
        <v>3</v>
      </c>
      <c r="Z325" s="138">
        <f t="shared" si="43"/>
        <v>3</v>
      </c>
      <c r="AA325" s="138">
        <f t="shared" si="44"/>
        <v>1</v>
      </c>
      <c r="AB325" s="127" t="s">
        <v>32</v>
      </c>
      <c r="AC325" s="127"/>
      <c r="AD325" s="127"/>
      <c r="AE325" s="130"/>
      <c r="AF325" s="136">
        <v>12.26</v>
      </c>
      <c r="AG325" s="136">
        <v>11.33</v>
      </c>
      <c r="AH325" s="136">
        <v>28.04</v>
      </c>
      <c r="AI325" s="136">
        <v>5.99</v>
      </c>
      <c r="AJ325" s="136">
        <v>3</v>
      </c>
      <c r="AK325" s="136">
        <v>0.49</v>
      </c>
      <c r="AL325" s="136">
        <v>3.31</v>
      </c>
      <c r="AM325" s="136">
        <v>64.42</v>
      </c>
      <c r="AN325" s="131"/>
      <c r="AO325" s="131"/>
      <c r="AP325" s="131"/>
      <c r="AQ325" s="131"/>
      <c r="AR325" s="131"/>
      <c r="AS325" s="131"/>
      <c r="AT325" s="131"/>
      <c r="AU325" s="91"/>
      <c r="AV325" s="91"/>
      <c r="AW325" s="131"/>
      <c r="AX325" s="131"/>
      <c r="AY325" s="131"/>
    </row>
    <row r="326" spans="1:51" ht="15" x14ac:dyDescent="0.25">
      <c r="A326" s="123"/>
      <c r="B326" s="124"/>
      <c r="C326" s="125">
        <v>214658</v>
      </c>
      <c r="D326" s="89"/>
      <c r="E326" s="86" t="s">
        <v>3</v>
      </c>
      <c r="F326" s="86" t="s">
        <v>418</v>
      </c>
      <c r="H326" s="126" t="s">
        <v>50</v>
      </c>
      <c r="I326" s="89">
        <v>2</v>
      </c>
      <c r="J326" s="127">
        <v>40474.2399</v>
      </c>
      <c r="K326" s="127">
        <v>58399.96</v>
      </c>
      <c r="L326" s="127">
        <v>5992.9639999999999</v>
      </c>
      <c r="M326" s="127">
        <v>21037.239900000019</v>
      </c>
      <c r="N326" s="127">
        <v>48120.460000000006</v>
      </c>
      <c r="O326" s="127">
        <v>5151.4639999999999</v>
      </c>
      <c r="P326" s="128">
        <f t="shared" ref="P326:P389" si="45">M326/J326</f>
        <v>0.51976862201679097</v>
      </c>
      <c r="Q326" s="128">
        <f t="shared" ref="Q326:Q389" si="46">N326/K326</f>
        <v>0.82398104382263293</v>
      </c>
      <c r="R326" s="128">
        <f t="shared" ref="R326:R389" si="47">O326/L326</f>
        <v>0.85958534040918655</v>
      </c>
      <c r="S326" s="129">
        <v>0</v>
      </c>
      <c r="T326" s="129">
        <v>0</v>
      </c>
      <c r="U326" s="129">
        <v>0</v>
      </c>
      <c r="V326" s="138">
        <f t="shared" ref="V326:V389" si="48">I326+2</f>
        <v>4</v>
      </c>
      <c r="W326" s="138">
        <f t="shared" ref="W326:W389" si="49">I326+2</f>
        <v>4</v>
      </c>
      <c r="X326" s="138">
        <f t="shared" ref="X326:X389" si="50">I326</f>
        <v>2</v>
      </c>
      <c r="Y326" s="138">
        <f t="shared" ref="Y326:Y389" si="51">IF(S326=0,0,V326)</f>
        <v>0</v>
      </c>
      <c r="Z326" s="138">
        <f t="shared" ref="Z326:Z389" si="52">IF(T326=0,0,W326)</f>
        <v>0</v>
      </c>
      <c r="AA326" s="138">
        <f t="shared" ref="AA326:AA389" si="53">IF(U326=0,0,1)</f>
        <v>0</v>
      </c>
      <c r="AB326" s="127" t="s">
        <v>32</v>
      </c>
      <c r="AC326" s="127"/>
      <c r="AD326" s="127"/>
      <c r="AE326" s="130"/>
      <c r="AF326" s="136">
        <v>0</v>
      </c>
      <c r="AG326" s="136">
        <v>0</v>
      </c>
      <c r="AH326" s="136">
        <v>0</v>
      </c>
      <c r="AI326" s="136">
        <v>0</v>
      </c>
      <c r="AJ326" s="136">
        <v>0</v>
      </c>
      <c r="AK326" s="136">
        <v>0</v>
      </c>
      <c r="AL326" s="136">
        <v>0</v>
      </c>
      <c r="AM326" s="136">
        <v>0</v>
      </c>
      <c r="AN326" s="131"/>
      <c r="AO326" s="131"/>
      <c r="AP326" s="131"/>
      <c r="AQ326" s="131"/>
      <c r="AR326" s="131"/>
      <c r="AS326" s="131"/>
      <c r="AT326" s="131"/>
      <c r="AU326" s="91"/>
      <c r="AV326" s="91"/>
      <c r="AW326" s="131"/>
      <c r="AX326" s="131"/>
      <c r="AY326" s="131"/>
    </row>
    <row r="327" spans="1:51" ht="15" x14ac:dyDescent="0.25">
      <c r="A327" s="123"/>
      <c r="B327" s="124"/>
      <c r="C327" s="125">
        <v>234684</v>
      </c>
      <c r="D327" s="89"/>
      <c r="E327" s="86" t="s">
        <v>3</v>
      </c>
      <c r="F327" s="86" t="s">
        <v>418</v>
      </c>
      <c r="H327" s="126" t="s">
        <v>51</v>
      </c>
      <c r="I327" s="89">
        <v>1</v>
      </c>
      <c r="J327" s="127">
        <v>40474.2399</v>
      </c>
      <c r="K327" s="127">
        <v>58399.96</v>
      </c>
      <c r="L327" s="127">
        <v>5992.9639999999999</v>
      </c>
      <c r="M327" s="127">
        <v>21037.239900000019</v>
      </c>
      <c r="N327" s="127">
        <v>48120.460000000006</v>
      </c>
      <c r="O327" s="127">
        <v>5151.4639999999999</v>
      </c>
      <c r="P327" s="128">
        <f t="shared" si="45"/>
        <v>0.51976862201679097</v>
      </c>
      <c r="Q327" s="128">
        <f t="shared" si="46"/>
        <v>0.82398104382263293</v>
      </c>
      <c r="R327" s="128">
        <f t="shared" si="47"/>
        <v>0.85958534040918655</v>
      </c>
      <c r="S327" s="129">
        <v>1</v>
      </c>
      <c r="T327" s="129">
        <v>1</v>
      </c>
      <c r="U327" s="129">
        <v>1</v>
      </c>
      <c r="V327" s="138">
        <f t="shared" si="48"/>
        <v>3</v>
      </c>
      <c r="W327" s="138">
        <f t="shared" si="49"/>
        <v>3</v>
      </c>
      <c r="X327" s="138">
        <f t="shared" si="50"/>
        <v>1</v>
      </c>
      <c r="Y327" s="138">
        <f t="shared" si="51"/>
        <v>3</v>
      </c>
      <c r="Z327" s="138">
        <f t="shared" si="52"/>
        <v>3</v>
      </c>
      <c r="AA327" s="138">
        <f t="shared" si="53"/>
        <v>1</v>
      </c>
      <c r="AB327" s="127" t="s">
        <v>32</v>
      </c>
      <c r="AC327" s="127"/>
      <c r="AD327" s="127"/>
      <c r="AE327" s="130"/>
      <c r="AF327" s="136">
        <v>12.26</v>
      </c>
      <c r="AG327" s="136">
        <v>11.33</v>
      </c>
      <c r="AH327" s="136">
        <v>28.04</v>
      </c>
      <c r="AI327" s="136">
        <v>5.99</v>
      </c>
      <c r="AJ327" s="136">
        <v>3</v>
      </c>
      <c r="AK327" s="136">
        <v>0.49</v>
      </c>
      <c r="AL327" s="136">
        <v>3.31</v>
      </c>
      <c r="AM327" s="136">
        <v>64.42</v>
      </c>
      <c r="AN327" s="131"/>
      <c r="AO327" s="131"/>
      <c r="AP327" s="131"/>
      <c r="AQ327" s="131"/>
      <c r="AR327" s="131"/>
      <c r="AS327" s="131"/>
      <c r="AT327" s="131"/>
      <c r="AU327" s="91"/>
      <c r="AV327" s="91"/>
      <c r="AW327" s="131"/>
      <c r="AX327" s="131"/>
      <c r="AY327" s="131"/>
    </row>
    <row r="328" spans="1:51" ht="15" x14ac:dyDescent="0.25">
      <c r="A328" s="123"/>
      <c r="B328" s="124"/>
      <c r="C328" s="125">
        <v>287531</v>
      </c>
      <c r="D328" s="89"/>
      <c r="E328" s="86" t="s">
        <v>3</v>
      </c>
      <c r="F328" s="86" t="s">
        <v>418</v>
      </c>
      <c r="H328" s="126" t="s">
        <v>51</v>
      </c>
      <c r="I328" s="89">
        <v>1</v>
      </c>
      <c r="J328" s="127">
        <v>40474.2399</v>
      </c>
      <c r="K328" s="127">
        <v>58399.96</v>
      </c>
      <c r="L328" s="127">
        <v>5992.9639999999999</v>
      </c>
      <c r="M328" s="127">
        <v>21037.239900000019</v>
      </c>
      <c r="N328" s="127">
        <v>48120.460000000006</v>
      </c>
      <c r="O328" s="127">
        <v>5151.4639999999999</v>
      </c>
      <c r="P328" s="128">
        <f t="shared" si="45"/>
        <v>0.51976862201679097</v>
      </c>
      <c r="Q328" s="128">
        <f t="shared" si="46"/>
        <v>0.82398104382263293</v>
      </c>
      <c r="R328" s="128">
        <f t="shared" si="47"/>
        <v>0.85958534040918655</v>
      </c>
      <c r="S328" s="129">
        <v>1</v>
      </c>
      <c r="T328" s="129">
        <v>1</v>
      </c>
      <c r="U328" s="129">
        <v>1</v>
      </c>
      <c r="V328" s="138">
        <f t="shared" si="48"/>
        <v>3</v>
      </c>
      <c r="W328" s="138">
        <f t="shared" si="49"/>
        <v>3</v>
      </c>
      <c r="X328" s="138">
        <f t="shared" si="50"/>
        <v>1</v>
      </c>
      <c r="Y328" s="138">
        <f t="shared" si="51"/>
        <v>3</v>
      </c>
      <c r="Z328" s="138">
        <f t="shared" si="52"/>
        <v>3</v>
      </c>
      <c r="AA328" s="138">
        <f t="shared" si="53"/>
        <v>1</v>
      </c>
      <c r="AB328" s="127" t="s">
        <v>32</v>
      </c>
      <c r="AC328" s="127"/>
      <c r="AD328" s="127"/>
      <c r="AE328" s="130"/>
      <c r="AF328" s="136">
        <v>12.26</v>
      </c>
      <c r="AG328" s="136">
        <v>11.33</v>
      </c>
      <c r="AH328" s="136">
        <v>28.04</v>
      </c>
      <c r="AI328" s="136">
        <v>5.99</v>
      </c>
      <c r="AJ328" s="136">
        <v>3</v>
      </c>
      <c r="AK328" s="136">
        <v>0.49</v>
      </c>
      <c r="AL328" s="136">
        <v>3.31</v>
      </c>
      <c r="AM328" s="136">
        <v>64.42</v>
      </c>
      <c r="AN328" s="131"/>
      <c r="AO328" s="131"/>
      <c r="AP328" s="131"/>
      <c r="AQ328" s="131"/>
      <c r="AR328" s="131"/>
      <c r="AS328" s="131"/>
      <c r="AT328" s="131"/>
      <c r="AU328" s="91"/>
      <c r="AV328" s="91"/>
      <c r="AW328" s="131"/>
      <c r="AX328" s="131"/>
      <c r="AY328" s="131"/>
    </row>
    <row r="329" spans="1:51" ht="15" x14ac:dyDescent="0.25">
      <c r="A329" s="123"/>
      <c r="B329" s="124"/>
      <c r="C329" s="125">
        <v>403763</v>
      </c>
      <c r="D329" s="89"/>
      <c r="E329" s="86" t="s">
        <v>3</v>
      </c>
      <c r="F329" s="86" t="s">
        <v>418</v>
      </c>
      <c r="H329" s="126" t="s">
        <v>50</v>
      </c>
      <c r="I329" s="89">
        <v>1</v>
      </c>
      <c r="J329" s="127">
        <v>40474.2399</v>
      </c>
      <c r="K329" s="127">
        <v>58399.96</v>
      </c>
      <c r="L329" s="127">
        <v>5992.9639999999999</v>
      </c>
      <c r="M329" s="127">
        <v>21037.239900000019</v>
      </c>
      <c r="N329" s="127">
        <v>48120.460000000006</v>
      </c>
      <c r="O329" s="127">
        <v>5151.4639999999999</v>
      </c>
      <c r="P329" s="128">
        <f t="shared" si="45"/>
        <v>0.51976862201679097</v>
      </c>
      <c r="Q329" s="128">
        <f t="shared" si="46"/>
        <v>0.82398104382263293</v>
      </c>
      <c r="R329" s="128">
        <f t="shared" si="47"/>
        <v>0.85958534040918655</v>
      </c>
      <c r="S329" s="129">
        <v>0</v>
      </c>
      <c r="T329" s="129">
        <v>0</v>
      </c>
      <c r="U329" s="129">
        <v>0</v>
      </c>
      <c r="V329" s="138">
        <f t="shared" si="48"/>
        <v>3</v>
      </c>
      <c r="W329" s="138">
        <f t="shared" si="49"/>
        <v>3</v>
      </c>
      <c r="X329" s="138">
        <f t="shared" si="50"/>
        <v>1</v>
      </c>
      <c r="Y329" s="138">
        <f t="shared" si="51"/>
        <v>0</v>
      </c>
      <c r="Z329" s="138">
        <f t="shared" si="52"/>
        <v>0</v>
      </c>
      <c r="AA329" s="138">
        <f t="shared" si="53"/>
        <v>0</v>
      </c>
      <c r="AB329" s="127" t="s">
        <v>32</v>
      </c>
      <c r="AC329" s="127"/>
      <c r="AD329" s="127"/>
      <c r="AE329" s="130"/>
      <c r="AF329" s="136">
        <v>0</v>
      </c>
      <c r="AG329" s="136">
        <v>0</v>
      </c>
      <c r="AH329" s="136">
        <v>0</v>
      </c>
      <c r="AI329" s="136">
        <v>0</v>
      </c>
      <c r="AJ329" s="136">
        <v>0</v>
      </c>
      <c r="AK329" s="136">
        <v>0</v>
      </c>
      <c r="AL329" s="136">
        <v>0</v>
      </c>
      <c r="AM329" s="136">
        <v>0</v>
      </c>
      <c r="AN329" s="131"/>
      <c r="AO329" s="131"/>
      <c r="AP329" s="131"/>
      <c r="AQ329" s="131"/>
      <c r="AR329" s="131"/>
      <c r="AS329" s="131"/>
      <c r="AT329" s="131"/>
      <c r="AU329" s="91"/>
      <c r="AV329" s="91"/>
      <c r="AW329" s="131"/>
      <c r="AX329" s="131"/>
      <c r="AY329" s="131"/>
    </row>
    <row r="330" spans="1:51" ht="15" x14ac:dyDescent="0.25">
      <c r="A330" s="123"/>
      <c r="B330" s="124"/>
      <c r="C330" s="125">
        <v>419166</v>
      </c>
      <c r="D330" s="89"/>
      <c r="E330" s="86" t="s">
        <v>3</v>
      </c>
      <c r="F330" s="86" t="s">
        <v>418</v>
      </c>
      <c r="H330" s="126" t="s">
        <v>51</v>
      </c>
      <c r="I330" s="89">
        <v>1</v>
      </c>
      <c r="J330" s="127">
        <v>40474.2399</v>
      </c>
      <c r="K330" s="127">
        <v>58399.96</v>
      </c>
      <c r="L330" s="127">
        <v>5992.9639999999999</v>
      </c>
      <c r="M330" s="127">
        <v>21037.239900000019</v>
      </c>
      <c r="N330" s="127">
        <v>48120.460000000006</v>
      </c>
      <c r="O330" s="127">
        <v>5151.4639999999999</v>
      </c>
      <c r="P330" s="128">
        <f t="shared" si="45"/>
        <v>0.51976862201679097</v>
      </c>
      <c r="Q330" s="128">
        <f t="shared" si="46"/>
        <v>0.82398104382263293</v>
      </c>
      <c r="R330" s="128">
        <f t="shared" si="47"/>
        <v>0.85958534040918655</v>
      </c>
      <c r="S330" s="129">
        <v>1</v>
      </c>
      <c r="T330" s="129">
        <v>1</v>
      </c>
      <c r="U330" s="129">
        <v>1</v>
      </c>
      <c r="V330" s="138">
        <f t="shared" si="48"/>
        <v>3</v>
      </c>
      <c r="W330" s="138">
        <f t="shared" si="49"/>
        <v>3</v>
      </c>
      <c r="X330" s="138">
        <f t="shared" si="50"/>
        <v>1</v>
      </c>
      <c r="Y330" s="138">
        <f t="shared" si="51"/>
        <v>3</v>
      </c>
      <c r="Z330" s="138">
        <f t="shared" si="52"/>
        <v>3</v>
      </c>
      <c r="AA330" s="138">
        <f t="shared" si="53"/>
        <v>1</v>
      </c>
      <c r="AB330" s="127" t="s">
        <v>32</v>
      </c>
      <c r="AC330" s="127"/>
      <c r="AD330" s="127"/>
      <c r="AE330" s="130"/>
      <c r="AF330" s="136">
        <v>12.26</v>
      </c>
      <c r="AG330" s="136">
        <v>11.33</v>
      </c>
      <c r="AH330" s="136">
        <v>28.04</v>
      </c>
      <c r="AI330" s="136">
        <v>5.99</v>
      </c>
      <c r="AJ330" s="136">
        <v>3</v>
      </c>
      <c r="AK330" s="136">
        <v>0.49</v>
      </c>
      <c r="AL330" s="136">
        <v>3.31</v>
      </c>
      <c r="AM330" s="136">
        <v>64.42</v>
      </c>
      <c r="AN330" s="131"/>
      <c r="AO330" s="131"/>
      <c r="AP330" s="131"/>
      <c r="AQ330" s="131"/>
      <c r="AR330" s="131"/>
      <c r="AS330" s="131"/>
      <c r="AT330" s="131"/>
      <c r="AU330" s="91"/>
      <c r="AV330" s="91"/>
      <c r="AW330" s="131"/>
      <c r="AX330" s="131"/>
      <c r="AY330" s="131"/>
    </row>
    <row r="331" spans="1:51" ht="15" x14ac:dyDescent="0.25">
      <c r="A331" s="123"/>
      <c r="B331" s="124"/>
      <c r="C331" s="125">
        <v>434681</v>
      </c>
      <c r="D331" s="89"/>
      <c r="E331" s="86" t="s">
        <v>3</v>
      </c>
      <c r="F331" s="86" t="s">
        <v>418</v>
      </c>
      <c r="H331" s="126" t="s">
        <v>51</v>
      </c>
      <c r="I331" s="89">
        <v>1</v>
      </c>
      <c r="J331" s="127">
        <v>40474.2399</v>
      </c>
      <c r="K331" s="127">
        <v>58399.96</v>
      </c>
      <c r="L331" s="127">
        <v>5992.9639999999999</v>
      </c>
      <c r="M331" s="127">
        <v>21037.239900000019</v>
      </c>
      <c r="N331" s="127">
        <v>48120.460000000006</v>
      </c>
      <c r="O331" s="127">
        <v>5151.4639999999999</v>
      </c>
      <c r="P331" s="128">
        <f t="shared" si="45"/>
        <v>0.51976862201679097</v>
      </c>
      <c r="Q331" s="128">
        <f t="shared" si="46"/>
        <v>0.82398104382263293</v>
      </c>
      <c r="R331" s="128">
        <f t="shared" si="47"/>
        <v>0.85958534040918655</v>
      </c>
      <c r="S331" s="129">
        <v>1</v>
      </c>
      <c r="T331" s="129">
        <v>1</v>
      </c>
      <c r="U331" s="129">
        <v>1</v>
      </c>
      <c r="V331" s="138">
        <f t="shared" si="48"/>
        <v>3</v>
      </c>
      <c r="W331" s="138">
        <f t="shared" si="49"/>
        <v>3</v>
      </c>
      <c r="X331" s="138">
        <f t="shared" si="50"/>
        <v>1</v>
      </c>
      <c r="Y331" s="138">
        <f t="shared" si="51"/>
        <v>3</v>
      </c>
      <c r="Z331" s="138">
        <f t="shared" si="52"/>
        <v>3</v>
      </c>
      <c r="AA331" s="138">
        <f t="shared" si="53"/>
        <v>1</v>
      </c>
      <c r="AB331" s="127" t="s">
        <v>32</v>
      </c>
      <c r="AC331" s="127"/>
      <c r="AD331" s="127"/>
      <c r="AE331" s="130"/>
      <c r="AF331" s="136">
        <v>12.26</v>
      </c>
      <c r="AG331" s="136">
        <v>11.33</v>
      </c>
      <c r="AH331" s="136">
        <v>28.04</v>
      </c>
      <c r="AI331" s="136">
        <v>5.99</v>
      </c>
      <c r="AJ331" s="136">
        <v>3</v>
      </c>
      <c r="AK331" s="136">
        <v>0.49</v>
      </c>
      <c r="AL331" s="136">
        <v>3.31</v>
      </c>
      <c r="AM331" s="136">
        <v>64.42</v>
      </c>
      <c r="AN331" s="131"/>
      <c r="AO331" s="131"/>
      <c r="AP331" s="131"/>
      <c r="AQ331" s="131"/>
      <c r="AR331" s="131"/>
      <c r="AS331" s="131"/>
      <c r="AT331" s="131"/>
      <c r="AU331" s="91"/>
      <c r="AV331" s="91"/>
      <c r="AW331" s="131"/>
      <c r="AX331" s="131"/>
      <c r="AY331" s="131"/>
    </row>
    <row r="332" spans="1:51" ht="15" x14ac:dyDescent="0.25">
      <c r="A332" s="123"/>
      <c r="B332" s="124"/>
      <c r="C332" s="125">
        <v>449752</v>
      </c>
      <c r="D332" s="89"/>
      <c r="E332" s="86" t="s">
        <v>3</v>
      </c>
      <c r="F332" s="86" t="s">
        <v>418</v>
      </c>
      <c r="H332" s="126" t="s">
        <v>50</v>
      </c>
      <c r="I332" s="89">
        <v>1</v>
      </c>
      <c r="J332" s="127">
        <v>40474.2399</v>
      </c>
      <c r="K332" s="127">
        <v>58399.96</v>
      </c>
      <c r="L332" s="127">
        <v>5992.9639999999999</v>
      </c>
      <c r="M332" s="127">
        <v>21037.239900000019</v>
      </c>
      <c r="N332" s="127">
        <v>48120.460000000006</v>
      </c>
      <c r="O332" s="127">
        <v>5151.4639999999999</v>
      </c>
      <c r="P332" s="128">
        <f t="shared" si="45"/>
        <v>0.51976862201679097</v>
      </c>
      <c r="Q332" s="128">
        <f t="shared" si="46"/>
        <v>0.82398104382263293</v>
      </c>
      <c r="R332" s="128">
        <f t="shared" si="47"/>
        <v>0.85958534040918655</v>
      </c>
      <c r="S332" s="129">
        <v>0</v>
      </c>
      <c r="T332" s="129">
        <v>0</v>
      </c>
      <c r="U332" s="129">
        <v>0</v>
      </c>
      <c r="V332" s="138">
        <f t="shared" si="48"/>
        <v>3</v>
      </c>
      <c r="W332" s="138">
        <f t="shared" si="49"/>
        <v>3</v>
      </c>
      <c r="X332" s="138">
        <f t="shared" si="50"/>
        <v>1</v>
      </c>
      <c r="Y332" s="138">
        <f t="shared" si="51"/>
        <v>0</v>
      </c>
      <c r="Z332" s="138">
        <f t="shared" si="52"/>
        <v>0</v>
      </c>
      <c r="AA332" s="138">
        <f t="shared" si="53"/>
        <v>0</v>
      </c>
      <c r="AB332" s="127" t="s">
        <v>32</v>
      </c>
      <c r="AC332" s="127"/>
      <c r="AD332" s="127"/>
      <c r="AE332" s="130"/>
      <c r="AF332" s="136">
        <v>0</v>
      </c>
      <c r="AG332" s="136">
        <v>0</v>
      </c>
      <c r="AH332" s="136">
        <v>0</v>
      </c>
      <c r="AI332" s="136">
        <v>0</v>
      </c>
      <c r="AJ332" s="136">
        <v>0</v>
      </c>
      <c r="AK332" s="136">
        <v>0</v>
      </c>
      <c r="AL332" s="136">
        <v>0</v>
      </c>
      <c r="AM332" s="136">
        <v>0</v>
      </c>
      <c r="AN332" s="131"/>
      <c r="AO332" s="131"/>
      <c r="AP332" s="131"/>
      <c r="AQ332" s="131"/>
      <c r="AR332" s="131"/>
      <c r="AS332" s="131"/>
      <c r="AT332" s="131"/>
      <c r="AU332" s="91"/>
      <c r="AV332" s="91"/>
      <c r="AW332" s="131"/>
      <c r="AX332" s="131"/>
      <c r="AY332" s="131"/>
    </row>
    <row r="333" spans="1:51" ht="15" x14ac:dyDescent="0.25">
      <c r="A333" s="123"/>
      <c r="B333" s="124"/>
      <c r="C333" s="125">
        <v>464016</v>
      </c>
      <c r="D333" s="89"/>
      <c r="E333" s="86" t="s">
        <v>3</v>
      </c>
      <c r="F333" s="86" t="s">
        <v>418</v>
      </c>
      <c r="H333" s="126" t="s">
        <v>51</v>
      </c>
      <c r="I333" s="89">
        <v>1</v>
      </c>
      <c r="J333" s="127">
        <v>40474.2399</v>
      </c>
      <c r="K333" s="127">
        <v>58399.96</v>
      </c>
      <c r="L333" s="127">
        <v>5992.9639999999999</v>
      </c>
      <c r="M333" s="127">
        <v>21037.239900000019</v>
      </c>
      <c r="N333" s="127">
        <v>48120.460000000006</v>
      </c>
      <c r="O333" s="127">
        <v>5151.4639999999999</v>
      </c>
      <c r="P333" s="128">
        <f t="shared" si="45"/>
        <v>0.51976862201679097</v>
      </c>
      <c r="Q333" s="128">
        <f t="shared" si="46"/>
        <v>0.82398104382263293</v>
      </c>
      <c r="R333" s="128">
        <f t="shared" si="47"/>
        <v>0.85958534040918655</v>
      </c>
      <c r="S333" s="129">
        <v>1</v>
      </c>
      <c r="T333" s="129">
        <v>1</v>
      </c>
      <c r="U333" s="129">
        <v>1</v>
      </c>
      <c r="V333" s="138">
        <f t="shared" si="48"/>
        <v>3</v>
      </c>
      <c r="W333" s="138">
        <f t="shared" si="49"/>
        <v>3</v>
      </c>
      <c r="X333" s="138">
        <f t="shared" si="50"/>
        <v>1</v>
      </c>
      <c r="Y333" s="138">
        <f t="shared" si="51"/>
        <v>3</v>
      </c>
      <c r="Z333" s="138">
        <f t="shared" si="52"/>
        <v>3</v>
      </c>
      <c r="AA333" s="138">
        <f t="shared" si="53"/>
        <v>1</v>
      </c>
      <c r="AB333" s="127" t="s">
        <v>32</v>
      </c>
      <c r="AC333" s="127"/>
      <c r="AD333" s="127"/>
      <c r="AE333" s="130"/>
      <c r="AF333" s="136">
        <v>12.26</v>
      </c>
      <c r="AG333" s="136">
        <v>11.33</v>
      </c>
      <c r="AH333" s="136">
        <v>28.04</v>
      </c>
      <c r="AI333" s="136">
        <v>5.99</v>
      </c>
      <c r="AJ333" s="136">
        <v>3</v>
      </c>
      <c r="AK333" s="136">
        <v>0.49</v>
      </c>
      <c r="AL333" s="136">
        <v>3.31</v>
      </c>
      <c r="AM333" s="136">
        <v>64.42</v>
      </c>
      <c r="AN333" s="131"/>
      <c r="AO333" s="131"/>
      <c r="AP333" s="131"/>
      <c r="AQ333" s="131"/>
      <c r="AR333" s="131"/>
      <c r="AS333" s="131"/>
      <c r="AT333" s="131"/>
      <c r="AU333" s="91"/>
      <c r="AV333" s="91"/>
      <c r="AW333" s="131"/>
      <c r="AX333" s="131"/>
      <c r="AY333" s="131"/>
    </row>
    <row r="334" spans="1:51" ht="15" x14ac:dyDescent="0.25">
      <c r="A334" s="123"/>
      <c r="B334" s="124"/>
      <c r="C334" s="125">
        <v>487264</v>
      </c>
      <c r="D334" s="89"/>
      <c r="E334" s="86" t="s">
        <v>3</v>
      </c>
      <c r="F334" s="86" t="s">
        <v>418</v>
      </c>
      <c r="H334" s="126" t="s">
        <v>51</v>
      </c>
      <c r="I334" s="89">
        <v>1</v>
      </c>
      <c r="J334" s="127">
        <v>40474.2399</v>
      </c>
      <c r="K334" s="127">
        <v>58399.96</v>
      </c>
      <c r="L334" s="127">
        <v>5992.9639999999999</v>
      </c>
      <c r="M334" s="127">
        <v>21037.239900000019</v>
      </c>
      <c r="N334" s="127">
        <v>48120.460000000006</v>
      </c>
      <c r="O334" s="127">
        <v>5151.4639999999999</v>
      </c>
      <c r="P334" s="128">
        <f t="shared" si="45"/>
        <v>0.51976862201679097</v>
      </c>
      <c r="Q334" s="128">
        <f t="shared" si="46"/>
        <v>0.82398104382263293</v>
      </c>
      <c r="R334" s="128">
        <f t="shared" si="47"/>
        <v>0.85958534040918655</v>
      </c>
      <c r="S334" s="129">
        <v>1</v>
      </c>
      <c r="T334" s="129">
        <v>1</v>
      </c>
      <c r="U334" s="129">
        <v>1</v>
      </c>
      <c r="V334" s="138">
        <f t="shared" si="48"/>
        <v>3</v>
      </c>
      <c r="W334" s="138">
        <f t="shared" si="49"/>
        <v>3</v>
      </c>
      <c r="X334" s="138">
        <f t="shared" si="50"/>
        <v>1</v>
      </c>
      <c r="Y334" s="138">
        <f t="shared" si="51"/>
        <v>3</v>
      </c>
      <c r="Z334" s="138">
        <f t="shared" si="52"/>
        <v>3</v>
      </c>
      <c r="AA334" s="138">
        <f t="shared" si="53"/>
        <v>1</v>
      </c>
      <c r="AB334" s="127" t="s">
        <v>32</v>
      </c>
      <c r="AC334" s="127"/>
      <c r="AD334" s="127"/>
      <c r="AE334" s="130"/>
      <c r="AF334" s="136">
        <v>12.26</v>
      </c>
      <c r="AG334" s="136">
        <v>11.33</v>
      </c>
      <c r="AH334" s="136">
        <v>28.04</v>
      </c>
      <c r="AI334" s="136">
        <v>5.99</v>
      </c>
      <c r="AJ334" s="136">
        <v>3</v>
      </c>
      <c r="AK334" s="136">
        <v>0.49</v>
      </c>
      <c r="AL334" s="136">
        <v>3.31</v>
      </c>
      <c r="AM334" s="136">
        <v>64.42</v>
      </c>
      <c r="AN334" s="131"/>
      <c r="AO334" s="131"/>
      <c r="AP334" s="131"/>
      <c r="AQ334" s="131"/>
      <c r="AR334" s="131"/>
      <c r="AS334" s="131"/>
      <c r="AT334" s="131"/>
      <c r="AU334" s="91"/>
      <c r="AV334" s="91"/>
      <c r="AW334" s="131"/>
      <c r="AX334" s="131"/>
      <c r="AY334" s="131"/>
    </row>
    <row r="335" spans="1:51" ht="15" x14ac:dyDescent="0.25">
      <c r="A335" s="123"/>
      <c r="B335" s="124"/>
      <c r="C335" s="125">
        <v>507968</v>
      </c>
      <c r="D335" s="89"/>
      <c r="E335" s="86" t="s">
        <v>3</v>
      </c>
      <c r="F335" s="86" t="s">
        <v>418</v>
      </c>
      <c r="H335" s="126" t="s">
        <v>51</v>
      </c>
      <c r="I335" s="89">
        <v>1</v>
      </c>
      <c r="J335" s="127">
        <v>40474.2399</v>
      </c>
      <c r="K335" s="127">
        <v>58399.96</v>
      </c>
      <c r="L335" s="127">
        <v>5992.9639999999999</v>
      </c>
      <c r="M335" s="127">
        <v>21037.239900000019</v>
      </c>
      <c r="N335" s="127">
        <v>48120.460000000006</v>
      </c>
      <c r="O335" s="127">
        <v>5151.4639999999999</v>
      </c>
      <c r="P335" s="128">
        <f t="shared" si="45"/>
        <v>0.51976862201679097</v>
      </c>
      <c r="Q335" s="128">
        <f t="shared" si="46"/>
        <v>0.82398104382263293</v>
      </c>
      <c r="R335" s="128">
        <f t="shared" si="47"/>
        <v>0.85958534040918655</v>
      </c>
      <c r="S335" s="129">
        <v>1</v>
      </c>
      <c r="T335" s="129">
        <v>1</v>
      </c>
      <c r="U335" s="129">
        <v>1</v>
      </c>
      <c r="V335" s="138">
        <f t="shared" si="48"/>
        <v>3</v>
      </c>
      <c r="W335" s="138">
        <f t="shared" si="49"/>
        <v>3</v>
      </c>
      <c r="X335" s="138">
        <f t="shared" si="50"/>
        <v>1</v>
      </c>
      <c r="Y335" s="138">
        <f t="shared" si="51"/>
        <v>3</v>
      </c>
      <c r="Z335" s="138">
        <f t="shared" si="52"/>
        <v>3</v>
      </c>
      <c r="AA335" s="138">
        <f t="shared" si="53"/>
        <v>1</v>
      </c>
      <c r="AB335" s="127" t="s">
        <v>32</v>
      </c>
      <c r="AC335" s="127"/>
      <c r="AD335" s="127"/>
      <c r="AE335" s="130"/>
      <c r="AF335" s="136">
        <v>12.26</v>
      </c>
      <c r="AG335" s="136">
        <v>11.33</v>
      </c>
      <c r="AH335" s="136">
        <v>28.04</v>
      </c>
      <c r="AI335" s="136">
        <v>5.99</v>
      </c>
      <c r="AJ335" s="136">
        <v>3</v>
      </c>
      <c r="AK335" s="136">
        <v>0.49</v>
      </c>
      <c r="AL335" s="136">
        <v>3.31</v>
      </c>
      <c r="AM335" s="136">
        <v>64.42</v>
      </c>
      <c r="AN335" s="131"/>
      <c r="AO335" s="131"/>
      <c r="AP335" s="131"/>
      <c r="AQ335" s="131"/>
      <c r="AR335" s="131"/>
      <c r="AS335" s="131"/>
      <c r="AT335" s="131"/>
      <c r="AU335" s="91"/>
      <c r="AV335" s="91"/>
      <c r="AW335" s="131"/>
      <c r="AX335" s="131"/>
      <c r="AY335" s="131"/>
    </row>
    <row r="336" spans="1:51" ht="15" x14ac:dyDescent="0.25">
      <c r="A336" s="123"/>
      <c r="B336" s="124"/>
      <c r="C336" s="125">
        <v>533006</v>
      </c>
      <c r="D336" s="89"/>
      <c r="E336" s="86" t="s">
        <v>3</v>
      </c>
      <c r="F336" s="86" t="s">
        <v>418</v>
      </c>
      <c r="H336" s="126" t="s">
        <v>51</v>
      </c>
      <c r="I336" s="89">
        <v>1</v>
      </c>
      <c r="J336" s="127">
        <v>40474.2399</v>
      </c>
      <c r="K336" s="127">
        <v>58399.96</v>
      </c>
      <c r="L336" s="127">
        <v>5992.9639999999999</v>
      </c>
      <c r="M336" s="127">
        <v>21037.239900000019</v>
      </c>
      <c r="N336" s="127">
        <v>48120.460000000006</v>
      </c>
      <c r="O336" s="127">
        <v>5151.4639999999999</v>
      </c>
      <c r="P336" s="128">
        <f t="shared" si="45"/>
        <v>0.51976862201679097</v>
      </c>
      <c r="Q336" s="128">
        <f t="shared" si="46"/>
        <v>0.82398104382263293</v>
      </c>
      <c r="R336" s="128">
        <f t="shared" si="47"/>
        <v>0.85958534040918655</v>
      </c>
      <c r="S336" s="129">
        <v>1</v>
      </c>
      <c r="T336" s="129">
        <v>1</v>
      </c>
      <c r="U336" s="129">
        <v>1</v>
      </c>
      <c r="V336" s="138">
        <f t="shared" si="48"/>
        <v>3</v>
      </c>
      <c r="W336" s="138">
        <f t="shared" si="49"/>
        <v>3</v>
      </c>
      <c r="X336" s="138">
        <f t="shared" si="50"/>
        <v>1</v>
      </c>
      <c r="Y336" s="138">
        <f t="shared" si="51"/>
        <v>3</v>
      </c>
      <c r="Z336" s="138">
        <f t="shared" si="52"/>
        <v>3</v>
      </c>
      <c r="AA336" s="138">
        <f t="shared" si="53"/>
        <v>1</v>
      </c>
      <c r="AB336" s="127" t="s">
        <v>32</v>
      </c>
      <c r="AC336" s="127"/>
      <c r="AD336" s="127"/>
      <c r="AE336" s="130"/>
      <c r="AF336" s="136">
        <v>12.26</v>
      </c>
      <c r="AG336" s="136">
        <v>11.33</v>
      </c>
      <c r="AH336" s="136">
        <v>28.04</v>
      </c>
      <c r="AI336" s="136">
        <v>5.99</v>
      </c>
      <c r="AJ336" s="136">
        <v>3</v>
      </c>
      <c r="AK336" s="136">
        <v>0.49</v>
      </c>
      <c r="AL336" s="136">
        <v>3.31</v>
      </c>
      <c r="AM336" s="136">
        <v>64.42</v>
      </c>
      <c r="AN336" s="131"/>
      <c r="AO336" s="131"/>
      <c r="AP336" s="131"/>
      <c r="AQ336" s="131"/>
      <c r="AR336" s="131"/>
      <c r="AS336" s="131"/>
      <c r="AT336" s="131"/>
      <c r="AU336" s="91"/>
      <c r="AV336" s="91"/>
      <c r="AW336" s="131"/>
      <c r="AX336" s="131"/>
      <c r="AY336" s="131"/>
    </row>
    <row r="337" spans="1:51" ht="15" x14ac:dyDescent="0.25">
      <c r="A337" s="123"/>
      <c r="B337" s="124"/>
      <c r="C337" s="125">
        <v>553552</v>
      </c>
      <c r="D337" s="89"/>
      <c r="E337" s="86" t="s">
        <v>3</v>
      </c>
      <c r="F337" s="86" t="s">
        <v>418</v>
      </c>
      <c r="H337" s="126" t="s">
        <v>50</v>
      </c>
      <c r="I337" s="89">
        <v>2</v>
      </c>
      <c r="J337" s="127">
        <v>40474.2399</v>
      </c>
      <c r="K337" s="127">
        <v>58399.96</v>
      </c>
      <c r="L337" s="127">
        <v>5992.9639999999999</v>
      </c>
      <c r="M337" s="127">
        <v>21037.239900000019</v>
      </c>
      <c r="N337" s="127">
        <v>48120.460000000006</v>
      </c>
      <c r="O337" s="127">
        <v>5151.4639999999999</v>
      </c>
      <c r="P337" s="128">
        <f t="shared" si="45"/>
        <v>0.51976862201679097</v>
      </c>
      <c r="Q337" s="128">
        <f t="shared" si="46"/>
        <v>0.82398104382263293</v>
      </c>
      <c r="R337" s="128">
        <f t="shared" si="47"/>
        <v>0.85958534040918655</v>
      </c>
      <c r="S337" s="129">
        <v>0</v>
      </c>
      <c r="T337" s="129">
        <v>0</v>
      </c>
      <c r="U337" s="129">
        <v>0</v>
      </c>
      <c r="V337" s="138">
        <f t="shared" si="48"/>
        <v>4</v>
      </c>
      <c r="W337" s="138">
        <f t="shared" si="49"/>
        <v>4</v>
      </c>
      <c r="X337" s="138">
        <f t="shared" si="50"/>
        <v>2</v>
      </c>
      <c r="Y337" s="138">
        <f t="shared" si="51"/>
        <v>0</v>
      </c>
      <c r="Z337" s="138">
        <f t="shared" si="52"/>
        <v>0</v>
      </c>
      <c r="AA337" s="138">
        <f t="shared" si="53"/>
        <v>0</v>
      </c>
      <c r="AB337" s="127" t="s">
        <v>32</v>
      </c>
      <c r="AC337" s="127"/>
      <c r="AD337" s="127"/>
      <c r="AE337" s="130"/>
      <c r="AF337" s="136">
        <v>0</v>
      </c>
      <c r="AG337" s="136">
        <v>0</v>
      </c>
      <c r="AH337" s="136">
        <v>0</v>
      </c>
      <c r="AI337" s="136">
        <v>0</v>
      </c>
      <c r="AJ337" s="136">
        <v>0</v>
      </c>
      <c r="AK337" s="136">
        <v>0</v>
      </c>
      <c r="AL337" s="136">
        <v>0</v>
      </c>
      <c r="AM337" s="136">
        <v>0</v>
      </c>
      <c r="AN337" s="131"/>
      <c r="AO337" s="131"/>
      <c r="AP337" s="131"/>
      <c r="AQ337" s="131"/>
      <c r="AR337" s="131"/>
      <c r="AS337" s="131"/>
      <c r="AT337" s="131"/>
      <c r="AU337" s="91"/>
      <c r="AV337" s="91"/>
      <c r="AW337" s="131"/>
      <c r="AX337" s="131"/>
      <c r="AY337" s="131"/>
    </row>
    <row r="338" spans="1:51" ht="15" x14ac:dyDescent="0.25">
      <c r="A338" s="123"/>
      <c r="B338" s="124"/>
      <c r="C338" s="125">
        <v>563388</v>
      </c>
      <c r="D338" s="89"/>
      <c r="E338" s="86" t="s">
        <v>3</v>
      </c>
      <c r="F338" s="86" t="s">
        <v>418</v>
      </c>
      <c r="H338" s="126" t="s">
        <v>51</v>
      </c>
      <c r="I338" s="89">
        <v>1</v>
      </c>
      <c r="J338" s="127">
        <v>40474.2399</v>
      </c>
      <c r="K338" s="127">
        <v>58399.96</v>
      </c>
      <c r="L338" s="127">
        <v>5992.9639999999999</v>
      </c>
      <c r="M338" s="127">
        <v>21037.239900000019</v>
      </c>
      <c r="N338" s="127">
        <v>48120.460000000006</v>
      </c>
      <c r="O338" s="127">
        <v>5151.4639999999999</v>
      </c>
      <c r="P338" s="128">
        <f t="shared" si="45"/>
        <v>0.51976862201679097</v>
      </c>
      <c r="Q338" s="128">
        <f t="shared" si="46"/>
        <v>0.82398104382263293</v>
      </c>
      <c r="R338" s="128">
        <f t="shared" si="47"/>
        <v>0.85958534040918655</v>
      </c>
      <c r="S338" s="129">
        <v>1</v>
      </c>
      <c r="T338" s="129">
        <v>1</v>
      </c>
      <c r="U338" s="129">
        <v>1</v>
      </c>
      <c r="V338" s="138">
        <f t="shared" si="48"/>
        <v>3</v>
      </c>
      <c r="W338" s="138">
        <f t="shared" si="49"/>
        <v>3</v>
      </c>
      <c r="X338" s="138">
        <f t="shared" si="50"/>
        <v>1</v>
      </c>
      <c r="Y338" s="138">
        <f t="shared" si="51"/>
        <v>3</v>
      </c>
      <c r="Z338" s="138">
        <f t="shared" si="52"/>
        <v>3</v>
      </c>
      <c r="AA338" s="138">
        <f t="shared" si="53"/>
        <v>1</v>
      </c>
      <c r="AB338" s="127" t="s">
        <v>32</v>
      </c>
      <c r="AC338" s="127"/>
      <c r="AD338" s="127"/>
      <c r="AE338" s="130"/>
      <c r="AF338" s="136">
        <v>12.26</v>
      </c>
      <c r="AG338" s="136">
        <v>11.33</v>
      </c>
      <c r="AH338" s="136">
        <v>28.04</v>
      </c>
      <c r="AI338" s="136">
        <v>5.99</v>
      </c>
      <c r="AJ338" s="136">
        <v>3</v>
      </c>
      <c r="AK338" s="136">
        <v>0.49</v>
      </c>
      <c r="AL338" s="136">
        <v>3.31</v>
      </c>
      <c r="AM338" s="136">
        <v>64.42</v>
      </c>
      <c r="AN338" s="131"/>
      <c r="AO338" s="131"/>
      <c r="AP338" s="131"/>
      <c r="AQ338" s="131"/>
      <c r="AR338" s="131"/>
      <c r="AS338" s="131"/>
      <c r="AT338" s="131"/>
      <c r="AU338" s="91"/>
      <c r="AV338" s="91"/>
      <c r="AW338" s="131"/>
      <c r="AX338" s="131"/>
      <c r="AY338" s="131"/>
    </row>
    <row r="339" spans="1:51" ht="15" x14ac:dyDescent="0.25">
      <c r="A339" s="123"/>
      <c r="B339" s="124"/>
      <c r="C339" s="125">
        <v>594443</v>
      </c>
      <c r="D339" s="89"/>
      <c r="E339" s="86" t="s">
        <v>3</v>
      </c>
      <c r="F339" s="86" t="s">
        <v>418</v>
      </c>
      <c r="H339" s="126" t="s">
        <v>51</v>
      </c>
      <c r="I339" s="89">
        <v>1</v>
      </c>
      <c r="J339" s="127">
        <v>40474.2399</v>
      </c>
      <c r="K339" s="127">
        <v>58399.96</v>
      </c>
      <c r="L339" s="127">
        <v>5992.9639999999999</v>
      </c>
      <c r="M339" s="127">
        <v>21037.239900000019</v>
      </c>
      <c r="N339" s="127">
        <v>48120.460000000006</v>
      </c>
      <c r="O339" s="127">
        <v>5151.4639999999999</v>
      </c>
      <c r="P339" s="128">
        <f t="shared" si="45"/>
        <v>0.51976862201679097</v>
      </c>
      <c r="Q339" s="128">
        <f t="shared" si="46"/>
        <v>0.82398104382263293</v>
      </c>
      <c r="R339" s="128">
        <f t="shared" si="47"/>
        <v>0.85958534040918655</v>
      </c>
      <c r="S339" s="129">
        <v>1</v>
      </c>
      <c r="T339" s="129">
        <v>1</v>
      </c>
      <c r="U339" s="129">
        <v>1</v>
      </c>
      <c r="V339" s="138">
        <f t="shared" si="48"/>
        <v>3</v>
      </c>
      <c r="W339" s="138">
        <f t="shared" si="49"/>
        <v>3</v>
      </c>
      <c r="X339" s="138">
        <f t="shared" si="50"/>
        <v>1</v>
      </c>
      <c r="Y339" s="138">
        <f t="shared" si="51"/>
        <v>3</v>
      </c>
      <c r="Z339" s="138">
        <f t="shared" si="52"/>
        <v>3</v>
      </c>
      <c r="AA339" s="138">
        <f t="shared" si="53"/>
        <v>1</v>
      </c>
      <c r="AB339" s="127" t="s">
        <v>32</v>
      </c>
      <c r="AC339" s="127"/>
      <c r="AD339" s="127"/>
      <c r="AE339" s="130"/>
      <c r="AF339" s="136">
        <v>12.26</v>
      </c>
      <c r="AG339" s="136">
        <v>11.33</v>
      </c>
      <c r="AH339" s="136">
        <v>28.04</v>
      </c>
      <c r="AI339" s="136">
        <v>5.99</v>
      </c>
      <c r="AJ339" s="136">
        <v>3</v>
      </c>
      <c r="AK339" s="136">
        <v>0.49</v>
      </c>
      <c r="AL339" s="136">
        <v>3.31</v>
      </c>
      <c r="AM339" s="136">
        <v>64.42</v>
      </c>
      <c r="AN339" s="131"/>
      <c r="AO339" s="131"/>
      <c r="AP339" s="131"/>
      <c r="AQ339" s="131"/>
      <c r="AR339" s="131"/>
      <c r="AS339" s="131"/>
      <c r="AT339" s="131"/>
      <c r="AU339" s="91"/>
      <c r="AV339" s="91"/>
      <c r="AW339" s="131"/>
      <c r="AX339" s="131"/>
      <c r="AY339" s="131"/>
    </row>
    <row r="340" spans="1:51" ht="15" x14ac:dyDescent="0.25">
      <c r="A340" s="123"/>
      <c r="B340" s="124"/>
      <c r="C340" s="125">
        <v>649589</v>
      </c>
      <c r="D340" s="89"/>
      <c r="E340" s="86" t="s">
        <v>3</v>
      </c>
      <c r="F340" s="86" t="s">
        <v>418</v>
      </c>
      <c r="H340" s="126" t="s">
        <v>51</v>
      </c>
      <c r="I340" s="89">
        <v>1</v>
      </c>
      <c r="J340" s="127">
        <v>40474.2399</v>
      </c>
      <c r="K340" s="127">
        <v>58399.96</v>
      </c>
      <c r="L340" s="127">
        <v>5992.9639999999999</v>
      </c>
      <c r="M340" s="127">
        <v>21037.239900000019</v>
      </c>
      <c r="N340" s="127">
        <v>48120.460000000006</v>
      </c>
      <c r="O340" s="127">
        <v>5151.4639999999999</v>
      </c>
      <c r="P340" s="128">
        <f t="shared" si="45"/>
        <v>0.51976862201679097</v>
      </c>
      <c r="Q340" s="128">
        <f t="shared" si="46"/>
        <v>0.82398104382263293</v>
      </c>
      <c r="R340" s="128">
        <f t="shared" si="47"/>
        <v>0.85958534040918655</v>
      </c>
      <c r="S340" s="129">
        <v>1</v>
      </c>
      <c r="T340" s="129">
        <v>1</v>
      </c>
      <c r="U340" s="129">
        <v>1</v>
      </c>
      <c r="V340" s="138">
        <f t="shared" si="48"/>
        <v>3</v>
      </c>
      <c r="W340" s="138">
        <f t="shared" si="49"/>
        <v>3</v>
      </c>
      <c r="X340" s="138">
        <f t="shared" si="50"/>
        <v>1</v>
      </c>
      <c r="Y340" s="138">
        <f t="shared" si="51"/>
        <v>3</v>
      </c>
      <c r="Z340" s="138">
        <f t="shared" si="52"/>
        <v>3</v>
      </c>
      <c r="AA340" s="138">
        <f t="shared" si="53"/>
        <v>1</v>
      </c>
      <c r="AB340" s="127" t="s">
        <v>32</v>
      </c>
      <c r="AC340" s="127"/>
      <c r="AD340" s="127"/>
      <c r="AE340" s="130"/>
      <c r="AF340" s="136">
        <v>12.26</v>
      </c>
      <c r="AG340" s="136">
        <v>11.33</v>
      </c>
      <c r="AH340" s="136">
        <v>28.04</v>
      </c>
      <c r="AI340" s="136">
        <v>5.99</v>
      </c>
      <c r="AJ340" s="136">
        <v>3</v>
      </c>
      <c r="AK340" s="136">
        <v>0.49</v>
      </c>
      <c r="AL340" s="136">
        <v>3.31</v>
      </c>
      <c r="AM340" s="136">
        <v>64.42</v>
      </c>
      <c r="AN340" s="131"/>
      <c r="AO340" s="131"/>
      <c r="AP340" s="131"/>
      <c r="AQ340" s="131"/>
      <c r="AR340" s="131"/>
      <c r="AS340" s="131"/>
      <c r="AT340" s="131"/>
      <c r="AU340" s="91"/>
      <c r="AV340" s="91"/>
      <c r="AW340" s="131"/>
      <c r="AX340" s="131"/>
      <c r="AY340" s="131"/>
    </row>
    <row r="341" spans="1:51" ht="15" x14ac:dyDescent="0.25">
      <c r="A341" s="123"/>
      <c r="B341" s="124"/>
      <c r="C341" s="125">
        <v>661969</v>
      </c>
      <c r="D341" s="89"/>
      <c r="E341" s="86" t="s">
        <v>3</v>
      </c>
      <c r="F341" s="86" t="s">
        <v>418</v>
      </c>
      <c r="H341" s="126" t="s">
        <v>51</v>
      </c>
      <c r="I341" s="89">
        <v>1</v>
      </c>
      <c r="J341" s="127">
        <v>40474.2399</v>
      </c>
      <c r="K341" s="127">
        <v>58399.96</v>
      </c>
      <c r="L341" s="127">
        <v>5992.9639999999999</v>
      </c>
      <c r="M341" s="127">
        <v>21037.239900000019</v>
      </c>
      <c r="N341" s="127">
        <v>48120.460000000006</v>
      </c>
      <c r="O341" s="127">
        <v>5151.4639999999999</v>
      </c>
      <c r="P341" s="128">
        <f t="shared" si="45"/>
        <v>0.51976862201679097</v>
      </c>
      <c r="Q341" s="128">
        <f t="shared" si="46"/>
        <v>0.82398104382263293</v>
      </c>
      <c r="R341" s="128">
        <f t="shared" si="47"/>
        <v>0.85958534040918655</v>
      </c>
      <c r="S341" s="129">
        <v>1</v>
      </c>
      <c r="T341" s="129">
        <v>1</v>
      </c>
      <c r="U341" s="129">
        <v>1</v>
      </c>
      <c r="V341" s="138">
        <f t="shared" si="48"/>
        <v>3</v>
      </c>
      <c r="W341" s="138">
        <f t="shared" si="49"/>
        <v>3</v>
      </c>
      <c r="X341" s="138">
        <f t="shared" si="50"/>
        <v>1</v>
      </c>
      <c r="Y341" s="138">
        <f t="shared" si="51"/>
        <v>3</v>
      </c>
      <c r="Z341" s="138">
        <f t="shared" si="52"/>
        <v>3</v>
      </c>
      <c r="AA341" s="138">
        <f t="shared" si="53"/>
        <v>1</v>
      </c>
      <c r="AB341" s="127" t="s">
        <v>32</v>
      </c>
      <c r="AC341" s="127"/>
      <c r="AD341" s="127"/>
      <c r="AE341" s="130"/>
      <c r="AF341" s="136">
        <v>12.26</v>
      </c>
      <c r="AG341" s="136">
        <v>11.33</v>
      </c>
      <c r="AH341" s="136">
        <v>28.04</v>
      </c>
      <c r="AI341" s="136">
        <v>5.99</v>
      </c>
      <c r="AJ341" s="136">
        <v>3</v>
      </c>
      <c r="AK341" s="136">
        <v>0.49</v>
      </c>
      <c r="AL341" s="136">
        <v>3.31</v>
      </c>
      <c r="AM341" s="136">
        <v>64.42</v>
      </c>
      <c r="AN341" s="131"/>
      <c r="AO341" s="131"/>
      <c r="AP341" s="131"/>
      <c r="AQ341" s="131"/>
      <c r="AR341" s="131"/>
      <c r="AS341" s="131"/>
      <c r="AT341" s="131"/>
      <c r="AU341" s="91"/>
      <c r="AV341" s="91"/>
      <c r="AW341" s="131"/>
      <c r="AX341" s="131"/>
      <c r="AY341" s="131"/>
    </row>
    <row r="342" spans="1:51" ht="15" x14ac:dyDescent="0.25">
      <c r="A342" s="123"/>
      <c r="B342" s="124"/>
      <c r="C342" s="125">
        <v>696482</v>
      </c>
      <c r="D342" s="89"/>
      <c r="E342" s="86" t="s">
        <v>3</v>
      </c>
      <c r="F342" s="86" t="s">
        <v>418</v>
      </c>
      <c r="H342" s="126" t="s">
        <v>51</v>
      </c>
      <c r="I342" s="89">
        <v>1</v>
      </c>
      <c r="J342" s="127">
        <v>40474.2399</v>
      </c>
      <c r="K342" s="127">
        <v>58399.96</v>
      </c>
      <c r="L342" s="127">
        <v>5992.9639999999999</v>
      </c>
      <c r="M342" s="127">
        <v>21037.239900000019</v>
      </c>
      <c r="N342" s="127">
        <v>48120.460000000006</v>
      </c>
      <c r="O342" s="127">
        <v>5151.4639999999999</v>
      </c>
      <c r="P342" s="128">
        <f t="shared" si="45"/>
        <v>0.51976862201679097</v>
      </c>
      <c r="Q342" s="128">
        <f t="shared" si="46"/>
        <v>0.82398104382263293</v>
      </c>
      <c r="R342" s="128">
        <f t="shared" si="47"/>
        <v>0.85958534040918655</v>
      </c>
      <c r="S342" s="129">
        <v>1</v>
      </c>
      <c r="T342" s="129">
        <v>1</v>
      </c>
      <c r="U342" s="129">
        <v>1</v>
      </c>
      <c r="V342" s="138">
        <f t="shared" si="48"/>
        <v>3</v>
      </c>
      <c r="W342" s="138">
        <f t="shared" si="49"/>
        <v>3</v>
      </c>
      <c r="X342" s="138">
        <f t="shared" si="50"/>
        <v>1</v>
      </c>
      <c r="Y342" s="138">
        <f t="shared" si="51"/>
        <v>3</v>
      </c>
      <c r="Z342" s="138">
        <f t="shared" si="52"/>
        <v>3</v>
      </c>
      <c r="AA342" s="138">
        <f t="shared" si="53"/>
        <v>1</v>
      </c>
      <c r="AB342" s="127" t="s">
        <v>32</v>
      </c>
      <c r="AC342" s="127"/>
      <c r="AD342" s="127"/>
      <c r="AE342" s="130"/>
      <c r="AF342" s="136">
        <v>12.26</v>
      </c>
      <c r="AG342" s="136">
        <v>11.33</v>
      </c>
      <c r="AH342" s="136">
        <v>28.04</v>
      </c>
      <c r="AI342" s="136">
        <v>5.99</v>
      </c>
      <c r="AJ342" s="136">
        <v>3</v>
      </c>
      <c r="AK342" s="136">
        <v>0.49</v>
      </c>
      <c r="AL342" s="136">
        <v>3.31</v>
      </c>
      <c r="AM342" s="136">
        <v>64.42</v>
      </c>
      <c r="AN342" s="131"/>
      <c r="AO342" s="131"/>
      <c r="AP342" s="131"/>
      <c r="AQ342" s="131"/>
      <c r="AR342" s="131"/>
      <c r="AS342" s="131"/>
      <c r="AT342" s="131"/>
      <c r="AU342" s="91"/>
      <c r="AV342" s="91"/>
      <c r="AW342" s="131"/>
      <c r="AX342" s="131"/>
      <c r="AY342" s="131"/>
    </row>
    <row r="343" spans="1:51" ht="15" x14ac:dyDescent="0.25">
      <c r="A343" s="123"/>
      <c r="B343" s="124"/>
      <c r="C343" s="125">
        <v>699290</v>
      </c>
      <c r="D343" s="89"/>
      <c r="E343" s="86" t="s">
        <v>3</v>
      </c>
      <c r="F343" s="86" t="s">
        <v>418</v>
      </c>
      <c r="H343" s="126" t="s">
        <v>51</v>
      </c>
      <c r="I343" s="89">
        <v>1</v>
      </c>
      <c r="J343" s="127">
        <v>40474.2399</v>
      </c>
      <c r="K343" s="127">
        <v>58399.96</v>
      </c>
      <c r="L343" s="127">
        <v>5992.9639999999999</v>
      </c>
      <c r="M343" s="127">
        <v>21037.239900000019</v>
      </c>
      <c r="N343" s="127">
        <v>48120.460000000006</v>
      </c>
      <c r="O343" s="127">
        <v>5151.4639999999999</v>
      </c>
      <c r="P343" s="128">
        <f t="shared" si="45"/>
        <v>0.51976862201679097</v>
      </c>
      <c r="Q343" s="128">
        <f t="shared" si="46"/>
        <v>0.82398104382263293</v>
      </c>
      <c r="R343" s="128">
        <f t="shared" si="47"/>
        <v>0.85958534040918655</v>
      </c>
      <c r="S343" s="129">
        <v>1</v>
      </c>
      <c r="T343" s="129">
        <v>1</v>
      </c>
      <c r="U343" s="129">
        <v>1</v>
      </c>
      <c r="V343" s="138">
        <f t="shared" si="48"/>
        <v>3</v>
      </c>
      <c r="W343" s="138">
        <f t="shared" si="49"/>
        <v>3</v>
      </c>
      <c r="X343" s="138">
        <f t="shared" si="50"/>
        <v>1</v>
      </c>
      <c r="Y343" s="138">
        <f t="shared" si="51"/>
        <v>3</v>
      </c>
      <c r="Z343" s="138">
        <f t="shared" si="52"/>
        <v>3</v>
      </c>
      <c r="AA343" s="138">
        <f t="shared" si="53"/>
        <v>1</v>
      </c>
      <c r="AB343" s="127" t="s">
        <v>32</v>
      </c>
      <c r="AC343" s="127"/>
      <c r="AD343" s="127"/>
      <c r="AE343" s="130"/>
      <c r="AF343" s="136">
        <v>12.26</v>
      </c>
      <c r="AG343" s="136">
        <v>11.33</v>
      </c>
      <c r="AH343" s="136">
        <v>28.04</v>
      </c>
      <c r="AI343" s="136">
        <v>5.99</v>
      </c>
      <c r="AJ343" s="136">
        <v>3</v>
      </c>
      <c r="AK343" s="136">
        <v>0.49</v>
      </c>
      <c r="AL343" s="136">
        <v>3.31</v>
      </c>
      <c r="AM343" s="136">
        <v>64.42</v>
      </c>
      <c r="AN343" s="131"/>
      <c r="AO343" s="131"/>
      <c r="AP343" s="131"/>
      <c r="AQ343" s="131"/>
      <c r="AR343" s="131"/>
      <c r="AS343" s="131"/>
      <c r="AT343" s="131"/>
      <c r="AU343" s="91"/>
      <c r="AV343" s="91"/>
      <c r="AW343" s="131"/>
      <c r="AX343" s="131"/>
      <c r="AY343" s="131"/>
    </row>
    <row r="344" spans="1:51" ht="15" x14ac:dyDescent="0.25">
      <c r="A344" s="123"/>
      <c r="B344" s="124"/>
      <c r="C344" s="125">
        <v>710330</v>
      </c>
      <c r="D344" s="89"/>
      <c r="E344" s="86" t="s">
        <v>3</v>
      </c>
      <c r="F344" s="86" t="s">
        <v>418</v>
      </c>
      <c r="H344" s="126" t="s">
        <v>51</v>
      </c>
      <c r="I344" s="89">
        <v>1</v>
      </c>
      <c r="J344" s="127">
        <v>40474.2399</v>
      </c>
      <c r="K344" s="127">
        <v>58399.96</v>
      </c>
      <c r="L344" s="127">
        <v>5992.9639999999999</v>
      </c>
      <c r="M344" s="127">
        <v>21037.239900000019</v>
      </c>
      <c r="N344" s="127">
        <v>48120.460000000006</v>
      </c>
      <c r="O344" s="127">
        <v>5151.4639999999999</v>
      </c>
      <c r="P344" s="128">
        <f t="shared" si="45"/>
        <v>0.51976862201679097</v>
      </c>
      <c r="Q344" s="128">
        <f t="shared" si="46"/>
        <v>0.82398104382263293</v>
      </c>
      <c r="R344" s="128">
        <f t="shared" si="47"/>
        <v>0.85958534040918655</v>
      </c>
      <c r="S344" s="129">
        <v>1</v>
      </c>
      <c r="T344" s="129">
        <v>1</v>
      </c>
      <c r="U344" s="129">
        <v>1</v>
      </c>
      <c r="V344" s="138">
        <f t="shared" si="48"/>
        <v>3</v>
      </c>
      <c r="W344" s="138">
        <f t="shared" si="49"/>
        <v>3</v>
      </c>
      <c r="X344" s="138">
        <f t="shared" si="50"/>
        <v>1</v>
      </c>
      <c r="Y344" s="138">
        <f t="shared" si="51"/>
        <v>3</v>
      </c>
      <c r="Z344" s="138">
        <f t="shared" si="52"/>
        <v>3</v>
      </c>
      <c r="AA344" s="138">
        <f t="shared" si="53"/>
        <v>1</v>
      </c>
      <c r="AB344" s="127" t="s">
        <v>32</v>
      </c>
      <c r="AC344" s="127"/>
      <c r="AD344" s="127"/>
      <c r="AE344" s="130"/>
      <c r="AF344" s="136">
        <v>12.26</v>
      </c>
      <c r="AG344" s="136">
        <v>11.33</v>
      </c>
      <c r="AH344" s="136">
        <v>28.04</v>
      </c>
      <c r="AI344" s="136">
        <v>5.99</v>
      </c>
      <c r="AJ344" s="136">
        <v>3</v>
      </c>
      <c r="AK344" s="136">
        <v>0.49</v>
      </c>
      <c r="AL344" s="136">
        <v>3.31</v>
      </c>
      <c r="AM344" s="136">
        <v>64.42</v>
      </c>
      <c r="AN344" s="131"/>
      <c r="AO344" s="131"/>
      <c r="AP344" s="131"/>
      <c r="AQ344" s="131"/>
      <c r="AR344" s="131"/>
      <c r="AS344" s="131"/>
      <c r="AT344" s="131"/>
      <c r="AU344" s="91"/>
      <c r="AV344" s="91"/>
      <c r="AW344" s="131"/>
      <c r="AX344" s="131"/>
      <c r="AY344" s="131"/>
    </row>
    <row r="345" spans="1:51" ht="15" x14ac:dyDescent="0.25">
      <c r="A345" s="123"/>
      <c r="B345" s="124"/>
      <c r="C345" s="125">
        <v>741628</v>
      </c>
      <c r="D345" s="89"/>
      <c r="E345" s="86" t="s">
        <v>3</v>
      </c>
      <c r="F345" s="86" t="s">
        <v>418</v>
      </c>
      <c r="H345" s="126" t="s">
        <v>50</v>
      </c>
      <c r="I345" s="89">
        <v>1</v>
      </c>
      <c r="J345" s="127">
        <v>40474.2399</v>
      </c>
      <c r="K345" s="127">
        <v>58399.96</v>
      </c>
      <c r="L345" s="127">
        <v>5992.9639999999999</v>
      </c>
      <c r="M345" s="127">
        <v>21037.239900000019</v>
      </c>
      <c r="N345" s="127">
        <v>48120.460000000006</v>
      </c>
      <c r="O345" s="127">
        <v>5151.4639999999999</v>
      </c>
      <c r="P345" s="128">
        <f t="shared" si="45"/>
        <v>0.51976862201679097</v>
      </c>
      <c r="Q345" s="128">
        <f t="shared" si="46"/>
        <v>0.82398104382263293</v>
      </c>
      <c r="R345" s="128">
        <f t="shared" si="47"/>
        <v>0.85958534040918655</v>
      </c>
      <c r="S345" s="129">
        <v>0</v>
      </c>
      <c r="T345" s="129">
        <v>0</v>
      </c>
      <c r="U345" s="129">
        <v>0</v>
      </c>
      <c r="V345" s="138">
        <f t="shared" si="48"/>
        <v>3</v>
      </c>
      <c r="W345" s="138">
        <f t="shared" si="49"/>
        <v>3</v>
      </c>
      <c r="X345" s="138">
        <f t="shared" si="50"/>
        <v>1</v>
      </c>
      <c r="Y345" s="138">
        <f t="shared" si="51"/>
        <v>0</v>
      </c>
      <c r="Z345" s="138">
        <f t="shared" si="52"/>
        <v>0</v>
      </c>
      <c r="AA345" s="138">
        <f t="shared" si="53"/>
        <v>0</v>
      </c>
      <c r="AB345" s="127" t="s">
        <v>32</v>
      </c>
      <c r="AC345" s="127"/>
      <c r="AD345" s="127"/>
      <c r="AE345" s="130"/>
      <c r="AF345" s="136">
        <v>0</v>
      </c>
      <c r="AG345" s="136">
        <v>0</v>
      </c>
      <c r="AH345" s="136">
        <v>0</v>
      </c>
      <c r="AI345" s="136">
        <v>0</v>
      </c>
      <c r="AJ345" s="136">
        <v>0</v>
      </c>
      <c r="AK345" s="136">
        <v>0</v>
      </c>
      <c r="AL345" s="136">
        <v>0</v>
      </c>
      <c r="AM345" s="136">
        <v>0</v>
      </c>
      <c r="AN345" s="131"/>
      <c r="AO345" s="131"/>
      <c r="AP345" s="131"/>
      <c r="AQ345" s="131"/>
      <c r="AR345" s="131"/>
      <c r="AS345" s="131"/>
      <c r="AT345" s="131"/>
      <c r="AU345" s="91"/>
      <c r="AV345" s="91"/>
      <c r="AW345" s="131"/>
      <c r="AX345" s="131"/>
      <c r="AY345" s="131"/>
    </row>
    <row r="346" spans="1:51" ht="15" x14ac:dyDescent="0.25">
      <c r="A346" s="123"/>
      <c r="B346" s="124"/>
      <c r="C346" s="125">
        <v>750456</v>
      </c>
      <c r="D346" s="89"/>
      <c r="E346" s="86" t="s">
        <v>3</v>
      </c>
      <c r="F346" s="86" t="s">
        <v>418</v>
      </c>
      <c r="H346" s="126" t="s">
        <v>51</v>
      </c>
      <c r="I346" s="89">
        <v>1</v>
      </c>
      <c r="J346" s="127">
        <v>40474.2399</v>
      </c>
      <c r="K346" s="127">
        <v>58399.96</v>
      </c>
      <c r="L346" s="127">
        <v>5992.9639999999999</v>
      </c>
      <c r="M346" s="127">
        <v>21037.239900000019</v>
      </c>
      <c r="N346" s="127">
        <v>48120.460000000006</v>
      </c>
      <c r="O346" s="127">
        <v>5151.4639999999999</v>
      </c>
      <c r="P346" s="128">
        <f t="shared" si="45"/>
        <v>0.51976862201679097</v>
      </c>
      <c r="Q346" s="128">
        <f t="shared" si="46"/>
        <v>0.82398104382263293</v>
      </c>
      <c r="R346" s="128">
        <f t="shared" si="47"/>
        <v>0.85958534040918655</v>
      </c>
      <c r="S346" s="129">
        <v>1</v>
      </c>
      <c r="T346" s="129">
        <v>1</v>
      </c>
      <c r="U346" s="129">
        <v>1</v>
      </c>
      <c r="V346" s="138">
        <f t="shared" si="48"/>
        <v>3</v>
      </c>
      <c r="W346" s="138">
        <f t="shared" si="49"/>
        <v>3</v>
      </c>
      <c r="X346" s="138">
        <f t="shared" si="50"/>
        <v>1</v>
      </c>
      <c r="Y346" s="138">
        <f t="shared" si="51"/>
        <v>3</v>
      </c>
      <c r="Z346" s="138">
        <f t="shared" si="52"/>
        <v>3</v>
      </c>
      <c r="AA346" s="138">
        <f t="shared" si="53"/>
        <v>1</v>
      </c>
      <c r="AB346" s="127" t="s">
        <v>32</v>
      </c>
      <c r="AC346" s="127"/>
      <c r="AD346" s="127"/>
      <c r="AE346" s="130"/>
      <c r="AF346" s="136">
        <v>12.26</v>
      </c>
      <c r="AG346" s="136">
        <v>11.33</v>
      </c>
      <c r="AH346" s="136">
        <v>28.04</v>
      </c>
      <c r="AI346" s="136">
        <v>5.99</v>
      </c>
      <c r="AJ346" s="136">
        <v>3</v>
      </c>
      <c r="AK346" s="136">
        <v>0.49</v>
      </c>
      <c r="AL346" s="136">
        <v>3.31</v>
      </c>
      <c r="AM346" s="136">
        <v>64.42</v>
      </c>
      <c r="AN346" s="131"/>
      <c r="AO346" s="131"/>
      <c r="AP346" s="131"/>
      <c r="AQ346" s="131"/>
      <c r="AR346" s="131"/>
      <c r="AS346" s="131"/>
      <c r="AT346" s="131"/>
      <c r="AU346" s="91"/>
      <c r="AV346" s="91"/>
      <c r="AW346" s="131"/>
      <c r="AX346" s="131"/>
      <c r="AY346" s="131"/>
    </row>
    <row r="347" spans="1:51" ht="15" x14ac:dyDescent="0.25">
      <c r="A347" s="123"/>
      <c r="B347" s="124"/>
      <c r="C347" s="125">
        <v>753592</v>
      </c>
      <c r="D347" s="89"/>
      <c r="E347" s="86" t="s">
        <v>3</v>
      </c>
      <c r="F347" s="86" t="s">
        <v>418</v>
      </c>
      <c r="H347" s="126" t="s">
        <v>51</v>
      </c>
      <c r="I347" s="89">
        <v>1</v>
      </c>
      <c r="J347" s="127">
        <v>40474.2399</v>
      </c>
      <c r="K347" s="127">
        <v>58399.96</v>
      </c>
      <c r="L347" s="127">
        <v>5992.9639999999999</v>
      </c>
      <c r="M347" s="127">
        <v>21037.239900000019</v>
      </c>
      <c r="N347" s="127">
        <v>48120.460000000006</v>
      </c>
      <c r="O347" s="127">
        <v>5151.4639999999999</v>
      </c>
      <c r="P347" s="128">
        <f t="shared" si="45"/>
        <v>0.51976862201679097</v>
      </c>
      <c r="Q347" s="128">
        <f t="shared" si="46"/>
        <v>0.82398104382263293</v>
      </c>
      <c r="R347" s="128">
        <f t="shared" si="47"/>
        <v>0.85958534040918655</v>
      </c>
      <c r="S347" s="129">
        <v>1</v>
      </c>
      <c r="T347" s="129">
        <v>1</v>
      </c>
      <c r="U347" s="129">
        <v>1</v>
      </c>
      <c r="V347" s="138">
        <f t="shared" si="48"/>
        <v>3</v>
      </c>
      <c r="W347" s="138">
        <f t="shared" si="49"/>
        <v>3</v>
      </c>
      <c r="X347" s="138">
        <f t="shared" si="50"/>
        <v>1</v>
      </c>
      <c r="Y347" s="138">
        <f t="shared" si="51"/>
        <v>3</v>
      </c>
      <c r="Z347" s="138">
        <f t="shared" si="52"/>
        <v>3</v>
      </c>
      <c r="AA347" s="138">
        <f t="shared" si="53"/>
        <v>1</v>
      </c>
      <c r="AB347" s="127" t="s">
        <v>32</v>
      </c>
      <c r="AC347" s="127"/>
      <c r="AD347" s="127"/>
      <c r="AE347" s="130"/>
      <c r="AF347" s="136">
        <v>12.26</v>
      </c>
      <c r="AG347" s="136">
        <v>11.33</v>
      </c>
      <c r="AH347" s="136">
        <v>28.04</v>
      </c>
      <c r="AI347" s="136">
        <v>5.99</v>
      </c>
      <c r="AJ347" s="136">
        <v>3</v>
      </c>
      <c r="AK347" s="136">
        <v>0.49</v>
      </c>
      <c r="AL347" s="136">
        <v>3.31</v>
      </c>
      <c r="AM347" s="136">
        <v>64.42</v>
      </c>
      <c r="AN347" s="131"/>
      <c r="AO347" s="131"/>
      <c r="AP347" s="131"/>
      <c r="AQ347" s="131"/>
      <c r="AR347" s="131"/>
      <c r="AS347" s="131"/>
      <c r="AT347" s="131"/>
      <c r="AU347" s="91"/>
      <c r="AV347" s="91"/>
      <c r="AW347" s="131"/>
      <c r="AX347" s="131"/>
      <c r="AY347" s="131"/>
    </row>
    <row r="348" spans="1:51" ht="15" x14ac:dyDescent="0.25">
      <c r="A348" s="123"/>
      <c r="B348" s="124"/>
      <c r="C348" s="125">
        <v>765293</v>
      </c>
      <c r="D348" s="89"/>
      <c r="E348" s="86" t="s">
        <v>3</v>
      </c>
      <c r="F348" s="86" t="s">
        <v>418</v>
      </c>
      <c r="H348" s="126" t="s">
        <v>51</v>
      </c>
      <c r="I348" s="89">
        <v>1</v>
      </c>
      <c r="J348" s="127">
        <v>40474.2399</v>
      </c>
      <c r="K348" s="127">
        <v>58399.96</v>
      </c>
      <c r="L348" s="127">
        <v>5992.9639999999999</v>
      </c>
      <c r="M348" s="127">
        <v>21037.239900000019</v>
      </c>
      <c r="N348" s="127">
        <v>48120.460000000006</v>
      </c>
      <c r="O348" s="127">
        <v>5151.4639999999999</v>
      </c>
      <c r="P348" s="128">
        <f t="shared" si="45"/>
        <v>0.51976862201679097</v>
      </c>
      <c r="Q348" s="128">
        <f t="shared" si="46"/>
        <v>0.82398104382263293</v>
      </c>
      <c r="R348" s="128">
        <f t="shared" si="47"/>
        <v>0.85958534040918655</v>
      </c>
      <c r="S348" s="129">
        <v>1</v>
      </c>
      <c r="T348" s="129">
        <v>1</v>
      </c>
      <c r="U348" s="129">
        <v>1</v>
      </c>
      <c r="V348" s="138">
        <f t="shared" si="48"/>
        <v>3</v>
      </c>
      <c r="W348" s="138">
        <f t="shared" si="49"/>
        <v>3</v>
      </c>
      <c r="X348" s="138">
        <f t="shared" si="50"/>
        <v>1</v>
      </c>
      <c r="Y348" s="138">
        <f t="shared" si="51"/>
        <v>3</v>
      </c>
      <c r="Z348" s="138">
        <f t="shared" si="52"/>
        <v>3</v>
      </c>
      <c r="AA348" s="138">
        <f t="shared" si="53"/>
        <v>1</v>
      </c>
      <c r="AB348" s="127" t="s">
        <v>32</v>
      </c>
      <c r="AC348" s="127"/>
      <c r="AD348" s="127"/>
      <c r="AE348" s="130"/>
      <c r="AF348" s="136">
        <v>12.26</v>
      </c>
      <c r="AG348" s="136">
        <v>11.33</v>
      </c>
      <c r="AH348" s="136">
        <v>28.04</v>
      </c>
      <c r="AI348" s="136">
        <v>5.99</v>
      </c>
      <c r="AJ348" s="136">
        <v>3</v>
      </c>
      <c r="AK348" s="136">
        <v>0.49</v>
      </c>
      <c r="AL348" s="136">
        <v>3.31</v>
      </c>
      <c r="AM348" s="136">
        <v>64.42</v>
      </c>
      <c r="AN348" s="131"/>
      <c r="AO348" s="131"/>
      <c r="AP348" s="131"/>
      <c r="AQ348" s="131"/>
      <c r="AR348" s="131"/>
      <c r="AS348" s="131"/>
      <c r="AT348" s="131"/>
      <c r="AU348" s="91"/>
      <c r="AV348" s="91"/>
      <c r="AW348" s="131"/>
      <c r="AX348" s="131"/>
      <c r="AY348" s="131"/>
    </row>
    <row r="349" spans="1:51" ht="15" x14ac:dyDescent="0.25">
      <c r="A349" s="123"/>
      <c r="B349" s="124"/>
      <c r="C349" s="125">
        <v>808710</v>
      </c>
      <c r="D349" s="89"/>
      <c r="E349" s="86" t="s">
        <v>3</v>
      </c>
      <c r="F349" s="86" t="s">
        <v>418</v>
      </c>
      <c r="H349" s="126" t="s">
        <v>51</v>
      </c>
      <c r="I349" s="89">
        <v>1</v>
      </c>
      <c r="J349" s="127">
        <v>40474.2399</v>
      </c>
      <c r="K349" s="127">
        <v>58399.96</v>
      </c>
      <c r="L349" s="127">
        <v>5992.9639999999999</v>
      </c>
      <c r="M349" s="127">
        <v>21037.239900000019</v>
      </c>
      <c r="N349" s="127">
        <v>48120.460000000006</v>
      </c>
      <c r="O349" s="127">
        <v>5151.4639999999999</v>
      </c>
      <c r="P349" s="128">
        <f t="shared" si="45"/>
        <v>0.51976862201679097</v>
      </c>
      <c r="Q349" s="128">
        <f t="shared" si="46"/>
        <v>0.82398104382263293</v>
      </c>
      <c r="R349" s="128">
        <f t="shared" si="47"/>
        <v>0.85958534040918655</v>
      </c>
      <c r="S349" s="129">
        <v>1</v>
      </c>
      <c r="T349" s="129">
        <v>1</v>
      </c>
      <c r="U349" s="129">
        <v>1</v>
      </c>
      <c r="V349" s="138">
        <f t="shared" si="48"/>
        <v>3</v>
      </c>
      <c r="W349" s="138">
        <f t="shared" si="49"/>
        <v>3</v>
      </c>
      <c r="X349" s="138">
        <f t="shared" si="50"/>
        <v>1</v>
      </c>
      <c r="Y349" s="138">
        <f t="shared" si="51"/>
        <v>3</v>
      </c>
      <c r="Z349" s="138">
        <f t="shared" si="52"/>
        <v>3</v>
      </c>
      <c r="AA349" s="138">
        <f t="shared" si="53"/>
        <v>1</v>
      </c>
      <c r="AB349" s="127" t="s">
        <v>32</v>
      </c>
      <c r="AC349" s="127"/>
      <c r="AD349" s="127"/>
      <c r="AE349" s="130"/>
      <c r="AF349" s="136">
        <v>12.26</v>
      </c>
      <c r="AG349" s="136">
        <v>11.33</v>
      </c>
      <c r="AH349" s="136">
        <v>28.04</v>
      </c>
      <c r="AI349" s="136">
        <v>5.99</v>
      </c>
      <c r="AJ349" s="136">
        <v>3</v>
      </c>
      <c r="AK349" s="136">
        <v>0.49</v>
      </c>
      <c r="AL349" s="136">
        <v>3.31</v>
      </c>
      <c r="AM349" s="136">
        <v>64.42</v>
      </c>
      <c r="AN349" s="131"/>
      <c r="AO349" s="131"/>
      <c r="AP349" s="131"/>
      <c r="AQ349" s="131"/>
      <c r="AR349" s="131"/>
      <c r="AS349" s="131"/>
      <c r="AT349" s="131"/>
      <c r="AU349" s="91"/>
      <c r="AV349" s="91"/>
      <c r="AW349" s="131"/>
      <c r="AX349" s="131"/>
      <c r="AY349" s="131"/>
    </row>
    <row r="350" spans="1:51" ht="15" x14ac:dyDescent="0.25">
      <c r="A350" s="123"/>
      <c r="B350" s="124"/>
      <c r="C350" s="125">
        <v>830413</v>
      </c>
      <c r="D350" s="89"/>
      <c r="E350" s="86" t="s">
        <v>3</v>
      </c>
      <c r="F350" s="86" t="s">
        <v>418</v>
      </c>
      <c r="H350" s="126" t="s">
        <v>51</v>
      </c>
      <c r="I350" s="89">
        <v>1</v>
      </c>
      <c r="J350" s="127">
        <v>40474.2399</v>
      </c>
      <c r="K350" s="127">
        <v>58399.96</v>
      </c>
      <c r="L350" s="127">
        <v>5992.9639999999999</v>
      </c>
      <c r="M350" s="127">
        <v>21037.239900000019</v>
      </c>
      <c r="N350" s="127">
        <v>48120.460000000006</v>
      </c>
      <c r="O350" s="127">
        <v>5151.4639999999999</v>
      </c>
      <c r="P350" s="128">
        <f t="shared" si="45"/>
        <v>0.51976862201679097</v>
      </c>
      <c r="Q350" s="128">
        <f t="shared" si="46"/>
        <v>0.82398104382263293</v>
      </c>
      <c r="R350" s="128">
        <f t="shared" si="47"/>
        <v>0.85958534040918655</v>
      </c>
      <c r="S350" s="129">
        <v>1</v>
      </c>
      <c r="T350" s="129">
        <v>1</v>
      </c>
      <c r="U350" s="129">
        <v>1</v>
      </c>
      <c r="V350" s="138">
        <f t="shared" si="48"/>
        <v>3</v>
      </c>
      <c r="W350" s="138">
        <f t="shared" si="49"/>
        <v>3</v>
      </c>
      <c r="X350" s="138">
        <f t="shared" si="50"/>
        <v>1</v>
      </c>
      <c r="Y350" s="138">
        <f t="shared" si="51"/>
        <v>3</v>
      </c>
      <c r="Z350" s="138">
        <f t="shared" si="52"/>
        <v>3</v>
      </c>
      <c r="AA350" s="138">
        <f t="shared" si="53"/>
        <v>1</v>
      </c>
      <c r="AB350" s="127" t="s">
        <v>32</v>
      </c>
      <c r="AC350" s="127"/>
      <c r="AD350" s="127"/>
      <c r="AE350" s="130"/>
      <c r="AF350" s="136">
        <v>12.26</v>
      </c>
      <c r="AG350" s="136">
        <v>11.33</v>
      </c>
      <c r="AH350" s="136">
        <v>28.04</v>
      </c>
      <c r="AI350" s="136">
        <v>5.99</v>
      </c>
      <c r="AJ350" s="136">
        <v>3</v>
      </c>
      <c r="AK350" s="136">
        <v>0.49</v>
      </c>
      <c r="AL350" s="136">
        <v>3.31</v>
      </c>
      <c r="AM350" s="136">
        <v>64.42</v>
      </c>
      <c r="AN350" s="131"/>
      <c r="AO350" s="131"/>
      <c r="AP350" s="131"/>
      <c r="AQ350" s="131"/>
      <c r="AR350" s="131"/>
      <c r="AS350" s="131"/>
      <c r="AT350" s="131"/>
      <c r="AU350" s="91"/>
      <c r="AV350" s="91"/>
      <c r="AW350" s="131"/>
      <c r="AX350" s="131"/>
      <c r="AY350" s="131"/>
    </row>
    <row r="351" spans="1:51" ht="15" x14ac:dyDescent="0.25">
      <c r="A351" s="123"/>
      <c r="B351" s="124"/>
      <c r="C351" s="125">
        <v>853892</v>
      </c>
      <c r="D351" s="89"/>
      <c r="E351" s="86" t="s">
        <v>3</v>
      </c>
      <c r="F351" s="86" t="s">
        <v>418</v>
      </c>
      <c r="H351" s="126" t="s">
        <v>51</v>
      </c>
      <c r="I351" s="89">
        <v>1</v>
      </c>
      <c r="J351" s="127">
        <v>40474.2399</v>
      </c>
      <c r="K351" s="127">
        <v>58399.96</v>
      </c>
      <c r="L351" s="127">
        <v>5992.9639999999999</v>
      </c>
      <c r="M351" s="127">
        <v>21037.239900000019</v>
      </c>
      <c r="N351" s="127">
        <v>48120.460000000006</v>
      </c>
      <c r="O351" s="127">
        <v>5151.4639999999999</v>
      </c>
      <c r="P351" s="128">
        <f t="shared" si="45"/>
        <v>0.51976862201679097</v>
      </c>
      <c r="Q351" s="128">
        <f t="shared" si="46"/>
        <v>0.82398104382263293</v>
      </c>
      <c r="R351" s="128">
        <f t="shared" si="47"/>
        <v>0.85958534040918655</v>
      </c>
      <c r="S351" s="129">
        <v>1</v>
      </c>
      <c r="T351" s="129">
        <v>1</v>
      </c>
      <c r="U351" s="129">
        <v>1</v>
      </c>
      <c r="V351" s="138">
        <f t="shared" si="48"/>
        <v>3</v>
      </c>
      <c r="W351" s="138">
        <f t="shared" si="49"/>
        <v>3</v>
      </c>
      <c r="X351" s="138">
        <f t="shared" si="50"/>
        <v>1</v>
      </c>
      <c r="Y351" s="138">
        <f t="shared" si="51"/>
        <v>3</v>
      </c>
      <c r="Z351" s="138">
        <f t="shared" si="52"/>
        <v>3</v>
      </c>
      <c r="AA351" s="138">
        <f t="shared" si="53"/>
        <v>1</v>
      </c>
      <c r="AB351" s="127" t="s">
        <v>32</v>
      </c>
      <c r="AC351" s="127"/>
      <c r="AD351" s="127"/>
      <c r="AE351" s="130"/>
      <c r="AF351" s="136">
        <v>12.26</v>
      </c>
      <c r="AG351" s="136">
        <v>11.33</v>
      </c>
      <c r="AH351" s="136">
        <v>28.04</v>
      </c>
      <c r="AI351" s="136">
        <v>5.99</v>
      </c>
      <c r="AJ351" s="136">
        <v>3</v>
      </c>
      <c r="AK351" s="136">
        <v>0.49</v>
      </c>
      <c r="AL351" s="136">
        <v>3.31</v>
      </c>
      <c r="AM351" s="136">
        <v>64.42</v>
      </c>
      <c r="AN351" s="131"/>
      <c r="AO351" s="131"/>
      <c r="AP351" s="131"/>
      <c r="AQ351" s="131"/>
      <c r="AR351" s="131"/>
      <c r="AS351" s="131"/>
      <c r="AT351" s="131"/>
      <c r="AU351" s="91"/>
      <c r="AV351" s="91"/>
      <c r="AW351" s="131"/>
      <c r="AX351" s="131"/>
      <c r="AY351" s="131"/>
    </row>
    <row r="352" spans="1:51" ht="15" x14ac:dyDescent="0.25">
      <c r="A352" s="123"/>
      <c r="B352" s="124"/>
      <c r="C352" s="125">
        <v>857030</v>
      </c>
      <c r="D352" s="89"/>
      <c r="E352" s="86" t="s">
        <v>3</v>
      </c>
      <c r="F352" s="86" t="s">
        <v>418</v>
      </c>
      <c r="H352" s="126" t="s">
        <v>51</v>
      </c>
      <c r="I352" s="89">
        <v>1</v>
      </c>
      <c r="J352" s="127">
        <v>40474.2399</v>
      </c>
      <c r="K352" s="127">
        <v>58399.96</v>
      </c>
      <c r="L352" s="127">
        <v>5992.9639999999999</v>
      </c>
      <c r="M352" s="127">
        <v>21037.239900000019</v>
      </c>
      <c r="N352" s="127">
        <v>48120.460000000006</v>
      </c>
      <c r="O352" s="127">
        <v>5151.4639999999999</v>
      </c>
      <c r="P352" s="128">
        <f t="shared" si="45"/>
        <v>0.51976862201679097</v>
      </c>
      <c r="Q352" s="128">
        <f t="shared" si="46"/>
        <v>0.82398104382263293</v>
      </c>
      <c r="R352" s="128">
        <f t="shared" si="47"/>
        <v>0.85958534040918655</v>
      </c>
      <c r="S352" s="129">
        <v>1</v>
      </c>
      <c r="T352" s="129">
        <v>1</v>
      </c>
      <c r="U352" s="129">
        <v>1</v>
      </c>
      <c r="V352" s="138">
        <f t="shared" si="48"/>
        <v>3</v>
      </c>
      <c r="W352" s="138">
        <f t="shared" si="49"/>
        <v>3</v>
      </c>
      <c r="X352" s="138">
        <f t="shared" si="50"/>
        <v>1</v>
      </c>
      <c r="Y352" s="138">
        <f t="shared" si="51"/>
        <v>3</v>
      </c>
      <c r="Z352" s="138">
        <f t="shared" si="52"/>
        <v>3</v>
      </c>
      <c r="AA352" s="138">
        <f t="shared" si="53"/>
        <v>1</v>
      </c>
      <c r="AB352" s="127" t="s">
        <v>32</v>
      </c>
      <c r="AC352" s="127"/>
      <c r="AD352" s="127"/>
      <c r="AE352" s="130"/>
      <c r="AF352" s="136">
        <v>12.26</v>
      </c>
      <c r="AG352" s="136">
        <v>11.33</v>
      </c>
      <c r="AH352" s="136">
        <v>28.04</v>
      </c>
      <c r="AI352" s="136">
        <v>5.99</v>
      </c>
      <c r="AJ352" s="136">
        <v>3</v>
      </c>
      <c r="AK352" s="136">
        <v>0.49</v>
      </c>
      <c r="AL352" s="136">
        <v>3.31</v>
      </c>
      <c r="AM352" s="136">
        <v>64.42</v>
      </c>
      <c r="AN352" s="131"/>
      <c r="AO352" s="131"/>
      <c r="AP352" s="131"/>
      <c r="AQ352" s="131"/>
      <c r="AR352" s="131"/>
      <c r="AS352" s="131"/>
      <c r="AT352" s="131"/>
      <c r="AU352" s="91"/>
      <c r="AV352" s="91"/>
      <c r="AW352" s="131"/>
      <c r="AX352" s="131"/>
      <c r="AY352" s="131"/>
    </row>
    <row r="353" spans="1:51" ht="15" x14ac:dyDescent="0.25">
      <c r="A353" s="123"/>
      <c r="B353" s="124"/>
      <c r="C353" s="125">
        <v>859499</v>
      </c>
      <c r="D353" s="89"/>
      <c r="E353" s="86" t="s">
        <v>3</v>
      </c>
      <c r="F353" s="86" t="s">
        <v>418</v>
      </c>
      <c r="H353" s="126" t="s">
        <v>51</v>
      </c>
      <c r="I353" s="89">
        <v>1</v>
      </c>
      <c r="J353" s="127">
        <v>40474.2399</v>
      </c>
      <c r="K353" s="127">
        <v>58399.96</v>
      </c>
      <c r="L353" s="127">
        <v>5992.9639999999999</v>
      </c>
      <c r="M353" s="127">
        <v>21037.239900000019</v>
      </c>
      <c r="N353" s="127">
        <v>48120.460000000006</v>
      </c>
      <c r="O353" s="127">
        <v>5151.4639999999999</v>
      </c>
      <c r="P353" s="128">
        <f t="shared" si="45"/>
        <v>0.51976862201679097</v>
      </c>
      <c r="Q353" s="128">
        <f t="shared" si="46"/>
        <v>0.82398104382263293</v>
      </c>
      <c r="R353" s="128">
        <f t="shared" si="47"/>
        <v>0.85958534040918655</v>
      </c>
      <c r="S353" s="129">
        <v>1</v>
      </c>
      <c r="T353" s="129">
        <v>1</v>
      </c>
      <c r="U353" s="129">
        <v>1</v>
      </c>
      <c r="V353" s="138">
        <f t="shared" si="48"/>
        <v>3</v>
      </c>
      <c r="W353" s="138">
        <f t="shared" si="49"/>
        <v>3</v>
      </c>
      <c r="X353" s="138">
        <f t="shared" si="50"/>
        <v>1</v>
      </c>
      <c r="Y353" s="138">
        <f t="shared" si="51"/>
        <v>3</v>
      </c>
      <c r="Z353" s="138">
        <f t="shared" si="52"/>
        <v>3</v>
      </c>
      <c r="AA353" s="138">
        <f t="shared" si="53"/>
        <v>1</v>
      </c>
      <c r="AB353" s="127" t="s">
        <v>32</v>
      </c>
      <c r="AC353" s="127"/>
      <c r="AD353" s="127"/>
      <c r="AE353" s="130"/>
      <c r="AF353" s="136">
        <v>12.26</v>
      </c>
      <c r="AG353" s="136">
        <v>11.33</v>
      </c>
      <c r="AH353" s="136">
        <v>28.04</v>
      </c>
      <c r="AI353" s="136">
        <v>5.99</v>
      </c>
      <c r="AJ353" s="136">
        <v>3</v>
      </c>
      <c r="AK353" s="136">
        <v>0.49</v>
      </c>
      <c r="AL353" s="136">
        <v>3.31</v>
      </c>
      <c r="AM353" s="136">
        <v>64.42</v>
      </c>
      <c r="AN353" s="131"/>
      <c r="AO353" s="131"/>
      <c r="AP353" s="131"/>
      <c r="AQ353" s="131"/>
      <c r="AR353" s="131"/>
      <c r="AS353" s="131"/>
      <c r="AT353" s="131"/>
      <c r="AU353" s="91"/>
      <c r="AV353" s="91"/>
      <c r="AW353" s="131"/>
      <c r="AX353" s="131"/>
      <c r="AY353" s="131"/>
    </row>
    <row r="354" spans="1:51" ht="15" x14ac:dyDescent="0.25">
      <c r="A354" s="123"/>
      <c r="B354" s="124"/>
      <c r="C354" s="125">
        <v>916890</v>
      </c>
      <c r="D354" s="89"/>
      <c r="E354" s="86" t="s">
        <v>3</v>
      </c>
      <c r="F354" s="86" t="s">
        <v>418</v>
      </c>
      <c r="H354" s="126" t="s">
        <v>51</v>
      </c>
      <c r="I354" s="89">
        <v>1</v>
      </c>
      <c r="J354" s="127">
        <v>40474.2399</v>
      </c>
      <c r="K354" s="127">
        <v>58399.96</v>
      </c>
      <c r="L354" s="127">
        <v>5992.9639999999999</v>
      </c>
      <c r="M354" s="127">
        <v>21037.239900000019</v>
      </c>
      <c r="N354" s="127">
        <v>48120.460000000006</v>
      </c>
      <c r="O354" s="127">
        <v>5151.4639999999999</v>
      </c>
      <c r="P354" s="128">
        <f t="shared" si="45"/>
        <v>0.51976862201679097</v>
      </c>
      <c r="Q354" s="128">
        <f t="shared" si="46"/>
        <v>0.82398104382263293</v>
      </c>
      <c r="R354" s="128">
        <f t="shared" si="47"/>
        <v>0.85958534040918655</v>
      </c>
      <c r="S354" s="129">
        <v>1</v>
      </c>
      <c r="T354" s="129">
        <v>1</v>
      </c>
      <c r="U354" s="129">
        <v>1</v>
      </c>
      <c r="V354" s="138">
        <f t="shared" si="48"/>
        <v>3</v>
      </c>
      <c r="W354" s="138">
        <f t="shared" si="49"/>
        <v>3</v>
      </c>
      <c r="X354" s="138">
        <f t="shared" si="50"/>
        <v>1</v>
      </c>
      <c r="Y354" s="138">
        <f t="shared" si="51"/>
        <v>3</v>
      </c>
      <c r="Z354" s="138">
        <f t="shared" si="52"/>
        <v>3</v>
      </c>
      <c r="AA354" s="138">
        <f t="shared" si="53"/>
        <v>1</v>
      </c>
      <c r="AB354" s="127" t="s">
        <v>32</v>
      </c>
      <c r="AC354" s="127"/>
      <c r="AD354" s="127"/>
      <c r="AE354" s="130"/>
      <c r="AF354" s="136">
        <v>12.26</v>
      </c>
      <c r="AG354" s="136">
        <v>11.33</v>
      </c>
      <c r="AH354" s="136">
        <v>28.04</v>
      </c>
      <c r="AI354" s="136">
        <v>5.99</v>
      </c>
      <c r="AJ354" s="136">
        <v>3</v>
      </c>
      <c r="AK354" s="136">
        <v>0.49</v>
      </c>
      <c r="AL354" s="136">
        <v>3.31</v>
      </c>
      <c r="AM354" s="136">
        <v>64.42</v>
      </c>
      <c r="AN354" s="131"/>
      <c r="AO354" s="131"/>
      <c r="AP354" s="131"/>
      <c r="AQ354" s="131"/>
      <c r="AR354" s="131"/>
      <c r="AS354" s="131"/>
      <c r="AT354" s="131"/>
      <c r="AU354" s="91"/>
      <c r="AV354" s="91"/>
      <c r="AW354" s="131"/>
      <c r="AX354" s="131"/>
      <c r="AY354" s="131"/>
    </row>
    <row r="355" spans="1:51" ht="15" x14ac:dyDescent="0.25">
      <c r="A355" s="123"/>
      <c r="B355" s="124"/>
      <c r="C355" s="125">
        <v>34216</v>
      </c>
      <c r="D355" s="89"/>
      <c r="E355" s="86" t="s">
        <v>15</v>
      </c>
      <c r="F355" s="86" t="s">
        <v>418</v>
      </c>
      <c r="H355" s="126" t="s">
        <v>51</v>
      </c>
      <c r="I355" s="89">
        <v>1</v>
      </c>
      <c r="J355" s="127">
        <v>31848.709899999998</v>
      </c>
      <c r="K355" s="127">
        <v>57538.990000000005</v>
      </c>
      <c r="L355" s="127">
        <v>6003.71</v>
      </c>
      <c r="M355" s="127">
        <v>14178.709900000009</v>
      </c>
      <c r="N355" s="127">
        <v>48193.990000000005</v>
      </c>
      <c r="O355" s="127">
        <v>5238.71</v>
      </c>
      <c r="P355" s="128">
        <f t="shared" si="45"/>
        <v>0.44518945805085841</v>
      </c>
      <c r="Q355" s="128">
        <f t="shared" si="46"/>
        <v>0.83758839006385066</v>
      </c>
      <c r="R355" s="128">
        <f t="shared" si="47"/>
        <v>0.87257878878226958</v>
      </c>
      <c r="S355" s="129">
        <v>1</v>
      </c>
      <c r="T355" s="129">
        <v>1</v>
      </c>
      <c r="U355" s="129">
        <v>1</v>
      </c>
      <c r="V355" s="138">
        <f t="shared" si="48"/>
        <v>3</v>
      </c>
      <c r="W355" s="138">
        <f t="shared" si="49"/>
        <v>3</v>
      </c>
      <c r="X355" s="138">
        <f t="shared" si="50"/>
        <v>1</v>
      </c>
      <c r="Y355" s="138">
        <f t="shared" si="51"/>
        <v>3</v>
      </c>
      <c r="Z355" s="138">
        <f t="shared" si="52"/>
        <v>3</v>
      </c>
      <c r="AA355" s="138">
        <f t="shared" si="53"/>
        <v>1</v>
      </c>
      <c r="AB355" s="127" t="s">
        <v>32</v>
      </c>
      <c r="AC355" s="127"/>
      <c r="AD355" s="127"/>
      <c r="AE355" s="130"/>
      <c r="AF355" s="136">
        <v>9.09</v>
      </c>
      <c r="AG355" s="136">
        <v>11.33</v>
      </c>
      <c r="AH355" s="136">
        <v>30.89</v>
      </c>
      <c r="AI355" s="136">
        <v>5.99</v>
      </c>
      <c r="AJ355" s="136">
        <v>3.36</v>
      </c>
      <c r="AK355" s="136">
        <v>0.49</v>
      </c>
      <c r="AL355" s="136">
        <v>3.31</v>
      </c>
      <c r="AM355" s="136">
        <v>64.460000000000008</v>
      </c>
      <c r="AN355" s="131"/>
      <c r="AO355" s="131"/>
      <c r="AP355" s="131"/>
      <c r="AQ355" s="131"/>
      <c r="AR355" s="131"/>
      <c r="AS355" s="131"/>
      <c r="AT355" s="131"/>
      <c r="AU355" s="91"/>
      <c r="AV355" s="91"/>
      <c r="AW355" s="131"/>
      <c r="AX355" s="131"/>
      <c r="AY355" s="131"/>
    </row>
    <row r="356" spans="1:51" ht="15" x14ac:dyDescent="0.25">
      <c r="A356" s="123"/>
      <c r="B356" s="124"/>
      <c r="C356" s="125">
        <v>49453</v>
      </c>
      <c r="D356" s="89"/>
      <c r="E356" s="86" t="s">
        <v>15</v>
      </c>
      <c r="F356" s="86" t="s">
        <v>418</v>
      </c>
      <c r="H356" s="126" t="s">
        <v>51</v>
      </c>
      <c r="I356" s="89">
        <v>1</v>
      </c>
      <c r="J356" s="127">
        <v>31848.709899999998</v>
      </c>
      <c r="K356" s="127">
        <v>57538.990000000005</v>
      </c>
      <c r="L356" s="127">
        <v>6003.71</v>
      </c>
      <c r="M356" s="127">
        <v>14178.709900000009</v>
      </c>
      <c r="N356" s="127">
        <v>48193.990000000005</v>
      </c>
      <c r="O356" s="127">
        <v>5238.71</v>
      </c>
      <c r="P356" s="128">
        <f t="shared" si="45"/>
        <v>0.44518945805085841</v>
      </c>
      <c r="Q356" s="128">
        <f t="shared" si="46"/>
        <v>0.83758839006385066</v>
      </c>
      <c r="R356" s="128">
        <f t="shared" si="47"/>
        <v>0.87257878878226958</v>
      </c>
      <c r="S356" s="129">
        <v>1</v>
      </c>
      <c r="T356" s="129">
        <v>1</v>
      </c>
      <c r="U356" s="129">
        <v>1</v>
      </c>
      <c r="V356" s="138">
        <f t="shared" si="48"/>
        <v>3</v>
      </c>
      <c r="W356" s="138">
        <f t="shared" si="49"/>
        <v>3</v>
      </c>
      <c r="X356" s="138">
        <f t="shared" si="50"/>
        <v>1</v>
      </c>
      <c r="Y356" s="138">
        <f t="shared" si="51"/>
        <v>3</v>
      </c>
      <c r="Z356" s="138">
        <f t="shared" si="52"/>
        <v>3</v>
      </c>
      <c r="AA356" s="138">
        <f t="shared" si="53"/>
        <v>1</v>
      </c>
      <c r="AB356" s="127" t="s">
        <v>32</v>
      </c>
      <c r="AC356" s="127"/>
      <c r="AD356" s="127"/>
      <c r="AE356" s="130"/>
      <c r="AF356" s="136">
        <v>9.09</v>
      </c>
      <c r="AG356" s="136">
        <v>11.33</v>
      </c>
      <c r="AH356" s="136">
        <v>30.89</v>
      </c>
      <c r="AI356" s="136">
        <v>5.99</v>
      </c>
      <c r="AJ356" s="136">
        <v>3.36</v>
      </c>
      <c r="AK356" s="136">
        <v>0.49</v>
      </c>
      <c r="AL356" s="136">
        <v>3.31</v>
      </c>
      <c r="AM356" s="136">
        <v>64.460000000000008</v>
      </c>
      <c r="AN356" s="131"/>
      <c r="AO356" s="131"/>
      <c r="AP356" s="131"/>
      <c r="AQ356" s="131"/>
      <c r="AR356" s="131"/>
      <c r="AS356" s="131"/>
      <c r="AT356" s="131"/>
      <c r="AU356" s="91"/>
      <c r="AV356" s="91"/>
      <c r="AW356" s="131"/>
      <c r="AX356" s="131"/>
      <c r="AY356" s="131"/>
    </row>
    <row r="357" spans="1:51" ht="15" x14ac:dyDescent="0.25">
      <c r="A357" s="123"/>
      <c r="B357" s="124"/>
      <c r="C357" s="125">
        <v>85767</v>
      </c>
      <c r="D357" s="89"/>
      <c r="E357" s="86" t="s">
        <v>15</v>
      </c>
      <c r="F357" s="86" t="s">
        <v>418</v>
      </c>
      <c r="H357" s="126" t="s">
        <v>51</v>
      </c>
      <c r="I357" s="89">
        <v>1</v>
      </c>
      <c r="J357" s="127">
        <v>31848.709899999998</v>
      </c>
      <c r="K357" s="127">
        <v>57538.990000000005</v>
      </c>
      <c r="L357" s="127">
        <v>6003.71</v>
      </c>
      <c r="M357" s="127">
        <v>14178.709900000009</v>
      </c>
      <c r="N357" s="127">
        <v>48193.990000000005</v>
      </c>
      <c r="O357" s="127">
        <v>5238.71</v>
      </c>
      <c r="P357" s="128">
        <f t="shared" si="45"/>
        <v>0.44518945805085841</v>
      </c>
      <c r="Q357" s="128">
        <f t="shared" si="46"/>
        <v>0.83758839006385066</v>
      </c>
      <c r="R357" s="128">
        <f t="shared" si="47"/>
        <v>0.87257878878226958</v>
      </c>
      <c r="S357" s="129">
        <v>1</v>
      </c>
      <c r="T357" s="129">
        <v>1</v>
      </c>
      <c r="U357" s="129">
        <v>1</v>
      </c>
      <c r="V357" s="138">
        <f t="shared" si="48"/>
        <v>3</v>
      </c>
      <c r="W357" s="138">
        <f t="shared" si="49"/>
        <v>3</v>
      </c>
      <c r="X357" s="138">
        <f t="shared" si="50"/>
        <v>1</v>
      </c>
      <c r="Y357" s="138">
        <f t="shared" si="51"/>
        <v>3</v>
      </c>
      <c r="Z357" s="138">
        <f t="shared" si="52"/>
        <v>3</v>
      </c>
      <c r="AA357" s="138">
        <f t="shared" si="53"/>
        <v>1</v>
      </c>
      <c r="AB357" s="127" t="s">
        <v>32</v>
      </c>
      <c r="AC357" s="127"/>
      <c r="AD357" s="127"/>
      <c r="AE357" s="130"/>
      <c r="AF357" s="136">
        <v>9.09</v>
      </c>
      <c r="AG357" s="136">
        <v>11.33</v>
      </c>
      <c r="AH357" s="136">
        <v>30.89</v>
      </c>
      <c r="AI357" s="136">
        <v>5.99</v>
      </c>
      <c r="AJ357" s="136">
        <v>3.36</v>
      </c>
      <c r="AK357" s="136">
        <v>0.49</v>
      </c>
      <c r="AL357" s="136">
        <v>3.31</v>
      </c>
      <c r="AM357" s="136">
        <v>64.460000000000008</v>
      </c>
      <c r="AN357" s="131"/>
      <c r="AO357" s="131"/>
      <c r="AP357" s="131"/>
      <c r="AQ357" s="131"/>
      <c r="AR357" s="131"/>
      <c r="AS357" s="131"/>
      <c r="AT357" s="131"/>
      <c r="AU357" s="91"/>
      <c r="AV357" s="91"/>
      <c r="AW357" s="131"/>
      <c r="AX357" s="131"/>
      <c r="AY357" s="131"/>
    </row>
    <row r="358" spans="1:51" ht="15" x14ac:dyDescent="0.25">
      <c r="A358" s="123"/>
      <c r="B358" s="124"/>
      <c r="C358" s="125">
        <v>117105</v>
      </c>
      <c r="D358" s="89"/>
      <c r="E358" s="86" t="s">
        <v>15</v>
      </c>
      <c r="F358" s="86" t="s">
        <v>418</v>
      </c>
      <c r="H358" s="126" t="s">
        <v>51</v>
      </c>
      <c r="I358" s="89">
        <v>1</v>
      </c>
      <c r="J358" s="127">
        <v>31848.709899999998</v>
      </c>
      <c r="K358" s="127">
        <v>57538.990000000005</v>
      </c>
      <c r="L358" s="127">
        <v>6003.71</v>
      </c>
      <c r="M358" s="127">
        <v>14178.709900000009</v>
      </c>
      <c r="N358" s="127">
        <v>48193.990000000005</v>
      </c>
      <c r="O358" s="127">
        <v>5238.71</v>
      </c>
      <c r="P358" s="128">
        <f t="shared" si="45"/>
        <v>0.44518945805085841</v>
      </c>
      <c r="Q358" s="128">
        <f t="shared" si="46"/>
        <v>0.83758839006385066</v>
      </c>
      <c r="R358" s="128">
        <f t="shared" si="47"/>
        <v>0.87257878878226958</v>
      </c>
      <c r="S358" s="129">
        <v>1</v>
      </c>
      <c r="T358" s="129">
        <v>1</v>
      </c>
      <c r="U358" s="129">
        <v>1</v>
      </c>
      <c r="V358" s="138">
        <f t="shared" si="48"/>
        <v>3</v>
      </c>
      <c r="W358" s="138">
        <f t="shared" si="49"/>
        <v>3</v>
      </c>
      <c r="X358" s="138">
        <f t="shared" si="50"/>
        <v>1</v>
      </c>
      <c r="Y358" s="138">
        <f t="shared" si="51"/>
        <v>3</v>
      </c>
      <c r="Z358" s="138">
        <f t="shared" si="52"/>
        <v>3</v>
      </c>
      <c r="AA358" s="138">
        <f t="shared" si="53"/>
        <v>1</v>
      </c>
      <c r="AB358" s="127" t="s">
        <v>32</v>
      </c>
      <c r="AC358" s="127"/>
      <c r="AD358" s="127"/>
      <c r="AE358" s="130"/>
      <c r="AF358" s="136">
        <v>9.09</v>
      </c>
      <c r="AG358" s="136">
        <v>11.33</v>
      </c>
      <c r="AH358" s="136">
        <v>30.89</v>
      </c>
      <c r="AI358" s="136">
        <v>5.99</v>
      </c>
      <c r="AJ358" s="136">
        <v>3.36</v>
      </c>
      <c r="AK358" s="136">
        <v>0.49</v>
      </c>
      <c r="AL358" s="136">
        <v>3.31</v>
      </c>
      <c r="AM358" s="136">
        <v>64.460000000000008</v>
      </c>
      <c r="AN358" s="131"/>
      <c r="AO358" s="131"/>
      <c r="AP358" s="131"/>
      <c r="AQ358" s="131"/>
      <c r="AR358" s="131"/>
      <c r="AS358" s="131"/>
      <c r="AT358" s="131"/>
      <c r="AU358" s="91"/>
      <c r="AV358" s="91"/>
      <c r="AW358" s="131"/>
      <c r="AX358" s="131"/>
      <c r="AY358" s="131"/>
    </row>
    <row r="359" spans="1:51" ht="15" x14ac:dyDescent="0.25">
      <c r="A359" s="123"/>
      <c r="B359" s="124"/>
      <c r="C359" s="125">
        <v>135357</v>
      </c>
      <c r="D359" s="89"/>
      <c r="E359" s="86" t="s">
        <v>15</v>
      </c>
      <c r="F359" s="86" t="s">
        <v>418</v>
      </c>
      <c r="H359" s="126" t="s">
        <v>51</v>
      </c>
      <c r="I359" s="89">
        <v>1</v>
      </c>
      <c r="J359" s="127">
        <v>31848.709899999998</v>
      </c>
      <c r="K359" s="127">
        <v>57538.990000000005</v>
      </c>
      <c r="L359" s="127">
        <v>6003.71</v>
      </c>
      <c r="M359" s="127">
        <v>14178.709900000009</v>
      </c>
      <c r="N359" s="127">
        <v>48193.990000000005</v>
      </c>
      <c r="O359" s="127">
        <v>5238.71</v>
      </c>
      <c r="P359" s="128">
        <f t="shared" si="45"/>
        <v>0.44518945805085841</v>
      </c>
      <c r="Q359" s="128">
        <f t="shared" si="46"/>
        <v>0.83758839006385066</v>
      </c>
      <c r="R359" s="128">
        <f t="shared" si="47"/>
        <v>0.87257878878226958</v>
      </c>
      <c r="S359" s="129">
        <v>1</v>
      </c>
      <c r="T359" s="129">
        <v>1</v>
      </c>
      <c r="U359" s="129">
        <v>1</v>
      </c>
      <c r="V359" s="138">
        <f t="shared" si="48"/>
        <v>3</v>
      </c>
      <c r="W359" s="138">
        <f t="shared" si="49"/>
        <v>3</v>
      </c>
      <c r="X359" s="138">
        <f t="shared" si="50"/>
        <v>1</v>
      </c>
      <c r="Y359" s="138">
        <f t="shared" si="51"/>
        <v>3</v>
      </c>
      <c r="Z359" s="138">
        <f t="shared" si="52"/>
        <v>3</v>
      </c>
      <c r="AA359" s="138">
        <f t="shared" si="53"/>
        <v>1</v>
      </c>
      <c r="AB359" s="127" t="s">
        <v>32</v>
      </c>
      <c r="AC359" s="127"/>
      <c r="AD359" s="127"/>
      <c r="AE359" s="130"/>
      <c r="AF359" s="136">
        <v>9.09</v>
      </c>
      <c r="AG359" s="136">
        <v>11.33</v>
      </c>
      <c r="AH359" s="136">
        <v>30.89</v>
      </c>
      <c r="AI359" s="136">
        <v>5.99</v>
      </c>
      <c r="AJ359" s="136">
        <v>3.36</v>
      </c>
      <c r="AK359" s="136">
        <v>0.49</v>
      </c>
      <c r="AL359" s="136">
        <v>3.31</v>
      </c>
      <c r="AM359" s="136">
        <v>64.460000000000008</v>
      </c>
      <c r="AN359" s="131"/>
      <c r="AO359" s="131"/>
      <c r="AP359" s="131"/>
      <c r="AQ359" s="131"/>
      <c r="AR359" s="131"/>
      <c r="AS359" s="131"/>
      <c r="AT359" s="131"/>
      <c r="AU359" s="91"/>
      <c r="AV359" s="91"/>
      <c r="AW359" s="131"/>
      <c r="AX359" s="131"/>
      <c r="AY359" s="131"/>
    </row>
    <row r="360" spans="1:51" ht="15" x14ac:dyDescent="0.25">
      <c r="A360" s="123"/>
      <c r="B360" s="124"/>
      <c r="C360" s="125">
        <v>182374</v>
      </c>
      <c r="D360" s="89"/>
      <c r="E360" s="86" t="s">
        <v>15</v>
      </c>
      <c r="F360" s="86" t="s">
        <v>418</v>
      </c>
      <c r="H360" s="126" t="s">
        <v>51</v>
      </c>
      <c r="I360" s="89">
        <v>1</v>
      </c>
      <c r="J360" s="127">
        <v>31848.709899999998</v>
      </c>
      <c r="K360" s="127">
        <v>57538.990000000005</v>
      </c>
      <c r="L360" s="127">
        <v>6003.71</v>
      </c>
      <c r="M360" s="127">
        <v>14178.709900000009</v>
      </c>
      <c r="N360" s="127">
        <v>48193.990000000005</v>
      </c>
      <c r="O360" s="127">
        <v>5238.71</v>
      </c>
      <c r="P360" s="128">
        <f t="shared" si="45"/>
        <v>0.44518945805085841</v>
      </c>
      <c r="Q360" s="128">
        <f t="shared" si="46"/>
        <v>0.83758839006385066</v>
      </c>
      <c r="R360" s="128">
        <f t="shared" si="47"/>
        <v>0.87257878878226958</v>
      </c>
      <c r="S360" s="129">
        <v>1</v>
      </c>
      <c r="T360" s="129">
        <v>1</v>
      </c>
      <c r="U360" s="129">
        <v>1</v>
      </c>
      <c r="V360" s="138">
        <f t="shared" si="48"/>
        <v>3</v>
      </c>
      <c r="W360" s="138">
        <f t="shared" si="49"/>
        <v>3</v>
      </c>
      <c r="X360" s="138">
        <f t="shared" si="50"/>
        <v>1</v>
      </c>
      <c r="Y360" s="138">
        <f t="shared" si="51"/>
        <v>3</v>
      </c>
      <c r="Z360" s="138">
        <f t="shared" si="52"/>
        <v>3</v>
      </c>
      <c r="AA360" s="138">
        <f t="shared" si="53"/>
        <v>1</v>
      </c>
      <c r="AB360" s="127" t="s">
        <v>32</v>
      </c>
      <c r="AC360" s="127"/>
      <c r="AD360" s="127"/>
      <c r="AE360" s="130"/>
      <c r="AF360" s="136">
        <v>9.09</v>
      </c>
      <c r="AG360" s="136">
        <v>11.33</v>
      </c>
      <c r="AH360" s="136">
        <v>30.89</v>
      </c>
      <c r="AI360" s="136">
        <v>5.99</v>
      </c>
      <c r="AJ360" s="136">
        <v>3.36</v>
      </c>
      <c r="AK360" s="136">
        <v>0.49</v>
      </c>
      <c r="AL360" s="136">
        <v>3.31</v>
      </c>
      <c r="AM360" s="136">
        <v>64.460000000000008</v>
      </c>
      <c r="AN360" s="131"/>
      <c r="AO360" s="131"/>
      <c r="AP360" s="131"/>
      <c r="AQ360" s="131"/>
      <c r="AR360" s="131"/>
      <c r="AS360" s="131"/>
      <c r="AT360" s="131"/>
      <c r="AU360" s="91"/>
      <c r="AV360" s="91"/>
      <c r="AW360" s="131"/>
      <c r="AX360" s="131"/>
      <c r="AY360" s="131"/>
    </row>
    <row r="361" spans="1:51" ht="15" x14ac:dyDescent="0.25">
      <c r="A361" s="123"/>
      <c r="B361" s="124"/>
      <c r="C361" s="125">
        <v>216273</v>
      </c>
      <c r="D361" s="89"/>
      <c r="E361" s="86" t="s">
        <v>15</v>
      </c>
      <c r="F361" s="86" t="s">
        <v>418</v>
      </c>
      <c r="H361" s="126" t="s">
        <v>51</v>
      </c>
      <c r="I361" s="89">
        <v>1</v>
      </c>
      <c r="J361" s="127">
        <v>31848.709899999998</v>
      </c>
      <c r="K361" s="127">
        <v>57538.990000000005</v>
      </c>
      <c r="L361" s="127">
        <v>6003.71</v>
      </c>
      <c r="M361" s="127">
        <v>14178.709900000009</v>
      </c>
      <c r="N361" s="127">
        <v>48193.990000000005</v>
      </c>
      <c r="O361" s="127">
        <v>5238.71</v>
      </c>
      <c r="P361" s="128">
        <f t="shared" si="45"/>
        <v>0.44518945805085841</v>
      </c>
      <c r="Q361" s="128">
        <f t="shared" si="46"/>
        <v>0.83758839006385066</v>
      </c>
      <c r="R361" s="128">
        <f t="shared" si="47"/>
        <v>0.87257878878226958</v>
      </c>
      <c r="S361" s="129">
        <v>1</v>
      </c>
      <c r="T361" s="129">
        <v>1</v>
      </c>
      <c r="U361" s="129">
        <v>1</v>
      </c>
      <c r="V361" s="138">
        <f t="shared" si="48"/>
        <v>3</v>
      </c>
      <c r="W361" s="138">
        <f t="shared" si="49"/>
        <v>3</v>
      </c>
      <c r="X361" s="138">
        <f t="shared" si="50"/>
        <v>1</v>
      </c>
      <c r="Y361" s="138">
        <f t="shared" si="51"/>
        <v>3</v>
      </c>
      <c r="Z361" s="138">
        <f t="shared" si="52"/>
        <v>3</v>
      </c>
      <c r="AA361" s="138">
        <f t="shared" si="53"/>
        <v>1</v>
      </c>
      <c r="AB361" s="127" t="s">
        <v>32</v>
      </c>
      <c r="AC361" s="127"/>
      <c r="AD361" s="127"/>
      <c r="AE361" s="130"/>
      <c r="AF361" s="136">
        <v>9.09</v>
      </c>
      <c r="AG361" s="136">
        <v>11.33</v>
      </c>
      <c r="AH361" s="136">
        <v>30.89</v>
      </c>
      <c r="AI361" s="136">
        <v>5.99</v>
      </c>
      <c r="AJ361" s="136">
        <v>3.36</v>
      </c>
      <c r="AK361" s="136">
        <v>0.49</v>
      </c>
      <c r="AL361" s="136">
        <v>3.31</v>
      </c>
      <c r="AM361" s="136">
        <v>64.460000000000008</v>
      </c>
      <c r="AN361" s="131"/>
      <c r="AO361" s="131"/>
      <c r="AP361" s="131"/>
      <c r="AQ361" s="131"/>
      <c r="AR361" s="131"/>
      <c r="AS361" s="131"/>
      <c r="AT361" s="131"/>
      <c r="AU361" s="91"/>
      <c r="AV361" s="91"/>
      <c r="AW361" s="131"/>
      <c r="AX361" s="131"/>
      <c r="AY361" s="131"/>
    </row>
    <row r="362" spans="1:51" ht="15" x14ac:dyDescent="0.25">
      <c r="A362" s="123"/>
      <c r="B362" s="124"/>
      <c r="C362" s="125">
        <v>250054</v>
      </c>
      <c r="D362" s="89"/>
      <c r="E362" s="86" t="s">
        <v>15</v>
      </c>
      <c r="F362" s="86" t="s">
        <v>418</v>
      </c>
      <c r="H362" s="126" t="s">
        <v>51</v>
      </c>
      <c r="I362" s="89">
        <v>1</v>
      </c>
      <c r="J362" s="127">
        <v>31848.709899999998</v>
      </c>
      <c r="K362" s="127">
        <v>57538.990000000005</v>
      </c>
      <c r="L362" s="127">
        <v>6003.71</v>
      </c>
      <c r="M362" s="127">
        <v>14178.709900000009</v>
      </c>
      <c r="N362" s="127">
        <v>48193.990000000005</v>
      </c>
      <c r="O362" s="127">
        <v>5238.71</v>
      </c>
      <c r="P362" s="128">
        <f t="shared" si="45"/>
        <v>0.44518945805085841</v>
      </c>
      <c r="Q362" s="128">
        <f t="shared" si="46"/>
        <v>0.83758839006385066</v>
      </c>
      <c r="R362" s="128">
        <f t="shared" si="47"/>
        <v>0.87257878878226958</v>
      </c>
      <c r="S362" s="129">
        <v>1</v>
      </c>
      <c r="T362" s="129">
        <v>1</v>
      </c>
      <c r="U362" s="129">
        <v>1</v>
      </c>
      <c r="V362" s="138">
        <f t="shared" si="48"/>
        <v>3</v>
      </c>
      <c r="W362" s="138">
        <f t="shared" si="49"/>
        <v>3</v>
      </c>
      <c r="X362" s="138">
        <f t="shared" si="50"/>
        <v>1</v>
      </c>
      <c r="Y362" s="138">
        <f t="shared" si="51"/>
        <v>3</v>
      </c>
      <c r="Z362" s="138">
        <f t="shared" si="52"/>
        <v>3</v>
      </c>
      <c r="AA362" s="138">
        <f t="shared" si="53"/>
        <v>1</v>
      </c>
      <c r="AB362" s="127" t="s">
        <v>32</v>
      </c>
      <c r="AC362" s="127"/>
      <c r="AD362" s="127"/>
      <c r="AE362" s="130"/>
      <c r="AF362" s="136">
        <v>9.09</v>
      </c>
      <c r="AG362" s="136">
        <v>11.33</v>
      </c>
      <c r="AH362" s="136">
        <v>30.89</v>
      </c>
      <c r="AI362" s="136">
        <v>5.99</v>
      </c>
      <c r="AJ362" s="136">
        <v>3.36</v>
      </c>
      <c r="AK362" s="136">
        <v>0.49</v>
      </c>
      <c r="AL362" s="136">
        <v>3.31</v>
      </c>
      <c r="AM362" s="136">
        <v>64.460000000000008</v>
      </c>
      <c r="AN362" s="131"/>
      <c r="AO362" s="131"/>
      <c r="AP362" s="131"/>
      <c r="AQ362" s="131"/>
      <c r="AR362" s="131"/>
      <c r="AS362" s="131"/>
      <c r="AT362" s="131"/>
      <c r="AU362" s="91"/>
      <c r="AV362" s="91"/>
      <c r="AW362" s="131"/>
      <c r="AX362" s="131"/>
      <c r="AY362" s="131"/>
    </row>
    <row r="363" spans="1:51" ht="15" x14ac:dyDescent="0.25">
      <c r="A363" s="123"/>
      <c r="B363" s="124"/>
      <c r="C363" s="125">
        <v>260471</v>
      </c>
      <c r="D363" s="89"/>
      <c r="E363" s="86" t="s">
        <v>15</v>
      </c>
      <c r="F363" s="86" t="s">
        <v>418</v>
      </c>
      <c r="H363" s="126" t="s">
        <v>51</v>
      </c>
      <c r="I363" s="89">
        <v>1</v>
      </c>
      <c r="J363" s="127">
        <v>31848.709899999998</v>
      </c>
      <c r="K363" s="127">
        <v>57538.990000000005</v>
      </c>
      <c r="L363" s="127">
        <v>6003.71</v>
      </c>
      <c r="M363" s="127">
        <v>14178.709900000009</v>
      </c>
      <c r="N363" s="127">
        <v>48193.990000000005</v>
      </c>
      <c r="O363" s="127">
        <v>5238.71</v>
      </c>
      <c r="P363" s="128">
        <f t="shared" si="45"/>
        <v>0.44518945805085841</v>
      </c>
      <c r="Q363" s="128">
        <f t="shared" si="46"/>
        <v>0.83758839006385066</v>
      </c>
      <c r="R363" s="128">
        <f t="shared" si="47"/>
        <v>0.87257878878226958</v>
      </c>
      <c r="S363" s="129">
        <v>1</v>
      </c>
      <c r="T363" s="129">
        <v>1</v>
      </c>
      <c r="U363" s="129">
        <v>1</v>
      </c>
      <c r="V363" s="138">
        <f t="shared" si="48"/>
        <v>3</v>
      </c>
      <c r="W363" s="138">
        <f t="shared" si="49"/>
        <v>3</v>
      </c>
      <c r="X363" s="138">
        <f t="shared" si="50"/>
        <v>1</v>
      </c>
      <c r="Y363" s="138">
        <f t="shared" si="51"/>
        <v>3</v>
      </c>
      <c r="Z363" s="138">
        <f t="shared" si="52"/>
        <v>3</v>
      </c>
      <c r="AA363" s="138">
        <f t="shared" si="53"/>
        <v>1</v>
      </c>
      <c r="AB363" s="127" t="s">
        <v>32</v>
      </c>
      <c r="AC363" s="127"/>
      <c r="AD363" s="127"/>
      <c r="AE363" s="130"/>
      <c r="AF363" s="136">
        <v>9.09</v>
      </c>
      <c r="AG363" s="136">
        <v>11.33</v>
      </c>
      <c r="AH363" s="136">
        <v>30.89</v>
      </c>
      <c r="AI363" s="136">
        <v>5.99</v>
      </c>
      <c r="AJ363" s="136">
        <v>3.36</v>
      </c>
      <c r="AK363" s="136">
        <v>0.49</v>
      </c>
      <c r="AL363" s="136">
        <v>3.31</v>
      </c>
      <c r="AM363" s="136">
        <v>64.460000000000008</v>
      </c>
      <c r="AN363" s="131"/>
      <c r="AO363" s="131"/>
      <c r="AP363" s="131"/>
      <c r="AQ363" s="131"/>
      <c r="AR363" s="131"/>
      <c r="AS363" s="131"/>
      <c r="AT363" s="131"/>
      <c r="AU363" s="91"/>
      <c r="AV363" s="91"/>
      <c r="AW363" s="131"/>
      <c r="AX363" s="131"/>
      <c r="AY363" s="131"/>
    </row>
    <row r="364" spans="1:51" ht="15" x14ac:dyDescent="0.25">
      <c r="A364" s="123"/>
      <c r="B364" s="124"/>
      <c r="C364" s="125">
        <v>348748</v>
      </c>
      <c r="D364" s="89"/>
      <c r="E364" s="86" t="s">
        <v>15</v>
      </c>
      <c r="F364" s="86" t="s">
        <v>418</v>
      </c>
      <c r="H364" s="126" t="s">
        <v>51</v>
      </c>
      <c r="I364" s="89">
        <v>1</v>
      </c>
      <c r="J364" s="127">
        <v>31848.709899999998</v>
      </c>
      <c r="K364" s="127">
        <v>57538.990000000005</v>
      </c>
      <c r="L364" s="127">
        <v>6003.71</v>
      </c>
      <c r="M364" s="127">
        <v>14178.709900000009</v>
      </c>
      <c r="N364" s="127">
        <v>48193.990000000005</v>
      </c>
      <c r="O364" s="127">
        <v>5238.71</v>
      </c>
      <c r="P364" s="128">
        <f t="shared" si="45"/>
        <v>0.44518945805085841</v>
      </c>
      <c r="Q364" s="128">
        <f t="shared" si="46"/>
        <v>0.83758839006385066</v>
      </c>
      <c r="R364" s="128">
        <f t="shared" si="47"/>
        <v>0.87257878878226958</v>
      </c>
      <c r="S364" s="129">
        <v>1</v>
      </c>
      <c r="T364" s="129">
        <v>1</v>
      </c>
      <c r="U364" s="129">
        <v>1</v>
      </c>
      <c r="V364" s="138">
        <f t="shared" si="48"/>
        <v>3</v>
      </c>
      <c r="W364" s="138">
        <f t="shared" si="49"/>
        <v>3</v>
      </c>
      <c r="X364" s="138">
        <f t="shared" si="50"/>
        <v>1</v>
      </c>
      <c r="Y364" s="138">
        <f t="shared" si="51"/>
        <v>3</v>
      </c>
      <c r="Z364" s="138">
        <f t="shared" si="52"/>
        <v>3</v>
      </c>
      <c r="AA364" s="138">
        <f t="shared" si="53"/>
        <v>1</v>
      </c>
      <c r="AB364" s="127" t="s">
        <v>32</v>
      </c>
      <c r="AC364" s="127"/>
      <c r="AD364" s="127"/>
      <c r="AE364" s="130"/>
      <c r="AF364" s="136">
        <v>9.09</v>
      </c>
      <c r="AG364" s="136">
        <v>11.33</v>
      </c>
      <c r="AH364" s="136">
        <v>30.89</v>
      </c>
      <c r="AI364" s="136">
        <v>5.99</v>
      </c>
      <c r="AJ364" s="136">
        <v>3.36</v>
      </c>
      <c r="AK364" s="136">
        <v>0.49</v>
      </c>
      <c r="AL364" s="136">
        <v>3.31</v>
      </c>
      <c r="AM364" s="136">
        <v>64.460000000000008</v>
      </c>
      <c r="AN364" s="131"/>
      <c r="AO364" s="131"/>
      <c r="AP364" s="131"/>
      <c r="AQ364" s="131"/>
      <c r="AR364" s="131"/>
      <c r="AS364" s="131"/>
      <c r="AT364" s="131"/>
      <c r="AU364" s="91"/>
      <c r="AV364" s="91"/>
      <c r="AW364" s="131"/>
      <c r="AX364" s="131"/>
      <c r="AY364" s="131"/>
    </row>
    <row r="365" spans="1:51" ht="15" x14ac:dyDescent="0.25">
      <c r="A365" s="123"/>
      <c r="B365" s="124"/>
      <c r="C365" s="125">
        <v>370958</v>
      </c>
      <c r="D365" s="89"/>
      <c r="E365" s="86" t="s">
        <v>15</v>
      </c>
      <c r="F365" s="86" t="s">
        <v>418</v>
      </c>
      <c r="H365" s="126" t="s">
        <v>51</v>
      </c>
      <c r="I365" s="89">
        <v>1</v>
      </c>
      <c r="J365" s="127">
        <v>31848.709899999998</v>
      </c>
      <c r="K365" s="127">
        <v>57538.990000000005</v>
      </c>
      <c r="L365" s="127">
        <v>6003.71</v>
      </c>
      <c r="M365" s="127">
        <v>14178.709900000009</v>
      </c>
      <c r="N365" s="127">
        <v>48193.990000000005</v>
      </c>
      <c r="O365" s="127">
        <v>5238.71</v>
      </c>
      <c r="P365" s="128">
        <f t="shared" si="45"/>
        <v>0.44518945805085841</v>
      </c>
      <c r="Q365" s="128">
        <f t="shared" si="46"/>
        <v>0.83758839006385066</v>
      </c>
      <c r="R365" s="128">
        <f t="shared" si="47"/>
        <v>0.87257878878226958</v>
      </c>
      <c r="S365" s="129">
        <v>1</v>
      </c>
      <c r="T365" s="129">
        <v>1</v>
      </c>
      <c r="U365" s="129">
        <v>1</v>
      </c>
      <c r="V365" s="138">
        <f t="shared" si="48"/>
        <v>3</v>
      </c>
      <c r="W365" s="138">
        <f t="shared" si="49"/>
        <v>3</v>
      </c>
      <c r="X365" s="138">
        <f t="shared" si="50"/>
        <v>1</v>
      </c>
      <c r="Y365" s="138">
        <f t="shared" si="51"/>
        <v>3</v>
      </c>
      <c r="Z365" s="138">
        <f t="shared" si="52"/>
        <v>3</v>
      </c>
      <c r="AA365" s="138">
        <f t="shared" si="53"/>
        <v>1</v>
      </c>
      <c r="AB365" s="127" t="s">
        <v>32</v>
      </c>
      <c r="AC365" s="127"/>
      <c r="AD365" s="127"/>
      <c r="AE365" s="130"/>
      <c r="AF365" s="136">
        <v>9.09</v>
      </c>
      <c r="AG365" s="136">
        <v>11.33</v>
      </c>
      <c r="AH365" s="136">
        <v>30.89</v>
      </c>
      <c r="AI365" s="136">
        <v>5.99</v>
      </c>
      <c r="AJ365" s="136">
        <v>3.36</v>
      </c>
      <c r="AK365" s="136">
        <v>0.49</v>
      </c>
      <c r="AL365" s="136">
        <v>3.31</v>
      </c>
      <c r="AM365" s="136">
        <v>64.460000000000008</v>
      </c>
      <c r="AN365" s="131"/>
      <c r="AO365" s="131"/>
      <c r="AP365" s="131"/>
      <c r="AQ365" s="131"/>
      <c r="AR365" s="131"/>
      <c r="AS365" s="131"/>
      <c r="AT365" s="131"/>
      <c r="AU365" s="91"/>
      <c r="AV365" s="91"/>
      <c r="AW365" s="131"/>
      <c r="AX365" s="131"/>
      <c r="AY365" s="131"/>
    </row>
    <row r="366" spans="1:51" ht="15" x14ac:dyDescent="0.25">
      <c r="A366" s="123"/>
      <c r="B366" s="124"/>
      <c r="C366" s="125">
        <v>382422</v>
      </c>
      <c r="D366" s="89"/>
      <c r="E366" s="86" t="s">
        <v>15</v>
      </c>
      <c r="F366" s="86" t="s">
        <v>418</v>
      </c>
      <c r="H366" s="126" t="s">
        <v>51</v>
      </c>
      <c r="I366" s="89">
        <v>1</v>
      </c>
      <c r="J366" s="127">
        <v>31848.709899999998</v>
      </c>
      <c r="K366" s="127">
        <v>57538.990000000005</v>
      </c>
      <c r="L366" s="127">
        <v>6003.71</v>
      </c>
      <c r="M366" s="127">
        <v>14178.709900000009</v>
      </c>
      <c r="N366" s="127">
        <v>48193.990000000005</v>
      </c>
      <c r="O366" s="127">
        <v>5238.71</v>
      </c>
      <c r="P366" s="128">
        <f t="shared" si="45"/>
        <v>0.44518945805085841</v>
      </c>
      <c r="Q366" s="128">
        <f t="shared" si="46"/>
        <v>0.83758839006385066</v>
      </c>
      <c r="R366" s="128">
        <f t="shared" si="47"/>
        <v>0.87257878878226958</v>
      </c>
      <c r="S366" s="129">
        <v>1</v>
      </c>
      <c r="T366" s="129">
        <v>1</v>
      </c>
      <c r="U366" s="129">
        <v>1</v>
      </c>
      <c r="V366" s="138">
        <f t="shared" si="48"/>
        <v>3</v>
      </c>
      <c r="W366" s="138">
        <f t="shared" si="49"/>
        <v>3</v>
      </c>
      <c r="X366" s="138">
        <f t="shared" si="50"/>
        <v>1</v>
      </c>
      <c r="Y366" s="138">
        <f t="shared" si="51"/>
        <v>3</v>
      </c>
      <c r="Z366" s="138">
        <f t="shared" si="52"/>
        <v>3</v>
      </c>
      <c r="AA366" s="138">
        <f t="shared" si="53"/>
        <v>1</v>
      </c>
      <c r="AB366" s="127" t="s">
        <v>32</v>
      </c>
      <c r="AC366" s="127"/>
      <c r="AD366" s="127"/>
      <c r="AE366" s="130"/>
      <c r="AF366" s="136">
        <v>9.09</v>
      </c>
      <c r="AG366" s="136">
        <v>11.33</v>
      </c>
      <c r="AH366" s="136">
        <v>30.89</v>
      </c>
      <c r="AI366" s="136">
        <v>5.99</v>
      </c>
      <c r="AJ366" s="136">
        <v>3.36</v>
      </c>
      <c r="AK366" s="136">
        <v>0.49</v>
      </c>
      <c r="AL366" s="136">
        <v>3.31</v>
      </c>
      <c r="AM366" s="136">
        <v>64.460000000000008</v>
      </c>
      <c r="AN366" s="131"/>
      <c r="AO366" s="131"/>
      <c r="AP366" s="131"/>
      <c r="AQ366" s="131"/>
      <c r="AR366" s="131"/>
      <c r="AS366" s="131"/>
      <c r="AT366" s="131"/>
      <c r="AU366" s="91"/>
      <c r="AV366" s="91"/>
      <c r="AW366" s="131"/>
      <c r="AX366" s="131"/>
      <c r="AY366" s="131"/>
    </row>
    <row r="367" spans="1:51" ht="15" x14ac:dyDescent="0.25">
      <c r="A367" s="123"/>
      <c r="B367" s="124"/>
      <c r="C367" s="125">
        <v>383612</v>
      </c>
      <c r="D367" s="89"/>
      <c r="E367" s="86" t="s">
        <v>15</v>
      </c>
      <c r="F367" s="86" t="s">
        <v>418</v>
      </c>
      <c r="H367" s="126" t="s">
        <v>51</v>
      </c>
      <c r="I367" s="89">
        <v>1</v>
      </c>
      <c r="J367" s="127">
        <v>31848.709899999998</v>
      </c>
      <c r="K367" s="127">
        <v>57538.990000000005</v>
      </c>
      <c r="L367" s="127">
        <v>6003.71</v>
      </c>
      <c r="M367" s="127">
        <v>14178.709900000009</v>
      </c>
      <c r="N367" s="127">
        <v>48193.990000000005</v>
      </c>
      <c r="O367" s="127">
        <v>5238.71</v>
      </c>
      <c r="P367" s="128">
        <f t="shared" si="45"/>
        <v>0.44518945805085841</v>
      </c>
      <c r="Q367" s="128">
        <f t="shared" si="46"/>
        <v>0.83758839006385066</v>
      </c>
      <c r="R367" s="128">
        <f t="shared" si="47"/>
        <v>0.87257878878226958</v>
      </c>
      <c r="S367" s="129">
        <v>1</v>
      </c>
      <c r="T367" s="129">
        <v>1</v>
      </c>
      <c r="U367" s="129">
        <v>1</v>
      </c>
      <c r="V367" s="138">
        <f t="shared" si="48"/>
        <v>3</v>
      </c>
      <c r="W367" s="138">
        <f t="shared" si="49"/>
        <v>3</v>
      </c>
      <c r="X367" s="138">
        <f t="shared" si="50"/>
        <v>1</v>
      </c>
      <c r="Y367" s="138">
        <f t="shared" si="51"/>
        <v>3</v>
      </c>
      <c r="Z367" s="138">
        <f t="shared" si="52"/>
        <v>3</v>
      </c>
      <c r="AA367" s="138">
        <f t="shared" si="53"/>
        <v>1</v>
      </c>
      <c r="AB367" s="127" t="s">
        <v>32</v>
      </c>
      <c r="AC367" s="127"/>
      <c r="AD367" s="127"/>
      <c r="AE367" s="130"/>
      <c r="AF367" s="136">
        <v>9.09</v>
      </c>
      <c r="AG367" s="136">
        <v>11.33</v>
      </c>
      <c r="AH367" s="136">
        <v>30.89</v>
      </c>
      <c r="AI367" s="136">
        <v>5.99</v>
      </c>
      <c r="AJ367" s="136">
        <v>3.36</v>
      </c>
      <c r="AK367" s="136">
        <v>0.49</v>
      </c>
      <c r="AL367" s="136">
        <v>3.31</v>
      </c>
      <c r="AM367" s="136">
        <v>64.460000000000008</v>
      </c>
      <c r="AN367" s="131"/>
      <c r="AO367" s="131"/>
      <c r="AP367" s="131"/>
      <c r="AQ367" s="131"/>
      <c r="AR367" s="131"/>
      <c r="AS367" s="131"/>
      <c r="AT367" s="131"/>
      <c r="AU367" s="91"/>
      <c r="AV367" s="91"/>
      <c r="AW367" s="131"/>
      <c r="AX367" s="131"/>
      <c r="AY367" s="131"/>
    </row>
    <row r="368" spans="1:51" ht="15" x14ac:dyDescent="0.25">
      <c r="A368" s="123"/>
      <c r="B368" s="124"/>
      <c r="C368" s="125">
        <v>449121</v>
      </c>
      <c r="D368" s="89"/>
      <c r="E368" s="86" t="s">
        <v>15</v>
      </c>
      <c r="F368" s="86" t="s">
        <v>418</v>
      </c>
      <c r="H368" s="126" t="s">
        <v>51</v>
      </c>
      <c r="I368" s="89">
        <v>1</v>
      </c>
      <c r="J368" s="127">
        <v>31848.709899999998</v>
      </c>
      <c r="K368" s="127">
        <v>57538.990000000005</v>
      </c>
      <c r="L368" s="127">
        <v>6003.71</v>
      </c>
      <c r="M368" s="127">
        <v>14178.709900000009</v>
      </c>
      <c r="N368" s="127">
        <v>48193.990000000005</v>
      </c>
      <c r="O368" s="127">
        <v>5238.71</v>
      </c>
      <c r="P368" s="128">
        <f t="shared" si="45"/>
        <v>0.44518945805085841</v>
      </c>
      <c r="Q368" s="128">
        <f t="shared" si="46"/>
        <v>0.83758839006385066</v>
      </c>
      <c r="R368" s="128">
        <f t="shared" si="47"/>
        <v>0.87257878878226958</v>
      </c>
      <c r="S368" s="129">
        <v>1</v>
      </c>
      <c r="T368" s="129">
        <v>1</v>
      </c>
      <c r="U368" s="129">
        <v>1</v>
      </c>
      <c r="V368" s="138">
        <f t="shared" si="48"/>
        <v>3</v>
      </c>
      <c r="W368" s="138">
        <f t="shared" si="49"/>
        <v>3</v>
      </c>
      <c r="X368" s="138">
        <f t="shared" si="50"/>
        <v>1</v>
      </c>
      <c r="Y368" s="138">
        <f t="shared" si="51"/>
        <v>3</v>
      </c>
      <c r="Z368" s="138">
        <f t="shared" si="52"/>
        <v>3</v>
      </c>
      <c r="AA368" s="138">
        <f t="shared" si="53"/>
        <v>1</v>
      </c>
      <c r="AB368" s="127" t="s">
        <v>32</v>
      </c>
      <c r="AC368" s="127"/>
      <c r="AD368" s="127"/>
      <c r="AE368" s="130"/>
      <c r="AF368" s="136">
        <v>9.09</v>
      </c>
      <c r="AG368" s="136">
        <v>11.33</v>
      </c>
      <c r="AH368" s="136">
        <v>30.89</v>
      </c>
      <c r="AI368" s="136">
        <v>5.99</v>
      </c>
      <c r="AJ368" s="136">
        <v>3.36</v>
      </c>
      <c r="AK368" s="136">
        <v>0.49</v>
      </c>
      <c r="AL368" s="136">
        <v>3.31</v>
      </c>
      <c r="AM368" s="136">
        <v>64.460000000000008</v>
      </c>
      <c r="AN368" s="131"/>
      <c r="AO368" s="131"/>
      <c r="AP368" s="131"/>
      <c r="AQ368" s="131"/>
      <c r="AR368" s="131"/>
      <c r="AS368" s="131"/>
      <c r="AT368" s="131"/>
      <c r="AU368" s="91"/>
      <c r="AV368" s="91"/>
      <c r="AW368" s="131"/>
      <c r="AX368" s="131"/>
      <c r="AY368" s="131"/>
    </row>
    <row r="369" spans="1:51" ht="15" x14ac:dyDescent="0.25">
      <c r="A369" s="123"/>
      <c r="B369" s="124"/>
      <c r="C369" s="125">
        <v>476940</v>
      </c>
      <c r="D369" s="89"/>
      <c r="E369" s="86" t="s">
        <v>15</v>
      </c>
      <c r="F369" s="86" t="s">
        <v>418</v>
      </c>
      <c r="H369" s="126" t="s">
        <v>51</v>
      </c>
      <c r="I369" s="89">
        <v>1</v>
      </c>
      <c r="J369" s="127">
        <v>31848.709899999998</v>
      </c>
      <c r="K369" s="127">
        <v>57538.990000000005</v>
      </c>
      <c r="L369" s="127">
        <v>6003.71</v>
      </c>
      <c r="M369" s="127">
        <v>14178.709900000009</v>
      </c>
      <c r="N369" s="127">
        <v>48193.990000000005</v>
      </c>
      <c r="O369" s="127">
        <v>5238.71</v>
      </c>
      <c r="P369" s="128">
        <f t="shared" si="45"/>
        <v>0.44518945805085841</v>
      </c>
      <c r="Q369" s="128">
        <f t="shared" si="46"/>
        <v>0.83758839006385066</v>
      </c>
      <c r="R369" s="128">
        <f t="shared" si="47"/>
        <v>0.87257878878226958</v>
      </c>
      <c r="S369" s="129">
        <v>1</v>
      </c>
      <c r="T369" s="129">
        <v>1</v>
      </c>
      <c r="U369" s="129">
        <v>1</v>
      </c>
      <c r="V369" s="138">
        <f t="shared" si="48"/>
        <v>3</v>
      </c>
      <c r="W369" s="138">
        <f t="shared" si="49"/>
        <v>3</v>
      </c>
      <c r="X369" s="138">
        <f t="shared" si="50"/>
        <v>1</v>
      </c>
      <c r="Y369" s="138">
        <f t="shared" si="51"/>
        <v>3</v>
      </c>
      <c r="Z369" s="138">
        <f t="shared" si="52"/>
        <v>3</v>
      </c>
      <c r="AA369" s="138">
        <f t="shared" si="53"/>
        <v>1</v>
      </c>
      <c r="AB369" s="127" t="s">
        <v>32</v>
      </c>
      <c r="AC369" s="127"/>
      <c r="AD369" s="127"/>
      <c r="AE369" s="130"/>
      <c r="AF369" s="136">
        <v>9.09</v>
      </c>
      <c r="AG369" s="136">
        <v>11.33</v>
      </c>
      <c r="AH369" s="136">
        <v>30.89</v>
      </c>
      <c r="AI369" s="136">
        <v>5.99</v>
      </c>
      <c r="AJ369" s="136">
        <v>3.36</v>
      </c>
      <c r="AK369" s="136">
        <v>0.49</v>
      </c>
      <c r="AL369" s="136">
        <v>3.31</v>
      </c>
      <c r="AM369" s="136">
        <v>64.460000000000008</v>
      </c>
      <c r="AN369" s="131"/>
      <c r="AO369" s="131"/>
      <c r="AP369" s="131"/>
      <c r="AQ369" s="131"/>
      <c r="AR369" s="131"/>
      <c r="AS369" s="131"/>
      <c r="AT369" s="131"/>
      <c r="AU369" s="91"/>
      <c r="AV369" s="91"/>
      <c r="AW369" s="131"/>
      <c r="AX369" s="131"/>
      <c r="AY369" s="131"/>
    </row>
    <row r="370" spans="1:51" ht="15" x14ac:dyDescent="0.25">
      <c r="A370" s="123"/>
      <c r="B370" s="124"/>
      <c r="C370" s="125">
        <v>497560</v>
      </c>
      <c r="D370" s="89"/>
      <c r="E370" s="86" t="s">
        <v>15</v>
      </c>
      <c r="F370" s="86" t="s">
        <v>418</v>
      </c>
      <c r="H370" s="126" t="s">
        <v>51</v>
      </c>
      <c r="I370" s="89">
        <v>1</v>
      </c>
      <c r="J370" s="127">
        <v>31848.709899999998</v>
      </c>
      <c r="K370" s="127">
        <v>57538.990000000005</v>
      </c>
      <c r="L370" s="127">
        <v>6003.71</v>
      </c>
      <c r="M370" s="127">
        <v>14178.709900000009</v>
      </c>
      <c r="N370" s="127">
        <v>48193.990000000005</v>
      </c>
      <c r="O370" s="127">
        <v>5238.71</v>
      </c>
      <c r="P370" s="128">
        <f t="shared" si="45"/>
        <v>0.44518945805085841</v>
      </c>
      <c r="Q370" s="128">
        <f t="shared" si="46"/>
        <v>0.83758839006385066</v>
      </c>
      <c r="R370" s="128">
        <f t="shared" si="47"/>
        <v>0.87257878878226958</v>
      </c>
      <c r="S370" s="129">
        <v>1</v>
      </c>
      <c r="T370" s="129">
        <v>1</v>
      </c>
      <c r="U370" s="129">
        <v>1</v>
      </c>
      <c r="V370" s="138">
        <f t="shared" si="48"/>
        <v>3</v>
      </c>
      <c r="W370" s="138">
        <f t="shared" si="49"/>
        <v>3</v>
      </c>
      <c r="X370" s="138">
        <f t="shared" si="50"/>
        <v>1</v>
      </c>
      <c r="Y370" s="138">
        <f t="shared" si="51"/>
        <v>3</v>
      </c>
      <c r="Z370" s="138">
        <f t="shared" si="52"/>
        <v>3</v>
      </c>
      <c r="AA370" s="138">
        <f t="shared" si="53"/>
        <v>1</v>
      </c>
      <c r="AB370" s="127" t="s">
        <v>32</v>
      </c>
      <c r="AC370" s="127"/>
      <c r="AD370" s="127"/>
      <c r="AE370" s="130"/>
      <c r="AF370" s="136">
        <v>9.09</v>
      </c>
      <c r="AG370" s="136">
        <v>11.33</v>
      </c>
      <c r="AH370" s="136">
        <v>30.89</v>
      </c>
      <c r="AI370" s="136">
        <v>5.99</v>
      </c>
      <c r="AJ370" s="136">
        <v>3.36</v>
      </c>
      <c r="AK370" s="136">
        <v>0.49</v>
      </c>
      <c r="AL370" s="136">
        <v>3.31</v>
      </c>
      <c r="AM370" s="136">
        <v>64.460000000000008</v>
      </c>
      <c r="AN370" s="131"/>
      <c r="AO370" s="131"/>
      <c r="AP370" s="131"/>
      <c r="AQ370" s="131"/>
      <c r="AR370" s="131"/>
      <c r="AS370" s="131"/>
      <c r="AT370" s="131"/>
      <c r="AU370" s="91"/>
      <c r="AV370" s="91"/>
      <c r="AW370" s="131"/>
      <c r="AX370" s="131"/>
      <c r="AY370" s="131"/>
    </row>
    <row r="371" spans="1:51" ht="15" x14ac:dyDescent="0.25">
      <c r="A371" s="123"/>
      <c r="B371" s="124"/>
      <c r="C371" s="125">
        <v>550098</v>
      </c>
      <c r="D371" s="89"/>
      <c r="E371" s="86" t="s">
        <v>15</v>
      </c>
      <c r="F371" s="86" t="s">
        <v>418</v>
      </c>
      <c r="H371" s="126" t="s">
        <v>51</v>
      </c>
      <c r="I371" s="89">
        <v>1</v>
      </c>
      <c r="J371" s="127">
        <v>31848.709899999998</v>
      </c>
      <c r="K371" s="127">
        <v>57538.990000000005</v>
      </c>
      <c r="L371" s="127">
        <v>6003.71</v>
      </c>
      <c r="M371" s="127">
        <v>14178.709900000009</v>
      </c>
      <c r="N371" s="127">
        <v>48193.990000000005</v>
      </c>
      <c r="O371" s="127">
        <v>5238.71</v>
      </c>
      <c r="P371" s="128">
        <f t="shared" si="45"/>
        <v>0.44518945805085841</v>
      </c>
      <c r="Q371" s="128">
        <f t="shared" si="46"/>
        <v>0.83758839006385066</v>
      </c>
      <c r="R371" s="128">
        <f t="shared" si="47"/>
        <v>0.87257878878226958</v>
      </c>
      <c r="S371" s="129">
        <v>1</v>
      </c>
      <c r="T371" s="129">
        <v>1</v>
      </c>
      <c r="U371" s="129">
        <v>1</v>
      </c>
      <c r="V371" s="138">
        <f t="shared" si="48"/>
        <v>3</v>
      </c>
      <c r="W371" s="138">
        <f t="shared" si="49"/>
        <v>3</v>
      </c>
      <c r="X371" s="138">
        <f t="shared" si="50"/>
        <v>1</v>
      </c>
      <c r="Y371" s="138">
        <f t="shared" si="51"/>
        <v>3</v>
      </c>
      <c r="Z371" s="138">
        <f t="shared" si="52"/>
        <v>3</v>
      </c>
      <c r="AA371" s="138">
        <f t="shared" si="53"/>
        <v>1</v>
      </c>
      <c r="AB371" s="127" t="s">
        <v>32</v>
      </c>
      <c r="AC371" s="127"/>
      <c r="AD371" s="127"/>
      <c r="AE371" s="130"/>
      <c r="AF371" s="136">
        <v>9.09</v>
      </c>
      <c r="AG371" s="136">
        <v>11.33</v>
      </c>
      <c r="AH371" s="136">
        <v>30.89</v>
      </c>
      <c r="AI371" s="136">
        <v>5.99</v>
      </c>
      <c r="AJ371" s="136">
        <v>3.36</v>
      </c>
      <c r="AK371" s="136">
        <v>0.49</v>
      </c>
      <c r="AL371" s="136">
        <v>3.31</v>
      </c>
      <c r="AM371" s="136">
        <v>64.460000000000008</v>
      </c>
      <c r="AN371" s="131"/>
      <c r="AO371" s="131"/>
      <c r="AP371" s="131"/>
      <c r="AQ371" s="131"/>
      <c r="AR371" s="131"/>
      <c r="AS371" s="131"/>
      <c r="AT371" s="131"/>
      <c r="AU371" s="91"/>
      <c r="AV371" s="91"/>
      <c r="AW371" s="131"/>
      <c r="AX371" s="131"/>
      <c r="AY371" s="131"/>
    </row>
    <row r="372" spans="1:51" ht="15" x14ac:dyDescent="0.25">
      <c r="A372" s="123"/>
      <c r="B372" s="124"/>
      <c r="C372" s="125">
        <v>564136</v>
      </c>
      <c r="D372" s="89"/>
      <c r="E372" s="86" t="s">
        <v>15</v>
      </c>
      <c r="F372" s="86" t="s">
        <v>418</v>
      </c>
      <c r="H372" s="126" t="s">
        <v>51</v>
      </c>
      <c r="I372" s="89">
        <v>1</v>
      </c>
      <c r="J372" s="127">
        <v>31848.709899999998</v>
      </c>
      <c r="K372" s="127">
        <v>57538.990000000005</v>
      </c>
      <c r="L372" s="127">
        <v>6003.71</v>
      </c>
      <c r="M372" s="127">
        <v>14178.709900000009</v>
      </c>
      <c r="N372" s="127">
        <v>48193.990000000005</v>
      </c>
      <c r="O372" s="127">
        <v>5238.71</v>
      </c>
      <c r="P372" s="128">
        <f t="shared" si="45"/>
        <v>0.44518945805085841</v>
      </c>
      <c r="Q372" s="128">
        <f t="shared" si="46"/>
        <v>0.83758839006385066</v>
      </c>
      <c r="R372" s="128">
        <f t="shared" si="47"/>
        <v>0.87257878878226958</v>
      </c>
      <c r="S372" s="129">
        <v>1</v>
      </c>
      <c r="T372" s="129">
        <v>1</v>
      </c>
      <c r="U372" s="129">
        <v>1</v>
      </c>
      <c r="V372" s="138">
        <f t="shared" si="48"/>
        <v>3</v>
      </c>
      <c r="W372" s="138">
        <f t="shared" si="49"/>
        <v>3</v>
      </c>
      <c r="X372" s="138">
        <f t="shared" si="50"/>
        <v>1</v>
      </c>
      <c r="Y372" s="138">
        <f t="shared" si="51"/>
        <v>3</v>
      </c>
      <c r="Z372" s="138">
        <f t="shared" si="52"/>
        <v>3</v>
      </c>
      <c r="AA372" s="138">
        <f t="shared" si="53"/>
        <v>1</v>
      </c>
      <c r="AB372" s="127" t="s">
        <v>32</v>
      </c>
      <c r="AC372" s="127"/>
      <c r="AD372" s="127"/>
      <c r="AE372" s="130"/>
      <c r="AF372" s="136">
        <v>9.09</v>
      </c>
      <c r="AG372" s="136">
        <v>11.33</v>
      </c>
      <c r="AH372" s="136">
        <v>30.89</v>
      </c>
      <c r="AI372" s="136">
        <v>5.99</v>
      </c>
      <c r="AJ372" s="136">
        <v>3.36</v>
      </c>
      <c r="AK372" s="136">
        <v>0.49</v>
      </c>
      <c r="AL372" s="136">
        <v>3.31</v>
      </c>
      <c r="AM372" s="136">
        <v>64.460000000000008</v>
      </c>
      <c r="AN372" s="131"/>
      <c r="AO372" s="131"/>
      <c r="AP372" s="131"/>
      <c r="AQ372" s="131"/>
      <c r="AR372" s="131"/>
      <c r="AS372" s="131"/>
      <c r="AT372" s="131"/>
      <c r="AU372" s="91"/>
      <c r="AV372" s="91"/>
      <c r="AW372" s="131"/>
      <c r="AX372" s="131"/>
      <c r="AY372" s="131"/>
    </row>
    <row r="373" spans="1:51" ht="15" x14ac:dyDescent="0.25">
      <c r="A373" s="123"/>
      <c r="B373" s="124"/>
      <c r="C373" s="125">
        <v>591478</v>
      </c>
      <c r="D373" s="89"/>
      <c r="E373" s="86" t="s">
        <v>15</v>
      </c>
      <c r="F373" s="86" t="s">
        <v>418</v>
      </c>
      <c r="H373" s="126" t="s">
        <v>51</v>
      </c>
      <c r="I373" s="89">
        <v>1</v>
      </c>
      <c r="J373" s="127">
        <v>31848.709899999998</v>
      </c>
      <c r="K373" s="127">
        <v>57538.990000000005</v>
      </c>
      <c r="L373" s="127">
        <v>6003.71</v>
      </c>
      <c r="M373" s="127">
        <v>14178.709900000009</v>
      </c>
      <c r="N373" s="127">
        <v>48193.990000000005</v>
      </c>
      <c r="O373" s="127">
        <v>5238.71</v>
      </c>
      <c r="P373" s="128">
        <f t="shared" si="45"/>
        <v>0.44518945805085841</v>
      </c>
      <c r="Q373" s="128">
        <f t="shared" si="46"/>
        <v>0.83758839006385066</v>
      </c>
      <c r="R373" s="128">
        <f t="shared" si="47"/>
        <v>0.87257878878226958</v>
      </c>
      <c r="S373" s="129">
        <v>1</v>
      </c>
      <c r="T373" s="129">
        <v>1</v>
      </c>
      <c r="U373" s="129">
        <v>1</v>
      </c>
      <c r="V373" s="138">
        <f t="shared" si="48"/>
        <v>3</v>
      </c>
      <c r="W373" s="138">
        <f t="shared" si="49"/>
        <v>3</v>
      </c>
      <c r="X373" s="138">
        <f t="shared" si="50"/>
        <v>1</v>
      </c>
      <c r="Y373" s="138">
        <f t="shared" si="51"/>
        <v>3</v>
      </c>
      <c r="Z373" s="138">
        <f t="shared" si="52"/>
        <v>3</v>
      </c>
      <c r="AA373" s="138">
        <f t="shared" si="53"/>
        <v>1</v>
      </c>
      <c r="AB373" s="127" t="s">
        <v>32</v>
      </c>
      <c r="AC373" s="127"/>
      <c r="AD373" s="127"/>
      <c r="AE373" s="130"/>
      <c r="AF373" s="136">
        <v>9.09</v>
      </c>
      <c r="AG373" s="136">
        <v>11.33</v>
      </c>
      <c r="AH373" s="136">
        <v>30.89</v>
      </c>
      <c r="AI373" s="136">
        <v>5.99</v>
      </c>
      <c r="AJ373" s="136">
        <v>3.36</v>
      </c>
      <c r="AK373" s="136">
        <v>0.49</v>
      </c>
      <c r="AL373" s="136">
        <v>3.31</v>
      </c>
      <c r="AM373" s="136">
        <v>64.460000000000008</v>
      </c>
      <c r="AN373" s="131"/>
      <c r="AO373" s="131"/>
      <c r="AP373" s="131"/>
      <c r="AQ373" s="131"/>
      <c r="AR373" s="131"/>
      <c r="AS373" s="131"/>
      <c r="AT373" s="131"/>
      <c r="AU373" s="91"/>
      <c r="AV373" s="91"/>
      <c r="AW373" s="131"/>
      <c r="AX373" s="131"/>
      <c r="AY373" s="131"/>
    </row>
    <row r="374" spans="1:51" ht="15" x14ac:dyDescent="0.25">
      <c r="A374" s="123"/>
      <c r="B374" s="124"/>
      <c r="C374" s="125">
        <v>606727</v>
      </c>
      <c r="D374" s="89"/>
      <c r="E374" s="86" t="s">
        <v>15</v>
      </c>
      <c r="F374" s="86" t="s">
        <v>418</v>
      </c>
      <c r="H374" s="126" t="s">
        <v>51</v>
      </c>
      <c r="I374" s="89">
        <v>1</v>
      </c>
      <c r="J374" s="127">
        <v>31848.709899999998</v>
      </c>
      <c r="K374" s="127">
        <v>57538.990000000005</v>
      </c>
      <c r="L374" s="127">
        <v>6003.71</v>
      </c>
      <c r="M374" s="127">
        <v>14178.709900000009</v>
      </c>
      <c r="N374" s="127">
        <v>48193.990000000005</v>
      </c>
      <c r="O374" s="127">
        <v>5238.71</v>
      </c>
      <c r="P374" s="128">
        <f t="shared" si="45"/>
        <v>0.44518945805085841</v>
      </c>
      <c r="Q374" s="128">
        <f t="shared" si="46"/>
        <v>0.83758839006385066</v>
      </c>
      <c r="R374" s="128">
        <f t="shared" si="47"/>
        <v>0.87257878878226958</v>
      </c>
      <c r="S374" s="129">
        <v>1</v>
      </c>
      <c r="T374" s="129">
        <v>1</v>
      </c>
      <c r="U374" s="129">
        <v>1</v>
      </c>
      <c r="V374" s="138">
        <f t="shared" si="48"/>
        <v>3</v>
      </c>
      <c r="W374" s="138">
        <f t="shared" si="49"/>
        <v>3</v>
      </c>
      <c r="X374" s="138">
        <f t="shared" si="50"/>
        <v>1</v>
      </c>
      <c r="Y374" s="138">
        <f t="shared" si="51"/>
        <v>3</v>
      </c>
      <c r="Z374" s="138">
        <f t="shared" si="52"/>
        <v>3</v>
      </c>
      <c r="AA374" s="138">
        <f t="shared" si="53"/>
        <v>1</v>
      </c>
      <c r="AB374" s="127" t="s">
        <v>32</v>
      </c>
      <c r="AC374" s="127"/>
      <c r="AD374" s="127"/>
      <c r="AE374" s="130"/>
      <c r="AF374" s="136">
        <v>9.09</v>
      </c>
      <c r="AG374" s="136">
        <v>11.33</v>
      </c>
      <c r="AH374" s="136">
        <v>30.89</v>
      </c>
      <c r="AI374" s="136">
        <v>5.99</v>
      </c>
      <c r="AJ374" s="136">
        <v>3.36</v>
      </c>
      <c r="AK374" s="136">
        <v>0.49</v>
      </c>
      <c r="AL374" s="136">
        <v>3.31</v>
      </c>
      <c r="AM374" s="136">
        <v>64.460000000000008</v>
      </c>
      <c r="AN374" s="131"/>
      <c r="AO374" s="131"/>
      <c r="AP374" s="131"/>
      <c r="AQ374" s="131"/>
      <c r="AR374" s="131"/>
      <c r="AS374" s="131"/>
      <c r="AT374" s="131"/>
      <c r="AU374" s="91"/>
      <c r="AV374" s="91"/>
      <c r="AW374" s="131"/>
      <c r="AX374" s="131"/>
      <c r="AY374" s="131"/>
    </row>
    <row r="375" spans="1:51" ht="15" x14ac:dyDescent="0.25">
      <c r="A375" s="123"/>
      <c r="B375" s="124"/>
      <c r="C375" s="125">
        <v>615080</v>
      </c>
      <c r="D375" s="89"/>
      <c r="E375" s="86" t="s">
        <v>15</v>
      </c>
      <c r="F375" s="86" t="s">
        <v>418</v>
      </c>
      <c r="H375" s="126" t="s">
        <v>51</v>
      </c>
      <c r="I375" s="89">
        <v>1</v>
      </c>
      <c r="J375" s="127">
        <v>31848.709899999998</v>
      </c>
      <c r="K375" s="127">
        <v>57538.990000000005</v>
      </c>
      <c r="L375" s="127">
        <v>6003.71</v>
      </c>
      <c r="M375" s="127">
        <v>14178.709900000009</v>
      </c>
      <c r="N375" s="127">
        <v>48193.990000000005</v>
      </c>
      <c r="O375" s="127">
        <v>5238.71</v>
      </c>
      <c r="P375" s="128">
        <f t="shared" si="45"/>
        <v>0.44518945805085841</v>
      </c>
      <c r="Q375" s="128">
        <f t="shared" si="46"/>
        <v>0.83758839006385066</v>
      </c>
      <c r="R375" s="128">
        <f t="shared" si="47"/>
        <v>0.87257878878226958</v>
      </c>
      <c r="S375" s="129">
        <v>1</v>
      </c>
      <c r="T375" s="129">
        <v>1</v>
      </c>
      <c r="U375" s="129">
        <v>1</v>
      </c>
      <c r="V375" s="138">
        <f t="shared" si="48"/>
        <v>3</v>
      </c>
      <c r="W375" s="138">
        <f t="shared" si="49"/>
        <v>3</v>
      </c>
      <c r="X375" s="138">
        <f t="shared" si="50"/>
        <v>1</v>
      </c>
      <c r="Y375" s="138">
        <f t="shared" si="51"/>
        <v>3</v>
      </c>
      <c r="Z375" s="138">
        <f t="shared" si="52"/>
        <v>3</v>
      </c>
      <c r="AA375" s="138">
        <f t="shared" si="53"/>
        <v>1</v>
      </c>
      <c r="AB375" s="127" t="s">
        <v>32</v>
      </c>
      <c r="AC375" s="127"/>
      <c r="AD375" s="127"/>
      <c r="AE375" s="130"/>
      <c r="AF375" s="136">
        <v>9.09</v>
      </c>
      <c r="AG375" s="136">
        <v>11.33</v>
      </c>
      <c r="AH375" s="136">
        <v>30.89</v>
      </c>
      <c r="AI375" s="136">
        <v>5.99</v>
      </c>
      <c r="AJ375" s="136">
        <v>3.36</v>
      </c>
      <c r="AK375" s="136">
        <v>0.49</v>
      </c>
      <c r="AL375" s="136">
        <v>3.31</v>
      </c>
      <c r="AM375" s="136">
        <v>64.460000000000008</v>
      </c>
      <c r="AN375" s="131"/>
      <c r="AO375" s="131"/>
      <c r="AP375" s="131"/>
      <c r="AQ375" s="131"/>
      <c r="AR375" s="131"/>
      <c r="AS375" s="131"/>
      <c r="AT375" s="131"/>
      <c r="AU375" s="91"/>
      <c r="AV375" s="91"/>
      <c r="AW375" s="131"/>
      <c r="AX375" s="131"/>
      <c r="AY375" s="131"/>
    </row>
    <row r="376" spans="1:51" ht="15" x14ac:dyDescent="0.25">
      <c r="A376" s="123"/>
      <c r="B376" s="124"/>
      <c r="C376" s="125">
        <v>616146</v>
      </c>
      <c r="D376" s="89"/>
      <c r="E376" s="86" t="s">
        <v>15</v>
      </c>
      <c r="F376" s="86" t="s">
        <v>418</v>
      </c>
      <c r="H376" s="126" t="s">
        <v>51</v>
      </c>
      <c r="I376" s="89">
        <v>1</v>
      </c>
      <c r="J376" s="127">
        <v>31848.709899999998</v>
      </c>
      <c r="K376" s="127">
        <v>57538.990000000005</v>
      </c>
      <c r="L376" s="127">
        <v>6003.71</v>
      </c>
      <c r="M376" s="127">
        <v>14178.709900000009</v>
      </c>
      <c r="N376" s="127">
        <v>48193.990000000005</v>
      </c>
      <c r="O376" s="127">
        <v>5238.71</v>
      </c>
      <c r="P376" s="128">
        <f t="shared" si="45"/>
        <v>0.44518945805085841</v>
      </c>
      <c r="Q376" s="128">
        <f t="shared" si="46"/>
        <v>0.83758839006385066</v>
      </c>
      <c r="R376" s="128">
        <f t="shared" si="47"/>
        <v>0.87257878878226958</v>
      </c>
      <c r="S376" s="129">
        <v>1</v>
      </c>
      <c r="T376" s="129">
        <v>1</v>
      </c>
      <c r="U376" s="129">
        <v>1</v>
      </c>
      <c r="V376" s="138">
        <f t="shared" si="48"/>
        <v>3</v>
      </c>
      <c r="W376" s="138">
        <f t="shared" si="49"/>
        <v>3</v>
      </c>
      <c r="X376" s="138">
        <f t="shared" si="50"/>
        <v>1</v>
      </c>
      <c r="Y376" s="138">
        <f t="shared" si="51"/>
        <v>3</v>
      </c>
      <c r="Z376" s="138">
        <f t="shared" si="52"/>
        <v>3</v>
      </c>
      <c r="AA376" s="138">
        <f t="shared" si="53"/>
        <v>1</v>
      </c>
      <c r="AB376" s="127" t="s">
        <v>32</v>
      </c>
      <c r="AC376" s="127"/>
      <c r="AD376" s="127"/>
      <c r="AE376" s="130"/>
      <c r="AF376" s="136">
        <v>9.09</v>
      </c>
      <c r="AG376" s="136">
        <v>11.33</v>
      </c>
      <c r="AH376" s="136">
        <v>30.89</v>
      </c>
      <c r="AI376" s="136">
        <v>5.99</v>
      </c>
      <c r="AJ376" s="136">
        <v>3.36</v>
      </c>
      <c r="AK376" s="136">
        <v>0.49</v>
      </c>
      <c r="AL376" s="136">
        <v>3.31</v>
      </c>
      <c r="AM376" s="136">
        <v>64.460000000000008</v>
      </c>
      <c r="AN376" s="131"/>
      <c r="AO376" s="131"/>
      <c r="AP376" s="131"/>
      <c r="AQ376" s="131"/>
      <c r="AR376" s="131"/>
      <c r="AS376" s="131"/>
      <c r="AT376" s="131"/>
      <c r="AU376" s="91"/>
      <c r="AV376" s="91"/>
      <c r="AW376" s="131"/>
      <c r="AX376" s="131"/>
      <c r="AY376" s="131"/>
    </row>
    <row r="377" spans="1:51" ht="15" x14ac:dyDescent="0.25">
      <c r="A377" s="123"/>
      <c r="B377" s="124"/>
      <c r="C377" s="125">
        <v>640067</v>
      </c>
      <c r="D377" s="89"/>
      <c r="E377" s="86" t="s">
        <v>15</v>
      </c>
      <c r="F377" s="86" t="s">
        <v>418</v>
      </c>
      <c r="H377" s="126" t="s">
        <v>51</v>
      </c>
      <c r="I377" s="89">
        <v>1</v>
      </c>
      <c r="J377" s="127">
        <v>31848.709899999998</v>
      </c>
      <c r="K377" s="127">
        <v>57538.990000000005</v>
      </c>
      <c r="L377" s="127">
        <v>6003.71</v>
      </c>
      <c r="M377" s="127">
        <v>14178.709900000009</v>
      </c>
      <c r="N377" s="127">
        <v>48193.990000000005</v>
      </c>
      <c r="O377" s="127">
        <v>5238.71</v>
      </c>
      <c r="P377" s="128">
        <f t="shared" si="45"/>
        <v>0.44518945805085841</v>
      </c>
      <c r="Q377" s="128">
        <f t="shared" si="46"/>
        <v>0.83758839006385066</v>
      </c>
      <c r="R377" s="128">
        <f t="shared" si="47"/>
        <v>0.87257878878226958</v>
      </c>
      <c r="S377" s="129">
        <v>1</v>
      </c>
      <c r="T377" s="129">
        <v>1</v>
      </c>
      <c r="U377" s="129">
        <v>1</v>
      </c>
      <c r="V377" s="138">
        <f t="shared" si="48"/>
        <v>3</v>
      </c>
      <c r="W377" s="138">
        <f t="shared" si="49"/>
        <v>3</v>
      </c>
      <c r="X377" s="138">
        <f t="shared" si="50"/>
        <v>1</v>
      </c>
      <c r="Y377" s="138">
        <f t="shared" si="51"/>
        <v>3</v>
      </c>
      <c r="Z377" s="138">
        <f t="shared" si="52"/>
        <v>3</v>
      </c>
      <c r="AA377" s="138">
        <f t="shared" si="53"/>
        <v>1</v>
      </c>
      <c r="AB377" s="127" t="s">
        <v>32</v>
      </c>
      <c r="AC377" s="127"/>
      <c r="AD377" s="127"/>
      <c r="AE377" s="130"/>
      <c r="AF377" s="136">
        <v>9.09</v>
      </c>
      <c r="AG377" s="136">
        <v>11.33</v>
      </c>
      <c r="AH377" s="136">
        <v>30.89</v>
      </c>
      <c r="AI377" s="136">
        <v>5.99</v>
      </c>
      <c r="AJ377" s="136">
        <v>3.36</v>
      </c>
      <c r="AK377" s="136">
        <v>0.49</v>
      </c>
      <c r="AL377" s="136">
        <v>3.31</v>
      </c>
      <c r="AM377" s="136">
        <v>64.460000000000008</v>
      </c>
      <c r="AN377" s="131"/>
      <c r="AO377" s="131"/>
      <c r="AP377" s="131"/>
      <c r="AQ377" s="131"/>
      <c r="AR377" s="131"/>
      <c r="AS377" s="131"/>
      <c r="AT377" s="131"/>
      <c r="AU377" s="91"/>
      <c r="AV377" s="91"/>
      <c r="AW377" s="131"/>
      <c r="AX377" s="131"/>
      <c r="AY377" s="131"/>
    </row>
    <row r="378" spans="1:51" ht="15" x14ac:dyDescent="0.25">
      <c r="A378" s="123"/>
      <c r="B378" s="124"/>
      <c r="C378" s="125">
        <v>646880</v>
      </c>
      <c r="D378" s="89"/>
      <c r="E378" s="86" t="s">
        <v>15</v>
      </c>
      <c r="F378" s="86" t="s">
        <v>418</v>
      </c>
      <c r="H378" s="126" t="s">
        <v>51</v>
      </c>
      <c r="I378" s="89">
        <v>1</v>
      </c>
      <c r="J378" s="127">
        <v>31848.709899999998</v>
      </c>
      <c r="K378" s="127">
        <v>57538.990000000005</v>
      </c>
      <c r="L378" s="127">
        <v>6003.71</v>
      </c>
      <c r="M378" s="127">
        <v>14178.709900000009</v>
      </c>
      <c r="N378" s="127">
        <v>48193.990000000005</v>
      </c>
      <c r="O378" s="127">
        <v>5238.71</v>
      </c>
      <c r="P378" s="128">
        <f t="shared" si="45"/>
        <v>0.44518945805085841</v>
      </c>
      <c r="Q378" s="128">
        <f t="shared" si="46"/>
        <v>0.83758839006385066</v>
      </c>
      <c r="R378" s="128">
        <f t="shared" si="47"/>
        <v>0.87257878878226958</v>
      </c>
      <c r="S378" s="129">
        <v>1</v>
      </c>
      <c r="T378" s="129">
        <v>1</v>
      </c>
      <c r="U378" s="129">
        <v>1</v>
      </c>
      <c r="V378" s="138">
        <f t="shared" si="48"/>
        <v>3</v>
      </c>
      <c r="W378" s="138">
        <f t="shared" si="49"/>
        <v>3</v>
      </c>
      <c r="X378" s="138">
        <f t="shared" si="50"/>
        <v>1</v>
      </c>
      <c r="Y378" s="138">
        <f t="shared" si="51"/>
        <v>3</v>
      </c>
      <c r="Z378" s="138">
        <f t="shared" si="52"/>
        <v>3</v>
      </c>
      <c r="AA378" s="138">
        <f t="shared" si="53"/>
        <v>1</v>
      </c>
      <c r="AB378" s="127" t="s">
        <v>32</v>
      </c>
      <c r="AC378" s="127"/>
      <c r="AD378" s="127"/>
      <c r="AE378" s="130"/>
      <c r="AF378" s="136">
        <v>9.09</v>
      </c>
      <c r="AG378" s="136">
        <v>11.33</v>
      </c>
      <c r="AH378" s="136">
        <v>30.89</v>
      </c>
      <c r="AI378" s="136">
        <v>5.99</v>
      </c>
      <c r="AJ378" s="136">
        <v>3.36</v>
      </c>
      <c r="AK378" s="136">
        <v>0.49</v>
      </c>
      <c r="AL378" s="136">
        <v>3.31</v>
      </c>
      <c r="AM378" s="136">
        <v>64.460000000000008</v>
      </c>
      <c r="AN378" s="131"/>
      <c r="AO378" s="131"/>
      <c r="AP378" s="131"/>
      <c r="AQ378" s="131"/>
      <c r="AR378" s="131"/>
      <c r="AS378" s="131"/>
      <c r="AT378" s="131"/>
      <c r="AU378" s="91"/>
      <c r="AV378" s="91"/>
      <c r="AW378" s="131"/>
      <c r="AX378" s="131"/>
      <c r="AY378" s="131"/>
    </row>
    <row r="379" spans="1:51" ht="15" x14ac:dyDescent="0.25">
      <c r="A379" s="123"/>
      <c r="B379" s="124"/>
      <c r="C379" s="125">
        <v>660802</v>
      </c>
      <c r="D379" s="89"/>
      <c r="E379" s="86" t="s">
        <v>15</v>
      </c>
      <c r="F379" s="86" t="s">
        <v>418</v>
      </c>
      <c r="H379" s="126" t="s">
        <v>51</v>
      </c>
      <c r="I379" s="89">
        <v>1</v>
      </c>
      <c r="J379" s="127">
        <v>31848.709899999998</v>
      </c>
      <c r="K379" s="127">
        <v>57538.990000000005</v>
      </c>
      <c r="L379" s="127">
        <v>6003.71</v>
      </c>
      <c r="M379" s="127">
        <v>14178.709900000009</v>
      </c>
      <c r="N379" s="127">
        <v>48193.990000000005</v>
      </c>
      <c r="O379" s="127">
        <v>5238.71</v>
      </c>
      <c r="P379" s="128">
        <f t="shared" si="45"/>
        <v>0.44518945805085841</v>
      </c>
      <c r="Q379" s="128">
        <f t="shared" si="46"/>
        <v>0.83758839006385066</v>
      </c>
      <c r="R379" s="128">
        <f t="shared" si="47"/>
        <v>0.87257878878226958</v>
      </c>
      <c r="S379" s="129">
        <v>1</v>
      </c>
      <c r="T379" s="129">
        <v>1</v>
      </c>
      <c r="U379" s="129">
        <v>1</v>
      </c>
      <c r="V379" s="138">
        <f t="shared" si="48"/>
        <v>3</v>
      </c>
      <c r="W379" s="138">
        <f t="shared" si="49"/>
        <v>3</v>
      </c>
      <c r="X379" s="138">
        <f t="shared" si="50"/>
        <v>1</v>
      </c>
      <c r="Y379" s="138">
        <f t="shared" si="51"/>
        <v>3</v>
      </c>
      <c r="Z379" s="138">
        <f t="shared" si="52"/>
        <v>3</v>
      </c>
      <c r="AA379" s="138">
        <f t="shared" si="53"/>
        <v>1</v>
      </c>
      <c r="AB379" s="127" t="s">
        <v>32</v>
      </c>
      <c r="AC379" s="127"/>
      <c r="AD379" s="127"/>
      <c r="AE379" s="130"/>
      <c r="AF379" s="136">
        <v>9.09</v>
      </c>
      <c r="AG379" s="136">
        <v>11.33</v>
      </c>
      <c r="AH379" s="136">
        <v>30.89</v>
      </c>
      <c r="AI379" s="136">
        <v>5.99</v>
      </c>
      <c r="AJ379" s="136">
        <v>3.36</v>
      </c>
      <c r="AK379" s="136">
        <v>0.49</v>
      </c>
      <c r="AL379" s="136">
        <v>3.31</v>
      </c>
      <c r="AM379" s="136">
        <v>64.460000000000008</v>
      </c>
      <c r="AN379" s="131"/>
      <c r="AO379" s="131"/>
      <c r="AP379" s="131"/>
      <c r="AQ379" s="131"/>
      <c r="AR379" s="131"/>
      <c r="AS379" s="131"/>
      <c r="AT379" s="131"/>
      <c r="AU379" s="91"/>
      <c r="AV379" s="91"/>
      <c r="AW379" s="131"/>
      <c r="AX379" s="131"/>
      <c r="AY379" s="131"/>
    </row>
    <row r="380" spans="1:51" ht="15" x14ac:dyDescent="0.25">
      <c r="A380" s="123"/>
      <c r="B380" s="124"/>
      <c r="C380" s="125">
        <v>724746</v>
      </c>
      <c r="D380" s="89"/>
      <c r="E380" s="86" t="s">
        <v>15</v>
      </c>
      <c r="F380" s="86" t="s">
        <v>418</v>
      </c>
      <c r="H380" s="126" t="s">
        <v>51</v>
      </c>
      <c r="I380" s="89">
        <v>1</v>
      </c>
      <c r="J380" s="127">
        <v>31848.709899999998</v>
      </c>
      <c r="K380" s="127">
        <v>57538.990000000005</v>
      </c>
      <c r="L380" s="127">
        <v>6003.71</v>
      </c>
      <c r="M380" s="127">
        <v>14178.709900000009</v>
      </c>
      <c r="N380" s="127">
        <v>48193.990000000005</v>
      </c>
      <c r="O380" s="127">
        <v>5238.71</v>
      </c>
      <c r="P380" s="128">
        <f t="shared" si="45"/>
        <v>0.44518945805085841</v>
      </c>
      <c r="Q380" s="128">
        <f t="shared" si="46"/>
        <v>0.83758839006385066</v>
      </c>
      <c r="R380" s="128">
        <f t="shared" si="47"/>
        <v>0.87257878878226958</v>
      </c>
      <c r="S380" s="129">
        <v>1</v>
      </c>
      <c r="T380" s="129">
        <v>1</v>
      </c>
      <c r="U380" s="129">
        <v>1</v>
      </c>
      <c r="V380" s="138">
        <f t="shared" si="48"/>
        <v>3</v>
      </c>
      <c r="W380" s="138">
        <f t="shared" si="49"/>
        <v>3</v>
      </c>
      <c r="X380" s="138">
        <f t="shared" si="50"/>
        <v>1</v>
      </c>
      <c r="Y380" s="138">
        <f t="shared" si="51"/>
        <v>3</v>
      </c>
      <c r="Z380" s="138">
        <f t="shared" si="52"/>
        <v>3</v>
      </c>
      <c r="AA380" s="138">
        <f t="shared" si="53"/>
        <v>1</v>
      </c>
      <c r="AB380" s="127" t="s">
        <v>32</v>
      </c>
      <c r="AC380" s="127"/>
      <c r="AD380" s="127"/>
      <c r="AE380" s="130"/>
      <c r="AF380" s="136">
        <v>9.09</v>
      </c>
      <c r="AG380" s="136">
        <v>11.33</v>
      </c>
      <c r="AH380" s="136">
        <v>30.89</v>
      </c>
      <c r="AI380" s="136">
        <v>5.99</v>
      </c>
      <c r="AJ380" s="136">
        <v>3.36</v>
      </c>
      <c r="AK380" s="136">
        <v>0.49</v>
      </c>
      <c r="AL380" s="136">
        <v>3.31</v>
      </c>
      <c r="AM380" s="136">
        <v>64.460000000000008</v>
      </c>
      <c r="AN380" s="131"/>
      <c r="AO380" s="131"/>
      <c r="AP380" s="131"/>
      <c r="AQ380" s="131"/>
      <c r="AR380" s="131"/>
      <c r="AS380" s="131"/>
      <c r="AT380" s="131"/>
      <c r="AU380" s="91"/>
      <c r="AV380" s="91"/>
      <c r="AW380" s="131"/>
      <c r="AX380" s="131"/>
      <c r="AY380" s="131"/>
    </row>
    <row r="381" spans="1:51" ht="15" x14ac:dyDescent="0.25">
      <c r="A381" s="123"/>
      <c r="B381" s="124"/>
      <c r="C381" s="125">
        <v>747038</v>
      </c>
      <c r="D381" s="89"/>
      <c r="E381" s="86" t="s">
        <v>15</v>
      </c>
      <c r="F381" s="86" t="s">
        <v>418</v>
      </c>
      <c r="H381" s="126" t="s">
        <v>51</v>
      </c>
      <c r="I381" s="89">
        <v>1</v>
      </c>
      <c r="J381" s="127">
        <v>31848.709899999998</v>
      </c>
      <c r="K381" s="127">
        <v>57538.990000000005</v>
      </c>
      <c r="L381" s="127">
        <v>6003.71</v>
      </c>
      <c r="M381" s="127">
        <v>14178.709900000009</v>
      </c>
      <c r="N381" s="127">
        <v>48193.990000000005</v>
      </c>
      <c r="O381" s="127">
        <v>5238.71</v>
      </c>
      <c r="P381" s="128">
        <f t="shared" si="45"/>
        <v>0.44518945805085841</v>
      </c>
      <c r="Q381" s="128">
        <f t="shared" si="46"/>
        <v>0.83758839006385066</v>
      </c>
      <c r="R381" s="128">
        <f t="shared" si="47"/>
        <v>0.87257878878226958</v>
      </c>
      <c r="S381" s="129">
        <v>1</v>
      </c>
      <c r="T381" s="129">
        <v>1</v>
      </c>
      <c r="U381" s="129">
        <v>1</v>
      </c>
      <c r="V381" s="138">
        <f t="shared" si="48"/>
        <v>3</v>
      </c>
      <c r="W381" s="138">
        <f t="shared" si="49"/>
        <v>3</v>
      </c>
      <c r="X381" s="138">
        <f t="shared" si="50"/>
        <v>1</v>
      </c>
      <c r="Y381" s="138">
        <f t="shared" si="51"/>
        <v>3</v>
      </c>
      <c r="Z381" s="138">
        <f t="shared" si="52"/>
        <v>3</v>
      </c>
      <c r="AA381" s="138">
        <f t="shared" si="53"/>
        <v>1</v>
      </c>
      <c r="AB381" s="127" t="s">
        <v>32</v>
      </c>
      <c r="AC381" s="127"/>
      <c r="AD381" s="127"/>
      <c r="AE381" s="130"/>
      <c r="AF381" s="136">
        <v>9.09</v>
      </c>
      <c r="AG381" s="136">
        <v>11.33</v>
      </c>
      <c r="AH381" s="136">
        <v>30.89</v>
      </c>
      <c r="AI381" s="136">
        <v>5.99</v>
      </c>
      <c r="AJ381" s="136">
        <v>3.36</v>
      </c>
      <c r="AK381" s="136">
        <v>0.49</v>
      </c>
      <c r="AL381" s="136">
        <v>3.31</v>
      </c>
      <c r="AM381" s="136">
        <v>64.460000000000008</v>
      </c>
      <c r="AN381" s="131"/>
      <c r="AO381" s="131"/>
      <c r="AP381" s="131"/>
      <c r="AQ381" s="131"/>
      <c r="AR381" s="131"/>
      <c r="AS381" s="131"/>
      <c r="AT381" s="131"/>
      <c r="AU381" s="91"/>
      <c r="AV381" s="91"/>
      <c r="AW381" s="131"/>
      <c r="AX381" s="131"/>
      <c r="AY381" s="131"/>
    </row>
    <row r="382" spans="1:51" ht="15" x14ac:dyDescent="0.25">
      <c r="A382" s="123"/>
      <c r="B382" s="124"/>
      <c r="C382" s="125">
        <v>765830</v>
      </c>
      <c r="D382" s="89"/>
      <c r="E382" s="86" t="s">
        <v>15</v>
      </c>
      <c r="F382" s="86" t="s">
        <v>418</v>
      </c>
      <c r="H382" s="126" t="s">
        <v>51</v>
      </c>
      <c r="I382" s="89">
        <v>1</v>
      </c>
      <c r="J382" s="127">
        <v>31848.709899999998</v>
      </c>
      <c r="K382" s="127">
        <v>57538.990000000005</v>
      </c>
      <c r="L382" s="127">
        <v>6003.71</v>
      </c>
      <c r="M382" s="127">
        <v>14178.709900000009</v>
      </c>
      <c r="N382" s="127">
        <v>48193.990000000005</v>
      </c>
      <c r="O382" s="127">
        <v>5238.71</v>
      </c>
      <c r="P382" s="128">
        <f t="shared" si="45"/>
        <v>0.44518945805085841</v>
      </c>
      <c r="Q382" s="128">
        <f t="shared" si="46"/>
        <v>0.83758839006385066</v>
      </c>
      <c r="R382" s="128">
        <f t="shared" si="47"/>
        <v>0.87257878878226958</v>
      </c>
      <c r="S382" s="129">
        <v>1</v>
      </c>
      <c r="T382" s="129">
        <v>1</v>
      </c>
      <c r="U382" s="129">
        <v>1</v>
      </c>
      <c r="V382" s="138">
        <f t="shared" si="48"/>
        <v>3</v>
      </c>
      <c r="W382" s="138">
        <f t="shared" si="49"/>
        <v>3</v>
      </c>
      <c r="X382" s="138">
        <f t="shared" si="50"/>
        <v>1</v>
      </c>
      <c r="Y382" s="138">
        <f t="shared" si="51"/>
        <v>3</v>
      </c>
      <c r="Z382" s="138">
        <f t="shared" si="52"/>
        <v>3</v>
      </c>
      <c r="AA382" s="138">
        <f t="shared" si="53"/>
        <v>1</v>
      </c>
      <c r="AB382" s="127" t="s">
        <v>32</v>
      </c>
      <c r="AC382" s="127"/>
      <c r="AD382" s="127"/>
      <c r="AE382" s="130"/>
      <c r="AF382" s="136">
        <v>9.09</v>
      </c>
      <c r="AG382" s="136">
        <v>11.33</v>
      </c>
      <c r="AH382" s="136">
        <v>30.89</v>
      </c>
      <c r="AI382" s="136">
        <v>5.99</v>
      </c>
      <c r="AJ382" s="136">
        <v>3.36</v>
      </c>
      <c r="AK382" s="136">
        <v>0.49</v>
      </c>
      <c r="AL382" s="136">
        <v>3.31</v>
      </c>
      <c r="AM382" s="136">
        <v>64.460000000000008</v>
      </c>
      <c r="AN382" s="131"/>
      <c r="AO382" s="131"/>
      <c r="AP382" s="131"/>
      <c r="AQ382" s="131"/>
      <c r="AR382" s="131"/>
      <c r="AS382" s="131"/>
      <c r="AT382" s="131"/>
      <c r="AU382" s="91"/>
      <c r="AV382" s="91"/>
      <c r="AW382" s="131"/>
      <c r="AX382" s="131"/>
      <c r="AY382" s="131"/>
    </row>
    <row r="383" spans="1:51" ht="15" x14ac:dyDescent="0.25">
      <c r="A383" s="123"/>
      <c r="B383" s="124"/>
      <c r="C383" s="125">
        <v>788168</v>
      </c>
      <c r="D383" s="89"/>
      <c r="E383" s="86" t="s">
        <v>15</v>
      </c>
      <c r="F383" s="86" t="s">
        <v>418</v>
      </c>
      <c r="H383" s="126" t="s">
        <v>51</v>
      </c>
      <c r="I383" s="89">
        <v>1</v>
      </c>
      <c r="J383" s="127">
        <v>31848.709899999998</v>
      </c>
      <c r="K383" s="127">
        <v>57538.990000000005</v>
      </c>
      <c r="L383" s="127">
        <v>6003.71</v>
      </c>
      <c r="M383" s="127">
        <v>14178.709900000009</v>
      </c>
      <c r="N383" s="127">
        <v>48193.990000000005</v>
      </c>
      <c r="O383" s="127">
        <v>5238.71</v>
      </c>
      <c r="P383" s="128">
        <f t="shared" si="45"/>
        <v>0.44518945805085841</v>
      </c>
      <c r="Q383" s="128">
        <f t="shared" si="46"/>
        <v>0.83758839006385066</v>
      </c>
      <c r="R383" s="128">
        <f t="shared" si="47"/>
        <v>0.87257878878226958</v>
      </c>
      <c r="S383" s="129">
        <v>1</v>
      </c>
      <c r="T383" s="129">
        <v>1</v>
      </c>
      <c r="U383" s="129">
        <v>1</v>
      </c>
      <c r="V383" s="138">
        <f t="shared" si="48"/>
        <v>3</v>
      </c>
      <c r="W383" s="138">
        <f t="shared" si="49"/>
        <v>3</v>
      </c>
      <c r="X383" s="138">
        <f t="shared" si="50"/>
        <v>1</v>
      </c>
      <c r="Y383" s="138">
        <f t="shared" si="51"/>
        <v>3</v>
      </c>
      <c r="Z383" s="138">
        <f t="shared" si="52"/>
        <v>3</v>
      </c>
      <c r="AA383" s="138">
        <f t="shared" si="53"/>
        <v>1</v>
      </c>
      <c r="AB383" s="127" t="s">
        <v>32</v>
      </c>
      <c r="AC383" s="127"/>
      <c r="AD383" s="127"/>
      <c r="AE383" s="130"/>
      <c r="AF383" s="136">
        <v>9.09</v>
      </c>
      <c r="AG383" s="136">
        <v>11.33</v>
      </c>
      <c r="AH383" s="136">
        <v>30.89</v>
      </c>
      <c r="AI383" s="136">
        <v>5.99</v>
      </c>
      <c r="AJ383" s="136">
        <v>3.36</v>
      </c>
      <c r="AK383" s="136">
        <v>0.49</v>
      </c>
      <c r="AL383" s="136">
        <v>3.31</v>
      </c>
      <c r="AM383" s="136">
        <v>64.460000000000008</v>
      </c>
      <c r="AN383" s="131"/>
      <c r="AO383" s="131"/>
      <c r="AP383" s="131"/>
      <c r="AQ383" s="131"/>
      <c r="AR383" s="131"/>
      <c r="AS383" s="131"/>
      <c r="AT383" s="131"/>
      <c r="AU383" s="91"/>
      <c r="AV383" s="91"/>
      <c r="AW383" s="131"/>
      <c r="AX383" s="131"/>
      <c r="AY383" s="131"/>
    </row>
    <row r="384" spans="1:51" ht="15" x14ac:dyDescent="0.25">
      <c r="A384" s="123"/>
      <c r="B384" s="124"/>
      <c r="C384" s="125">
        <v>833074</v>
      </c>
      <c r="D384" s="89"/>
      <c r="E384" s="86" t="s">
        <v>15</v>
      </c>
      <c r="F384" s="86" t="s">
        <v>418</v>
      </c>
      <c r="H384" s="126" t="s">
        <v>51</v>
      </c>
      <c r="I384" s="89">
        <v>1</v>
      </c>
      <c r="J384" s="127">
        <v>31848.709899999998</v>
      </c>
      <c r="K384" s="127">
        <v>57538.990000000005</v>
      </c>
      <c r="L384" s="127">
        <v>6003.71</v>
      </c>
      <c r="M384" s="127">
        <v>14178.709900000009</v>
      </c>
      <c r="N384" s="127">
        <v>48193.990000000005</v>
      </c>
      <c r="O384" s="127">
        <v>5238.71</v>
      </c>
      <c r="P384" s="128">
        <f t="shared" si="45"/>
        <v>0.44518945805085841</v>
      </c>
      <c r="Q384" s="128">
        <f t="shared" si="46"/>
        <v>0.83758839006385066</v>
      </c>
      <c r="R384" s="128">
        <f t="shared" si="47"/>
        <v>0.87257878878226958</v>
      </c>
      <c r="S384" s="129">
        <v>1</v>
      </c>
      <c r="T384" s="129">
        <v>1</v>
      </c>
      <c r="U384" s="129">
        <v>1</v>
      </c>
      <c r="V384" s="138">
        <f t="shared" si="48"/>
        <v>3</v>
      </c>
      <c r="W384" s="138">
        <f t="shared" si="49"/>
        <v>3</v>
      </c>
      <c r="X384" s="138">
        <f t="shared" si="50"/>
        <v>1</v>
      </c>
      <c r="Y384" s="138">
        <f t="shared" si="51"/>
        <v>3</v>
      </c>
      <c r="Z384" s="138">
        <f t="shared" si="52"/>
        <v>3</v>
      </c>
      <c r="AA384" s="138">
        <f t="shared" si="53"/>
        <v>1</v>
      </c>
      <c r="AB384" s="127" t="s">
        <v>32</v>
      </c>
      <c r="AC384" s="127"/>
      <c r="AD384" s="127"/>
      <c r="AE384" s="130"/>
      <c r="AF384" s="136">
        <v>9.09</v>
      </c>
      <c r="AG384" s="136">
        <v>11.33</v>
      </c>
      <c r="AH384" s="136">
        <v>30.89</v>
      </c>
      <c r="AI384" s="136">
        <v>5.99</v>
      </c>
      <c r="AJ384" s="136">
        <v>3.36</v>
      </c>
      <c r="AK384" s="136">
        <v>0.49</v>
      </c>
      <c r="AL384" s="136">
        <v>3.31</v>
      </c>
      <c r="AM384" s="136">
        <v>64.460000000000008</v>
      </c>
      <c r="AN384" s="131"/>
      <c r="AO384" s="131"/>
      <c r="AP384" s="131"/>
      <c r="AQ384" s="131"/>
      <c r="AR384" s="131"/>
      <c r="AS384" s="131"/>
      <c r="AT384" s="131"/>
      <c r="AU384" s="91"/>
      <c r="AV384" s="91"/>
      <c r="AW384" s="131"/>
      <c r="AX384" s="131"/>
      <c r="AY384" s="131"/>
    </row>
    <row r="385" spans="1:51" ht="15" x14ac:dyDescent="0.25">
      <c r="A385" s="123"/>
      <c r="B385" s="124"/>
      <c r="C385" s="125">
        <v>19247</v>
      </c>
      <c r="D385" s="89"/>
      <c r="E385" s="86" t="s">
        <v>16</v>
      </c>
      <c r="F385" s="86" t="s">
        <v>418</v>
      </c>
      <c r="H385" s="126" t="s">
        <v>51</v>
      </c>
      <c r="I385" s="89">
        <v>1</v>
      </c>
      <c r="J385" s="127">
        <v>36856.409899999999</v>
      </c>
      <c r="K385" s="127">
        <v>66873.820000000007</v>
      </c>
      <c r="L385" s="127">
        <v>10745.772499999999</v>
      </c>
      <c r="M385" s="127">
        <v>18597.409900000013</v>
      </c>
      <c r="N385" s="127">
        <v>57217.320000000007</v>
      </c>
      <c r="O385" s="127">
        <v>9955.2724999999991</v>
      </c>
      <c r="P385" s="128">
        <f t="shared" si="45"/>
        <v>0.5045909232738377</v>
      </c>
      <c r="Q385" s="128">
        <f t="shared" si="46"/>
        <v>0.8556011904210048</v>
      </c>
      <c r="R385" s="128">
        <f t="shared" si="47"/>
        <v>0.92643618688186447</v>
      </c>
      <c r="S385" s="129">
        <v>1</v>
      </c>
      <c r="T385" s="129">
        <v>1</v>
      </c>
      <c r="U385" s="129">
        <v>1</v>
      </c>
      <c r="V385" s="138">
        <f t="shared" si="48"/>
        <v>3</v>
      </c>
      <c r="W385" s="138">
        <f t="shared" si="49"/>
        <v>3</v>
      </c>
      <c r="X385" s="138">
        <f t="shared" si="50"/>
        <v>1</v>
      </c>
      <c r="Y385" s="138">
        <f t="shared" si="51"/>
        <v>3</v>
      </c>
      <c r="Z385" s="138">
        <f t="shared" si="52"/>
        <v>3</v>
      </c>
      <c r="AA385" s="138">
        <f t="shared" si="53"/>
        <v>1</v>
      </c>
      <c r="AB385" s="127" t="s">
        <v>32</v>
      </c>
      <c r="AC385" s="127"/>
      <c r="AD385" s="127"/>
      <c r="AE385" s="130"/>
      <c r="AF385" s="136">
        <v>11.54</v>
      </c>
      <c r="AG385" s="136">
        <v>11.33</v>
      </c>
      <c r="AH385" s="136">
        <v>35.49</v>
      </c>
      <c r="AI385" s="136">
        <v>5.99</v>
      </c>
      <c r="AJ385" s="136">
        <v>6.18</v>
      </c>
      <c r="AK385" s="136">
        <v>0.49</v>
      </c>
      <c r="AL385" s="136">
        <v>3.31</v>
      </c>
      <c r="AM385" s="136">
        <v>74.33</v>
      </c>
      <c r="AN385" s="131"/>
      <c r="AO385" s="131"/>
      <c r="AP385" s="131"/>
      <c r="AQ385" s="131"/>
      <c r="AR385" s="131"/>
      <c r="AS385" s="131"/>
      <c r="AT385" s="131"/>
      <c r="AU385" s="91"/>
      <c r="AV385" s="91"/>
      <c r="AW385" s="131"/>
      <c r="AX385" s="131"/>
      <c r="AY385" s="131"/>
    </row>
    <row r="386" spans="1:51" ht="15" x14ac:dyDescent="0.25">
      <c r="A386" s="123"/>
      <c r="B386" s="124"/>
      <c r="C386" s="125">
        <v>29029</v>
      </c>
      <c r="D386" s="89"/>
      <c r="E386" s="86" t="s">
        <v>16</v>
      </c>
      <c r="F386" s="86" t="s">
        <v>418</v>
      </c>
      <c r="H386" s="126" t="s">
        <v>50</v>
      </c>
      <c r="I386" s="89">
        <v>2</v>
      </c>
      <c r="J386" s="127">
        <v>36856.409899999999</v>
      </c>
      <c r="K386" s="127">
        <v>66873.820000000007</v>
      </c>
      <c r="L386" s="127">
        <v>10745.772499999999</v>
      </c>
      <c r="M386" s="127">
        <v>18597.409900000013</v>
      </c>
      <c r="N386" s="127">
        <v>57217.320000000007</v>
      </c>
      <c r="O386" s="127">
        <v>9955.2724999999991</v>
      </c>
      <c r="P386" s="128">
        <f t="shared" si="45"/>
        <v>0.5045909232738377</v>
      </c>
      <c r="Q386" s="128">
        <f t="shared" si="46"/>
        <v>0.8556011904210048</v>
      </c>
      <c r="R386" s="128">
        <f t="shared" si="47"/>
        <v>0.92643618688186447</v>
      </c>
      <c r="S386" s="129">
        <v>0</v>
      </c>
      <c r="T386" s="129">
        <v>0</v>
      </c>
      <c r="U386" s="129">
        <v>0</v>
      </c>
      <c r="V386" s="138">
        <f t="shared" si="48"/>
        <v>4</v>
      </c>
      <c r="W386" s="138">
        <f t="shared" si="49"/>
        <v>4</v>
      </c>
      <c r="X386" s="138">
        <f t="shared" si="50"/>
        <v>2</v>
      </c>
      <c r="Y386" s="138">
        <f t="shared" si="51"/>
        <v>0</v>
      </c>
      <c r="Z386" s="138">
        <f t="shared" si="52"/>
        <v>0</v>
      </c>
      <c r="AA386" s="138">
        <f t="shared" si="53"/>
        <v>0</v>
      </c>
      <c r="AB386" s="127" t="s">
        <v>32</v>
      </c>
      <c r="AC386" s="127"/>
      <c r="AD386" s="127"/>
      <c r="AE386" s="130"/>
      <c r="AF386" s="136">
        <v>0</v>
      </c>
      <c r="AG386" s="136">
        <v>0</v>
      </c>
      <c r="AH386" s="136">
        <v>0</v>
      </c>
      <c r="AI386" s="136">
        <v>0</v>
      </c>
      <c r="AJ386" s="136">
        <v>0</v>
      </c>
      <c r="AK386" s="136">
        <v>0</v>
      </c>
      <c r="AL386" s="136">
        <v>0</v>
      </c>
      <c r="AM386" s="136">
        <v>0</v>
      </c>
      <c r="AN386" s="131"/>
      <c r="AO386" s="131"/>
      <c r="AP386" s="131"/>
      <c r="AQ386" s="131"/>
      <c r="AR386" s="131"/>
      <c r="AS386" s="131"/>
      <c r="AT386" s="131"/>
      <c r="AU386" s="91"/>
      <c r="AV386" s="91"/>
      <c r="AW386" s="131"/>
      <c r="AX386" s="131"/>
      <c r="AY386" s="131"/>
    </row>
    <row r="387" spans="1:51" ht="15" x14ac:dyDescent="0.25">
      <c r="A387" s="123"/>
      <c r="B387" s="124"/>
      <c r="C387" s="125">
        <v>47387</v>
      </c>
      <c r="D387" s="89"/>
      <c r="E387" s="86" t="s">
        <v>16</v>
      </c>
      <c r="F387" s="86" t="s">
        <v>418</v>
      </c>
      <c r="H387" s="126" t="s">
        <v>51</v>
      </c>
      <c r="I387" s="89">
        <v>1</v>
      </c>
      <c r="J387" s="127">
        <v>36856.409899999999</v>
      </c>
      <c r="K387" s="127">
        <v>66873.820000000007</v>
      </c>
      <c r="L387" s="127">
        <v>10745.772499999999</v>
      </c>
      <c r="M387" s="127">
        <v>18597.409900000013</v>
      </c>
      <c r="N387" s="127">
        <v>57217.320000000007</v>
      </c>
      <c r="O387" s="127">
        <v>9955.2724999999991</v>
      </c>
      <c r="P387" s="128">
        <f t="shared" si="45"/>
        <v>0.5045909232738377</v>
      </c>
      <c r="Q387" s="128">
        <f t="shared" si="46"/>
        <v>0.8556011904210048</v>
      </c>
      <c r="R387" s="128">
        <f t="shared" si="47"/>
        <v>0.92643618688186447</v>
      </c>
      <c r="S387" s="129">
        <v>1</v>
      </c>
      <c r="T387" s="129">
        <v>1</v>
      </c>
      <c r="U387" s="129">
        <v>1</v>
      </c>
      <c r="V387" s="138">
        <f t="shared" si="48"/>
        <v>3</v>
      </c>
      <c r="W387" s="138">
        <f t="shared" si="49"/>
        <v>3</v>
      </c>
      <c r="X387" s="138">
        <f t="shared" si="50"/>
        <v>1</v>
      </c>
      <c r="Y387" s="138">
        <f t="shared" si="51"/>
        <v>3</v>
      </c>
      <c r="Z387" s="138">
        <f t="shared" si="52"/>
        <v>3</v>
      </c>
      <c r="AA387" s="138">
        <f t="shared" si="53"/>
        <v>1</v>
      </c>
      <c r="AB387" s="127" t="s">
        <v>32</v>
      </c>
      <c r="AC387" s="127"/>
      <c r="AD387" s="127"/>
      <c r="AE387" s="130"/>
      <c r="AF387" s="136">
        <v>11.54</v>
      </c>
      <c r="AG387" s="136">
        <v>11.33</v>
      </c>
      <c r="AH387" s="136">
        <v>35.49</v>
      </c>
      <c r="AI387" s="136">
        <v>5.99</v>
      </c>
      <c r="AJ387" s="136">
        <v>6.18</v>
      </c>
      <c r="AK387" s="136">
        <v>0.49</v>
      </c>
      <c r="AL387" s="136">
        <v>3.31</v>
      </c>
      <c r="AM387" s="136">
        <v>74.33</v>
      </c>
      <c r="AN387" s="131"/>
      <c r="AO387" s="131"/>
      <c r="AP387" s="131"/>
      <c r="AQ387" s="131"/>
      <c r="AR387" s="131"/>
      <c r="AS387" s="131"/>
      <c r="AT387" s="131"/>
      <c r="AU387" s="91"/>
      <c r="AV387" s="91"/>
      <c r="AW387" s="131"/>
      <c r="AX387" s="131"/>
      <c r="AY387" s="131"/>
    </row>
    <row r="388" spans="1:51" ht="15" x14ac:dyDescent="0.25">
      <c r="A388" s="123"/>
      <c r="B388" s="124"/>
      <c r="C388" s="125">
        <v>51361</v>
      </c>
      <c r="D388" s="89"/>
      <c r="E388" s="86" t="s">
        <v>16</v>
      </c>
      <c r="F388" s="86" t="s">
        <v>418</v>
      </c>
      <c r="H388" s="126" t="s">
        <v>51</v>
      </c>
      <c r="I388" s="89">
        <v>1</v>
      </c>
      <c r="J388" s="127">
        <v>36856.409899999999</v>
      </c>
      <c r="K388" s="127">
        <v>66873.820000000007</v>
      </c>
      <c r="L388" s="127">
        <v>10745.772499999999</v>
      </c>
      <c r="M388" s="127">
        <v>18597.409900000013</v>
      </c>
      <c r="N388" s="127">
        <v>57217.320000000007</v>
      </c>
      <c r="O388" s="127">
        <v>9955.2724999999991</v>
      </c>
      <c r="P388" s="128">
        <f t="shared" si="45"/>
        <v>0.5045909232738377</v>
      </c>
      <c r="Q388" s="128">
        <f t="shared" si="46"/>
        <v>0.8556011904210048</v>
      </c>
      <c r="R388" s="128">
        <f t="shared" si="47"/>
        <v>0.92643618688186447</v>
      </c>
      <c r="S388" s="129">
        <v>1</v>
      </c>
      <c r="T388" s="129">
        <v>1</v>
      </c>
      <c r="U388" s="129">
        <v>1</v>
      </c>
      <c r="V388" s="138">
        <f t="shared" si="48"/>
        <v>3</v>
      </c>
      <c r="W388" s="138">
        <f t="shared" si="49"/>
        <v>3</v>
      </c>
      <c r="X388" s="138">
        <f t="shared" si="50"/>
        <v>1</v>
      </c>
      <c r="Y388" s="138">
        <f t="shared" si="51"/>
        <v>3</v>
      </c>
      <c r="Z388" s="138">
        <f t="shared" si="52"/>
        <v>3</v>
      </c>
      <c r="AA388" s="138">
        <f t="shared" si="53"/>
        <v>1</v>
      </c>
      <c r="AB388" s="127" t="s">
        <v>32</v>
      </c>
      <c r="AC388" s="127"/>
      <c r="AD388" s="127"/>
      <c r="AE388" s="130"/>
      <c r="AF388" s="136">
        <v>11.54</v>
      </c>
      <c r="AG388" s="136">
        <v>11.33</v>
      </c>
      <c r="AH388" s="136">
        <v>35.49</v>
      </c>
      <c r="AI388" s="136">
        <v>5.99</v>
      </c>
      <c r="AJ388" s="136">
        <v>6.18</v>
      </c>
      <c r="AK388" s="136">
        <v>0.49</v>
      </c>
      <c r="AL388" s="136">
        <v>3.31</v>
      </c>
      <c r="AM388" s="136">
        <v>74.33</v>
      </c>
      <c r="AN388" s="131"/>
      <c r="AO388" s="131"/>
      <c r="AP388" s="131"/>
      <c r="AQ388" s="131"/>
      <c r="AR388" s="131"/>
      <c r="AS388" s="131"/>
      <c r="AT388" s="131"/>
      <c r="AU388" s="91"/>
      <c r="AV388" s="91"/>
      <c r="AW388" s="131"/>
      <c r="AX388" s="131"/>
      <c r="AY388" s="131"/>
    </row>
    <row r="389" spans="1:51" ht="15" x14ac:dyDescent="0.25">
      <c r="A389" s="123"/>
      <c r="B389" s="124"/>
      <c r="C389" s="125">
        <v>62397</v>
      </c>
      <c r="D389" s="89"/>
      <c r="E389" s="86" t="s">
        <v>16</v>
      </c>
      <c r="F389" s="86" t="s">
        <v>418</v>
      </c>
      <c r="H389" s="126" t="s">
        <v>51</v>
      </c>
      <c r="I389" s="89">
        <v>1</v>
      </c>
      <c r="J389" s="127">
        <v>36856.409899999999</v>
      </c>
      <c r="K389" s="127">
        <v>66873.820000000007</v>
      </c>
      <c r="L389" s="127">
        <v>10745.772499999999</v>
      </c>
      <c r="M389" s="127">
        <v>18597.409900000013</v>
      </c>
      <c r="N389" s="127">
        <v>57217.320000000007</v>
      </c>
      <c r="O389" s="127">
        <v>9955.2724999999991</v>
      </c>
      <c r="P389" s="128">
        <f t="shared" si="45"/>
        <v>0.5045909232738377</v>
      </c>
      <c r="Q389" s="128">
        <f t="shared" si="46"/>
        <v>0.8556011904210048</v>
      </c>
      <c r="R389" s="128">
        <f t="shared" si="47"/>
        <v>0.92643618688186447</v>
      </c>
      <c r="S389" s="129">
        <v>1</v>
      </c>
      <c r="T389" s="129">
        <v>1</v>
      </c>
      <c r="U389" s="129">
        <v>1</v>
      </c>
      <c r="V389" s="138">
        <f t="shared" si="48"/>
        <v>3</v>
      </c>
      <c r="W389" s="138">
        <f t="shared" si="49"/>
        <v>3</v>
      </c>
      <c r="X389" s="138">
        <f t="shared" si="50"/>
        <v>1</v>
      </c>
      <c r="Y389" s="138">
        <f t="shared" si="51"/>
        <v>3</v>
      </c>
      <c r="Z389" s="138">
        <f t="shared" si="52"/>
        <v>3</v>
      </c>
      <c r="AA389" s="138">
        <f t="shared" si="53"/>
        <v>1</v>
      </c>
      <c r="AB389" s="127" t="s">
        <v>32</v>
      </c>
      <c r="AC389" s="127"/>
      <c r="AD389" s="127"/>
      <c r="AE389" s="130"/>
      <c r="AF389" s="136">
        <v>11.54</v>
      </c>
      <c r="AG389" s="136">
        <v>11.33</v>
      </c>
      <c r="AH389" s="136">
        <v>35.49</v>
      </c>
      <c r="AI389" s="136">
        <v>5.99</v>
      </c>
      <c r="AJ389" s="136">
        <v>6.18</v>
      </c>
      <c r="AK389" s="136">
        <v>0.49</v>
      </c>
      <c r="AL389" s="136">
        <v>3.31</v>
      </c>
      <c r="AM389" s="136">
        <v>74.33</v>
      </c>
      <c r="AN389" s="131"/>
      <c r="AO389" s="131"/>
      <c r="AP389" s="131"/>
      <c r="AQ389" s="131"/>
      <c r="AR389" s="131"/>
      <c r="AS389" s="131"/>
      <c r="AT389" s="131"/>
      <c r="AU389" s="91"/>
      <c r="AV389" s="91"/>
      <c r="AW389" s="131"/>
      <c r="AX389" s="131"/>
      <c r="AY389" s="131"/>
    </row>
    <row r="390" spans="1:51" ht="15" x14ac:dyDescent="0.25">
      <c r="A390" s="123"/>
      <c r="B390" s="124"/>
      <c r="C390" s="125">
        <v>68191</v>
      </c>
      <c r="D390" s="89"/>
      <c r="E390" s="86" t="s">
        <v>16</v>
      </c>
      <c r="F390" s="86" t="s">
        <v>418</v>
      </c>
      <c r="H390" s="126" t="s">
        <v>51</v>
      </c>
      <c r="I390" s="89">
        <v>1</v>
      </c>
      <c r="J390" s="127">
        <v>36856.409899999999</v>
      </c>
      <c r="K390" s="127">
        <v>66873.820000000007</v>
      </c>
      <c r="L390" s="127">
        <v>10745.772499999999</v>
      </c>
      <c r="M390" s="127">
        <v>18597.409900000013</v>
      </c>
      <c r="N390" s="127">
        <v>57217.320000000007</v>
      </c>
      <c r="O390" s="127">
        <v>9955.2724999999991</v>
      </c>
      <c r="P390" s="128">
        <f t="shared" ref="P390:P453" si="54">M390/J390</f>
        <v>0.5045909232738377</v>
      </c>
      <c r="Q390" s="128">
        <f t="shared" ref="Q390:Q453" si="55">N390/K390</f>
        <v>0.8556011904210048</v>
      </c>
      <c r="R390" s="128">
        <f t="shared" ref="R390:R453" si="56">O390/L390</f>
        <v>0.92643618688186447</v>
      </c>
      <c r="S390" s="129">
        <v>1</v>
      </c>
      <c r="T390" s="129">
        <v>1</v>
      </c>
      <c r="U390" s="129">
        <v>1</v>
      </c>
      <c r="V390" s="138">
        <f t="shared" ref="V390:V453" si="57">I390+2</f>
        <v>3</v>
      </c>
      <c r="W390" s="138">
        <f t="shared" ref="W390:W453" si="58">I390+2</f>
        <v>3</v>
      </c>
      <c r="X390" s="138">
        <f t="shared" ref="X390:X453" si="59">I390</f>
        <v>1</v>
      </c>
      <c r="Y390" s="138">
        <f t="shared" ref="Y390:Y453" si="60">IF(S390=0,0,V390)</f>
        <v>3</v>
      </c>
      <c r="Z390" s="138">
        <f t="shared" ref="Z390:Z453" si="61">IF(T390=0,0,W390)</f>
        <v>3</v>
      </c>
      <c r="AA390" s="138">
        <f t="shared" ref="AA390:AA453" si="62">IF(U390=0,0,1)</f>
        <v>1</v>
      </c>
      <c r="AB390" s="127" t="s">
        <v>32</v>
      </c>
      <c r="AC390" s="127"/>
      <c r="AD390" s="127"/>
      <c r="AE390" s="130"/>
      <c r="AF390" s="136">
        <v>11.54</v>
      </c>
      <c r="AG390" s="136">
        <v>11.33</v>
      </c>
      <c r="AH390" s="136">
        <v>35.49</v>
      </c>
      <c r="AI390" s="136">
        <v>5.99</v>
      </c>
      <c r="AJ390" s="136">
        <v>6.18</v>
      </c>
      <c r="AK390" s="136">
        <v>0.49</v>
      </c>
      <c r="AL390" s="136">
        <v>3.31</v>
      </c>
      <c r="AM390" s="136">
        <v>74.33</v>
      </c>
      <c r="AN390" s="131"/>
      <c r="AO390" s="131"/>
      <c r="AP390" s="131"/>
      <c r="AQ390" s="131"/>
      <c r="AR390" s="131"/>
      <c r="AS390" s="131"/>
      <c r="AT390" s="131"/>
      <c r="AU390" s="91"/>
      <c r="AV390" s="91"/>
      <c r="AW390" s="131"/>
      <c r="AX390" s="131"/>
      <c r="AY390" s="131"/>
    </row>
    <row r="391" spans="1:51" ht="15" x14ac:dyDescent="0.25">
      <c r="A391" s="123"/>
      <c r="B391" s="124"/>
      <c r="C391" s="125">
        <v>91082</v>
      </c>
      <c r="D391" s="89"/>
      <c r="E391" s="86" t="s">
        <v>16</v>
      </c>
      <c r="F391" s="86" t="s">
        <v>418</v>
      </c>
      <c r="H391" s="126" t="s">
        <v>50</v>
      </c>
      <c r="I391" s="89">
        <v>2</v>
      </c>
      <c r="J391" s="127">
        <v>36856.409899999999</v>
      </c>
      <c r="K391" s="127">
        <v>66873.820000000007</v>
      </c>
      <c r="L391" s="127">
        <v>10745.772499999999</v>
      </c>
      <c r="M391" s="127">
        <v>18597.409900000013</v>
      </c>
      <c r="N391" s="127">
        <v>57217.320000000007</v>
      </c>
      <c r="O391" s="127">
        <v>9955.2724999999991</v>
      </c>
      <c r="P391" s="128">
        <f t="shared" si="54"/>
        <v>0.5045909232738377</v>
      </c>
      <c r="Q391" s="128">
        <f t="shared" si="55"/>
        <v>0.8556011904210048</v>
      </c>
      <c r="R391" s="128">
        <f t="shared" si="56"/>
        <v>0.92643618688186447</v>
      </c>
      <c r="S391" s="129">
        <v>0</v>
      </c>
      <c r="T391" s="129">
        <v>0</v>
      </c>
      <c r="U391" s="129">
        <v>0</v>
      </c>
      <c r="V391" s="138">
        <f t="shared" si="57"/>
        <v>4</v>
      </c>
      <c r="W391" s="138">
        <f t="shared" si="58"/>
        <v>4</v>
      </c>
      <c r="X391" s="138">
        <f t="shared" si="59"/>
        <v>2</v>
      </c>
      <c r="Y391" s="138">
        <f t="shared" si="60"/>
        <v>0</v>
      </c>
      <c r="Z391" s="138">
        <f t="shared" si="61"/>
        <v>0</v>
      </c>
      <c r="AA391" s="138">
        <f t="shared" si="62"/>
        <v>0</v>
      </c>
      <c r="AB391" s="127" t="s">
        <v>32</v>
      </c>
      <c r="AC391" s="127"/>
      <c r="AD391" s="127"/>
      <c r="AE391" s="130"/>
      <c r="AF391" s="136">
        <v>0</v>
      </c>
      <c r="AG391" s="136">
        <v>0</v>
      </c>
      <c r="AH391" s="136">
        <v>0</v>
      </c>
      <c r="AI391" s="136">
        <v>0</v>
      </c>
      <c r="AJ391" s="136">
        <v>0</v>
      </c>
      <c r="AK391" s="136">
        <v>0</v>
      </c>
      <c r="AL391" s="136">
        <v>0</v>
      </c>
      <c r="AM391" s="136">
        <v>0</v>
      </c>
      <c r="AN391" s="131"/>
      <c r="AO391" s="131"/>
      <c r="AP391" s="131"/>
      <c r="AQ391" s="131"/>
      <c r="AR391" s="131"/>
      <c r="AS391" s="131"/>
      <c r="AT391" s="131"/>
      <c r="AU391" s="91"/>
      <c r="AV391" s="91"/>
      <c r="AW391" s="131"/>
      <c r="AX391" s="131"/>
      <c r="AY391" s="131"/>
    </row>
    <row r="392" spans="1:51" ht="15" x14ac:dyDescent="0.25">
      <c r="A392" s="123"/>
      <c r="B392" s="124"/>
      <c r="C392" s="125">
        <v>96871</v>
      </c>
      <c r="D392" s="89"/>
      <c r="E392" s="86" t="s">
        <v>16</v>
      </c>
      <c r="F392" s="86" t="s">
        <v>418</v>
      </c>
      <c r="H392" s="126" t="s">
        <v>51</v>
      </c>
      <c r="I392" s="89">
        <v>1</v>
      </c>
      <c r="J392" s="127">
        <v>36856.409899999999</v>
      </c>
      <c r="K392" s="127">
        <v>66873.820000000007</v>
      </c>
      <c r="L392" s="127">
        <v>10745.772499999999</v>
      </c>
      <c r="M392" s="127">
        <v>18597.409900000013</v>
      </c>
      <c r="N392" s="127">
        <v>57217.320000000007</v>
      </c>
      <c r="O392" s="127">
        <v>9955.2724999999991</v>
      </c>
      <c r="P392" s="128">
        <f t="shared" si="54"/>
        <v>0.5045909232738377</v>
      </c>
      <c r="Q392" s="128">
        <f t="shared" si="55"/>
        <v>0.8556011904210048</v>
      </c>
      <c r="R392" s="128">
        <f t="shared" si="56"/>
        <v>0.92643618688186447</v>
      </c>
      <c r="S392" s="129">
        <v>1</v>
      </c>
      <c r="T392" s="129">
        <v>1</v>
      </c>
      <c r="U392" s="129">
        <v>1</v>
      </c>
      <c r="V392" s="138">
        <f t="shared" si="57"/>
        <v>3</v>
      </c>
      <c r="W392" s="138">
        <f t="shared" si="58"/>
        <v>3</v>
      </c>
      <c r="X392" s="138">
        <f t="shared" si="59"/>
        <v>1</v>
      </c>
      <c r="Y392" s="138">
        <f t="shared" si="60"/>
        <v>3</v>
      </c>
      <c r="Z392" s="138">
        <f t="shared" si="61"/>
        <v>3</v>
      </c>
      <c r="AA392" s="138">
        <f t="shared" si="62"/>
        <v>1</v>
      </c>
      <c r="AB392" s="127" t="s">
        <v>32</v>
      </c>
      <c r="AC392" s="127"/>
      <c r="AD392" s="127"/>
      <c r="AE392" s="130"/>
      <c r="AF392" s="136">
        <v>11.54</v>
      </c>
      <c r="AG392" s="136">
        <v>11.33</v>
      </c>
      <c r="AH392" s="136">
        <v>35.49</v>
      </c>
      <c r="AI392" s="136">
        <v>5.99</v>
      </c>
      <c r="AJ392" s="136">
        <v>6.18</v>
      </c>
      <c r="AK392" s="136">
        <v>0.49</v>
      </c>
      <c r="AL392" s="136">
        <v>3.31</v>
      </c>
      <c r="AM392" s="136">
        <v>74.33</v>
      </c>
      <c r="AN392" s="131"/>
      <c r="AO392" s="131"/>
      <c r="AP392" s="131"/>
      <c r="AQ392" s="131"/>
      <c r="AR392" s="131"/>
      <c r="AS392" s="131"/>
      <c r="AT392" s="131"/>
      <c r="AU392" s="91"/>
      <c r="AV392" s="91"/>
      <c r="AW392" s="131"/>
      <c r="AX392" s="131"/>
      <c r="AY392" s="131"/>
    </row>
    <row r="393" spans="1:51" ht="15" x14ac:dyDescent="0.25">
      <c r="A393" s="123"/>
      <c r="B393" s="124"/>
      <c r="C393" s="125">
        <v>129048</v>
      </c>
      <c r="D393" s="89"/>
      <c r="E393" s="86" t="s">
        <v>16</v>
      </c>
      <c r="F393" s="86" t="s">
        <v>418</v>
      </c>
      <c r="H393" s="126" t="s">
        <v>51</v>
      </c>
      <c r="I393" s="89">
        <v>1</v>
      </c>
      <c r="J393" s="127">
        <v>36856.409899999999</v>
      </c>
      <c r="K393" s="127">
        <v>66873.820000000007</v>
      </c>
      <c r="L393" s="127">
        <v>10745.772499999999</v>
      </c>
      <c r="M393" s="127">
        <v>18597.409900000013</v>
      </c>
      <c r="N393" s="127">
        <v>57217.320000000007</v>
      </c>
      <c r="O393" s="127">
        <v>9955.2724999999991</v>
      </c>
      <c r="P393" s="128">
        <f t="shared" si="54"/>
        <v>0.5045909232738377</v>
      </c>
      <c r="Q393" s="128">
        <f t="shared" si="55"/>
        <v>0.8556011904210048</v>
      </c>
      <c r="R393" s="128">
        <f t="shared" si="56"/>
        <v>0.92643618688186447</v>
      </c>
      <c r="S393" s="129">
        <v>1</v>
      </c>
      <c r="T393" s="129">
        <v>1</v>
      </c>
      <c r="U393" s="129">
        <v>1</v>
      </c>
      <c r="V393" s="138">
        <f t="shared" si="57"/>
        <v>3</v>
      </c>
      <c r="W393" s="138">
        <f t="shared" si="58"/>
        <v>3</v>
      </c>
      <c r="X393" s="138">
        <f t="shared" si="59"/>
        <v>1</v>
      </c>
      <c r="Y393" s="138">
        <f t="shared" si="60"/>
        <v>3</v>
      </c>
      <c r="Z393" s="138">
        <f t="shared" si="61"/>
        <v>3</v>
      </c>
      <c r="AA393" s="138">
        <f t="shared" si="62"/>
        <v>1</v>
      </c>
      <c r="AB393" s="127" t="s">
        <v>32</v>
      </c>
      <c r="AC393" s="127"/>
      <c r="AD393" s="127"/>
      <c r="AE393" s="130"/>
      <c r="AF393" s="136">
        <v>11.54</v>
      </c>
      <c r="AG393" s="136">
        <v>11.33</v>
      </c>
      <c r="AH393" s="136">
        <v>35.49</v>
      </c>
      <c r="AI393" s="136">
        <v>5.99</v>
      </c>
      <c r="AJ393" s="136">
        <v>6.18</v>
      </c>
      <c r="AK393" s="136">
        <v>0.49</v>
      </c>
      <c r="AL393" s="136">
        <v>3.31</v>
      </c>
      <c r="AM393" s="136">
        <v>74.33</v>
      </c>
      <c r="AN393" s="131"/>
      <c r="AO393" s="131"/>
      <c r="AP393" s="131"/>
      <c r="AQ393" s="131"/>
      <c r="AR393" s="131"/>
      <c r="AS393" s="131"/>
      <c r="AT393" s="131"/>
      <c r="AU393" s="91"/>
      <c r="AV393" s="91"/>
      <c r="AW393" s="131"/>
      <c r="AX393" s="131"/>
      <c r="AY393" s="131"/>
    </row>
    <row r="394" spans="1:51" ht="15" x14ac:dyDescent="0.25">
      <c r="A394" s="123"/>
      <c r="B394" s="124"/>
      <c r="C394" s="125">
        <v>132051</v>
      </c>
      <c r="D394" s="89"/>
      <c r="E394" s="86" t="s">
        <v>16</v>
      </c>
      <c r="F394" s="86" t="s">
        <v>418</v>
      </c>
      <c r="H394" s="126" t="s">
        <v>50</v>
      </c>
      <c r="I394" s="89">
        <v>2</v>
      </c>
      <c r="J394" s="127">
        <v>36856.409899999999</v>
      </c>
      <c r="K394" s="127">
        <v>66873.820000000007</v>
      </c>
      <c r="L394" s="127">
        <v>10745.772499999999</v>
      </c>
      <c r="M394" s="127">
        <v>18597.409900000013</v>
      </c>
      <c r="N394" s="127">
        <v>57217.320000000007</v>
      </c>
      <c r="O394" s="127">
        <v>9955.2724999999991</v>
      </c>
      <c r="P394" s="128">
        <f t="shared" si="54"/>
        <v>0.5045909232738377</v>
      </c>
      <c r="Q394" s="128">
        <f t="shared" si="55"/>
        <v>0.8556011904210048</v>
      </c>
      <c r="R394" s="128">
        <f t="shared" si="56"/>
        <v>0.92643618688186447</v>
      </c>
      <c r="S394" s="129">
        <v>0</v>
      </c>
      <c r="T394" s="129">
        <v>0</v>
      </c>
      <c r="U394" s="129">
        <v>0</v>
      </c>
      <c r="V394" s="138">
        <f t="shared" si="57"/>
        <v>4</v>
      </c>
      <c r="W394" s="138">
        <f t="shared" si="58"/>
        <v>4</v>
      </c>
      <c r="X394" s="138">
        <f t="shared" si="59"/>
        <v>2</v>
      </c>
      <c r="Y394" s="138">
        <f t="shared" si="60"/>
        <v>0</v>
      </c>
      <c r="Z394" s="138">
        <f t="shared" si="61"/>
        <v>0</v>
      </c>
      <c r="AA394" s="138">
        <f t="shared" si="62"/>
        <v>0</v>
      </c>
      <c r="AB394" s="127" t="s">
        <v>32</v>
      </c>
      <c r="AC394" s="127"/>
      <c r="AD394" s="127"/>
      <c r="AE394" s="130"/>
      <c r="AF394" s="136">
        <v>0</v>
      </c>
      <c r="AG394" s="136">
        <v>0</v>
      </c>
      <c r="AH394" s="136">
        <v>0</v>
      </c>
      <c r="AI394" s="136">
        <v>0</v>
      </c>
      <c r="AJ394" s="136">
        <v>0</v>
      </c>
      <c r="AK394" s="136">
        <v>0</v>
      </c>
      <c r="AL394" s="136">
        <v>0</v>
      </c>
      <c r="AM394" s="136">
        <v>0</v>
      </c>
      <c r="AN394" s="131"/>
      <c r="AO394" s="131"/>
      <c r="AP394" s="131"/>
      <c r="AQ394" s="131"/>
      <c r="AR394" s="131"/>
      <c r="AS394" s="131"/>
      <c r="AT394" s="131"/>
      <c r="AU394" s="91"/>
      <c r="AV394" s="91"/>
      <c r="AW394" s="131"/>
      <c r="AX394" s="131"/>
      <c r="AY394" s="131"/>
    </row>
    <row r="395" spans="1:51" ht="15" x14ac:dyDescent="0.25">
      <c r="A395" s="123"/>
      <c r="B395" s="124"/>
      <c r="C395" s="125">
        <v>151407</v>
      </c>
      <c r="D395" s="89"/>
      <c r="E395" s="86" t="s">
        <v>16</v>
      </c>
      <c r="F395" s="86" t="s">
        <v>418</v>
      </c>
      <c r="H395" s="126" t="s">
        <v>51</v>
      </c>
      <c r="I395" s="89">
        <v>1</v>
      </c>
      <c r="J395" s="127">
        <v>36856.409899999999</v>
      </c>
      <c r="K395" s="127">
        <v>66873.820000000007</v>
      </c>
      <c r="L395" s="127">
        <v>10745.772499999999</v>
      </c>
      <c r="M395" s="127">
        <v>18597.409900000013</v>
      </c>
      <c r="N395" s="127">
        <v>57217.320000000007</v>
      </c>
      <c r="O395" s="127">
        <v>9955.2724999999991</v>
      </c>
      <c r="P395" s="128">
        <f t="shared" si="54"/>
        <v>0.5045909232738377</v>
      </c>
      <c r="Q395" s="128">
        <f t="shared" si="55"/>
        <v>0.8556011904210048</v>
      </c>
      <c r="R395" s="128">
        <f t="shared" si="56"/>
        <v>0.92643618688186447</v>
      </c>
      <c r="S395" s="129">
        <v>1</v>
      </c>
      <c r="T395" s="129">
        <v>1</v>
      </c>
      <c r="U395" s="129">
        <v>1</v>
      </c>
      <c r="V395" s="138">
        <f t="shared" si="57"/>
        <v>3</v>
      </c>
      <c r="W395" s="138">
        <f t="shared" si="58"/>
        <v>3</v>
      </c>
      <c r="X395" s="138">
        <f t="shared" si="59"/>
        <v>1</v>
      </c>
      <c r="Y395" s="138">
        <f t="shared" si="60"/>
        <v>3</v>
      </c>
      <c r="Z395" s="138">
        <f t="shared" si="61"/>
        <v>3</v>
      </c>
      <c r="AA395" s="138">
        <f t="shared" si="62"/>
        <v>1</v>
      </c>
      <c r="AB395" s="127" t="s">
        <v>32</v>
      </c>
      <c r="AC395" s="127"/>
      <c r="AD395" s="127"/>
      <c r="AE395" s="130"/>
      <c r="AF395" s="136">
        <v>11.54</v>
      </c>
      <c r="AG395" s="136">
        <v>11.33</v>
      </c>
      <c r="AH395" s="136">
        <v>35.49</v>
      </c>
      <c r="AI395" s="136">
        <v>5.99</v>
      </c>
      <c r="AJ395" s="136">
        <v>6.18</v>
      </c>
      <c r="AK395" s="136">
        <v>0.49</v>
      </c>
      <c r="AL395" s="136">
        <v>3.31</v>
      </c>
      <c r="AM395" s="136">
        <v>74.33</v>
      </c>
      <c r="AN395" s="131"/>
      <c r="AO395" s="131"/>
      <c r="AP395" s="131"/>
      <c r="AQ395" s="131"/>
      <c r="AR395" s="131"/>
      <c r="AS395" s="131"/>
      <c r="AT395" s="131"/>
      <c r="AU395" s="91"/>
      <c r="AV395" s="91"/>
      <c r="AW395" s="131"/>
      <c r="AX395" s="131"/>
      <c r="AY395" s="131"/>
    </row>
    <row r="396" spans="1:51" ht="15" x14ac:dyDescent="0.25">
      <c r="A396" s="123"/>
      <c r="B396" s="124"/>
      <c r="C396" s="125">
        <v>187936</v>
      </c>
      <c r="D396" s="89"/>
      <c r="E396" s="86" t="s">
        <v>16</v>
      </c>
      <c r="F396" s="86" t="s">
        <v>418</v>
      </c>
      <c r="H396" s="126" t="s">
        <v>51</v>
      </c>
      <c r="I396" s="89">
        <v>1</v>
      </c>
      <c r="J396" s="127">
        <v>36856.409899999999</v>
      </c>
      <c r="K396" s="127">
        <v>66873.820000000007</v>
      </c>
      <c r="L396" s="127">
        <v>10745.772499999999</v>
      </c>
      <c r="M396" s="127">
        <v>18597.409900000013</v>
      </c>
      <c r="N396" s="127">
        <v>57217.320000000007</v>
      </c>
      <c r="O396" s="127">
        <v>9955.2724999999991</v>
      </c>
      <c r="P396" s="128">
        <f t="shared" si="54"/>
        <v>0.5045909232738377</v>
      </c>
      <c r="Q396" s="128">
        <f t="shared" si="55"/>
        <v>0.8556011904210048</v>
      </c>
      <c r="R396" s="128">
        <f t="shared" si="56"/>
        <v>0.92643618688186447</v>
      </c>
      <c r="S396" s="129">
        <v>1</v>
      </c>
      <c r="T396" s="129">
        <v>1</v>
      </c>
      <c r="U396" s="129">
        <v>1</v>
      </c>
      <c r="V396" s="138">
        <f t="shared" si="57"/>
        <v>3</v>
      </c>
      <c r="W396" s="138">
        <f t="shared" si="58"/>
        <v>3</v>
      </c>
      <c r="X396" s="138">
        <f t="shared" si="59"/>
        <v>1</v>
      </c>
      <c r="Y396" s="138">
        <f t="shared" si="60"/>
        <v>3</v>
      </c>
      <c r="Z396" s="138">
        <f t="shared" si="61"/>
        <v>3</v>
      </c>
      <c r="AA396" s="138">
        <f t="shared" si="62"/>
        <v>1</v>
      </c>
      <c r="AB396" s="127" t="s">
        <v>32</v>
      </c>
      <c r="AC396" s="127"/>
      <c r="AD396" s="127"/>
      <c r="AE396" s="130"/>
      <c r="AF396" s="136">
        <v>11.54</v>
      </c>
      <c r="AG396" s="136">
        <v>11.33</v>
      </c>
      <c r="AH396" s="136">
        <v>35.49</v>
      </c>
      <c r="AI396" s="136">
        <v>5.99</v>
      </c>
      <c r="AJ396" s="136">
        <v>6.18</v>
      </c>
      <c r="AK396" s="136">
        <v>0.49</v>
      </c>
      <c r="AL396" s="136">
        <v>3.31</v>
      </c>
      <c r="AM396" s="136">
        <v>74.33</v>
      </c>
      <c r="AN396" s="131"/>
      <c r="AO396" s="131"/>
      <c r="AP396" s="131"/>
      <c r="AQ396" s="131"/>
      <c r="AR396" s="131"/>
      <c r="AS396" s="131"/>
      <c r="AT396" s="131"/>
      <c r="AU396" s="91"/>
      <c r="AV396" s="91"/>
      <c r="AW396" s="131"/>
      <c r="AX396" s="131"/>
      <c r="AY396" s="131"/>
    </row>
    <row r="397" spans="1:51" ht="15" x14ac:dyDescent="0.25">
      <c r="A397" s="123"/>
      <c r="B397" s="124"/>
      <c r="C397" s="125">
        <v>225346</v>
      </c>
      <c r="D397" s="89"/>
      <c r="E397" s="86" t="s">
        <v>16</v>
      </c>
      <c r="F397" s="86" t="s">
        <v>418</v>
      </c>
      <c r="H397" s="126" t="s">
        <v>51</v>
      </c>
      <c r="I397" s="89">
        <v>1</v>
      </c>
      <c r="J397" s="127">
        <v>36856.409899999999</v>
      </c>
      <c r="K397" s="127">
        <v>66873.820000000007</v>
      </c>
      <c r="L397" s="127">
        <v>10745.772499999999</v>
      </c>
      <c r="M397" s="127">
        <v>18597.409900000013</v>
      </c>
      <c r="N397" s="127">
        <v>57217.320000000007</v>
      </c>
      <c r="O397" s="127">
        <v>9955.2724999999991</v>
      </c>
      <c r="P397" s="128">
        <f t="shared" si="54"/>
        <v>0.5045909232738377</v>
      </c>
      <c r="Q397" s="128">
        <f t="shared" si="55"/>
        <v>0.8556011904210048</v>
      </c>
      <c r="R397" s="128">
        <f t="shared" si="56"/>
        <v>0.92643618688186447</v>
      </c>
      <c r="S397" s="129">
        <v>1</v>
      </c>
      <c r="T397" s="129">
        <v>1</v>
      </c>
      <c r="U397" s="129">
        <v>1</v>
      </c>
      <c r="V397" s="138">
        <f t="shared" si="57"/>
        <v>3</v>
      </c>
      <c r="W397" s="138">
        <f t="shared" si="58"/>
        <v>3</v>
      </c>
      <c r="X397" s="138">
        <f t="shared" si="59"/>
        <v>1</v>
      </c>
      <c r="Y397" s="138">
        <f t="shared" si="60"/>
        <v>3</v>
      </c>
      <c r="Z397" s="138">
        <f t="shared" si="61"/>
        <v>3</v>
      </c>
      <c r="AA397" s="138">
        <f t="shared" si="62"/>
        <v>1</v>
      </c>
      <c r="AB397" s="127" t="s">
        <v>32</v>
      </c>
      <c r="AC397" s="127"/>
      <c r="AD397" s="127"/>
      <c r="AE397" s="130"/>
      <c r="AF397" s="136">
        <v>11.54</v>
      </c>
      <c r="AG397" s="136">
        <v>11.33</v>
      </c>
      <c r="AH397" s="136">
        <v>35.49</v>
      </c>
      <c r="AI397" s="136">
        <v>5.99</v>
      </c>
      <c r="AJ397" s="136">
        <v>6.18</v>
      </c>
      <c r="AK397" s="136">
        <v>0.49</v>
      </c>
      <c r="AL397" s="136">
        <v>3.31</v>
      </c>
      <c r="AM397" s="136">
        <v>74.33</v>
      </c>
      <c r="AN397" s="131"/>
      <c r="AO397" s="131"/>
      <c r="AP397" s="131"/>
      <c r="AQ397" s="131"/>
      <c r="AR397" s="131"/>
      <c r="AS397" s="131"/>
      <c r="AT397" s="131"/>
      <c r="AU397" s="91"/>
      <c r="AV397" s="91"/>
      <c r="AW397" s="131"/>
      <c r="AX397" s="131"/>
      <c r="AY397" s="131"/>
    </row>
    <row r="398" spans="1:51" ht="15" x14ac:dyDescent="0.25">
      <c r="A398" s="123"/>
      <c r="B398" s="124"/>
      <c r="C398" s="125">
        <v>246725</v>
      </c>
      <c r="D398" s="89"/>
      <c r="E398" s="86" t="s">
        <v>16</v>
      </c>
      <c r="F398" s="86" t="s">
        <v>418</v>
      </c>
      <c r="H398" s="126" t="s">
        <v>51</v>
      </c>
      <c r="I398" s="89">
        <v>1</v>
      </c>
      <c r="J398" s="127">
        <v>36856.409899999999</v>
      </c>
      <c r="K398" s="127">
        <v>66873.820000000007</v>
      </c>
      <c r="L398" s="127">
        <v>10745.772499999999</v>
      </c>
      <c r="M398" s="127">
        <v>18597.409900000013</v>
      </c>
      <c r="N398" s="127">
        <v>57217.320000000007</v>
      </c>
      <c r="O398" s="127">
        <v>9955.2724999999991</v>
      </c>
      <c r="P398" s="128">
        <f t="shared" si="54"/>
        <v>0.5045909232738377</v>
      </c>
      <c r="Q398" s="128">
        <f t="shared" si="55"/>
        <v>0.8556011904210048</v>
      </c>
      <c r="R398" s="128">
        <f t="shared" si="56"/>
        <v>0.92643618688186447</v>
      </c>
      <c r="S398" s="129">
        <v>1</v>
      </c>
      <c r="T398" s="129">
        <v>1</v>
      </c>
      <c r="U398" s="129">
        <v>1</v>
      </c>
      <c r="V398" s="138">
        <f t="shared" si="57"/>
        <v>3</v>
      </c>
      <c r="W398" s="138">
        <f t="shared" si="58"/>
        <v>3</v>
      </c>
      <c r="X398" s="138">
        <f t="shared" si="59"/>
        <v>1</v>
      </c>
      <c r="Y398" s="138">
        <f t="shared" si="60"/>
        <v>3</v>
      </c>
      <c r="Z398" s="138">
        <f t="shared" si="61"/>
        <v>3</v>
      </c>
      <c r="AA398" s="138">
        <f t="shared" si="62"/>
        <v>1</v>
      </c>
      <c r="AB398" s="127" t="s">
        <v>32</v>
      </c>
      <c r="AC398" s="127"/>
      <c r="AD398" s="127"/>
      <c r="AE398" s="130"/>
      <c r="AF398" s="136">
        <v>11.54</v>
      </c>
      <c r="AG398" s="136">
        <v>11.33</v>
      </c>
      <c r="AH398" s="136">
        <v>35.49</v>
      </c>
      <c r="AI398" s="136">
        <v>5.99</v>
      </c>
      <c r="AJ398" s="136">
        <v>6.18</v>
      </c>
      <c r="AK398" s="136">
        <v>0.49</v>
      </c>
      <c r="AL398" s="136">
        <v>3.31</v>
      </c>
      <c r="AM398" s="136">
        <v>74.33</v>
      </c>
      <c r="AN398" s="131"/>
      <c r="AO398" s="131"/>
      <c r="AP398" s="131"/>
      <c r="AQ398" s="131"/>
      <c r="AR398" s="131"/>
      <c r="AS398" s="131"/>
      <c r="AT398" s="131"/>
      <c r="AU398" s="91"/>
      <c r="AV398" s="91"/>
      <c r="AW398" s="131"/>
      <c r="AX398" s="131"/>
      <c r="AY398" s="131"/>
    </row>
    <row r="399" spans="1:51" ht="15" x14ac:dyDescent="0.25">
      <c r="A399" s="123"/>
      <c r="B399" s="124"/>
      <c r="C399" s="125">
        <v>251139</v>
      </c>
      <c r="D399" s="89"/>
      <c r="E399" s="86" t="s">
        <v>16</v>
      </c>
      <c r="F399" s="86" t="s">
        <v>418</v>
      </c>
      <c r="H399" s="126" t="s">
        <v>51</v>
      </c>
      <c r="I399" s="89">
        <v>1</v>
      </c>
      <c r="J399" s="127">
        <v>36856.409899999999</v>
      </c>
      <c r="K399" s="127">
        <v>66873.820000000007</v>
      </c>
      <c r="L399" s="127">
        <v>10745.772499999999</v>
      </c>
      <c r="M399" s="127">
        <v>18597.409900000013</v>
      </c>
      <c r="N399" s="127">
        <v>57217.320000000007</v>
      </c>
      <c r="O399" s="127">
        <v>9955.2724999999991</v>
      </c>
      <c r="P399" s="128">
        <f t="shared" si="54"/>
        <v>0.5045909232738377</v>
      </c>
      <c r="Q399" s="128">
        <f t="shared" si="55"/>
        <v>0.8556011904210048</v>
      </c>
      <c r="R399" s="128">
        <f t="shared" si="56"/>
        <v>0.92643618688186447</v>
      </c>
      <c r="S399" s="129">
        <v>1</v>
      </c>
      <c r="T399" s="129">
        <v>1</v>
      </c>
      <c r="U399" s="129">
        <v>1</v>
      </c>
      <c r="V399" s="138">
        <f t="shared" si="57"/>
        <v>3</v>
      </c>
      <c r="W399" s="138">
        <f t="shared" si="58"/>
        <v>3</v>
      </c>
      <c r="X399" s="138">
        <f t="shared" si="59"/>
        <v>1</v>
      </c>
      <c r="Y399" s="138">
        <f t="shared" si="60"/>
        <v>3</v>
      </c>
      <c r="Z399" s="138">
        <f t="shared" si="61"/>
        <v>3</v>
      </c>
      <c r="AA399" s="138">
        <f t="shared" si="62"/>
        <v>1</v>
      </c>
      <c r="AB399" s="127" t="s">
        <v>32</v>
      </c>
      <c r="AC399" s="127"/>
      <c r="AD399" s="127"/>
      <c r="AE399" s="130"/>
      <c r="AF399" s="136">
        <v>11.54</v>
      </c>
      <c r="AG399" s="136">
        <v>11.33</v>
      </c>
      <c r="AH399" s="136">
        <v>35.49</v>
      </c>
      <c r="AI399" s="136">
        <v>5.99</v>
      </c>
      <c r="AJ399" s="136">
        <v>6.18</v>
      </c>
      <c r="AK399" s="136">
        <v>0.49</v>
      </c>
      <c r="AL399" s="136">
        <v>3.31</v>
      </c>
      <c r="AM399" s="136">
        <v>74.33</v>
      </c>
      <c r="AN399" s="131"/>
      <c r="AO399" s="131"/>
      <c r="AP399" s="131"/>
      <c r="AQ399" s="131"/>
      <c r="AR399" s="131"/>
      <c r="AS399" s="131"/>
      <c r="AT399" s="131"/>
      <c r="AU399" s="91"/>
      <c r="AV399" s="91"/>
      <c r="AW399" s="131"/>
      <c r="AX399" s="131"/>
      <c r="AY399" s="131"/>
    </row>
    <row r="400" spans="1:51" ht="15" x14ac:dyDescent="0.25">
      <c r="A400" s="123"/>
      <c r="B400" s="124"/>
      <c r="C400" s="125">
        <v>272362</v>
      </c>
      <c r="D400" s="89"/>
      <c r="E400" s="86" t="s">
        <v>16</v>
      </c>
      <c r="F400" s="86" t="s">
        <v>418</v>
      </c>
      <c r="H400" s="126" t="s">
        <v>51</v>
      </c>
      <c r="I400" s="89">
        <v>1</v>
      </c>
      <c r="J400" s="127">
        <v>36856.409899999999</v>
      </c>
      <c r="K400" s="127">
        <v>66873.820000000007</v>
      </c>
      <c r="L400" s="127">
        <v>10745.772499999999</v>
      </c>
      <c r="M400" s="127">
        <v>18597.409900000013</v>
      </c>
      <c r="N400" s="127">
        <v>57217.320000000007</v>
      </c>
      <c r="O400" s="127">
        <v>9955.2724999999991</v>
      </c>
      <c r="P400" s="128">
        <f t="shared" si="54"/>
        <v>0.5045909232738377</v>
      </c>
      <c r="Q400" s="128">
        <f t="shared" si="55"/>
        <v>0.8556011904210048</v>
      </c>
      <c r="R400" s="128">
        <f t="shared" si="56"/>
        <v>0.92643618688186447</v>
      </c>
      <c r="S400" s="129">
        <v>1</v>
      </c>
      <c r="T400" s="129">
        <v>1</v>
      </c>
      <c r="U400" s="129">
        <v>1</v>
      </c>
      <c r="V400" s="138">
        <f t="shared" si="57"/>
        <v>3</v>
      </c>
      <c r="W400" s="138">
        <f t="shared" si="58"/>
        <v>3</v>
      </c>
      <c r="X400" s="138">
        <f t="shared" si="59"/>
        <v>1</v>
      </c>
      <c r="Y400" s="138">
        <f t="shared" si="60"/>
        <v>3</v>
      </c>
      <c r="Z400" s="138">
        <f t="shared" si="61"/>
        <v>3</v>
      </c>
      <c r="AA400" s="138">
        <f t="shared" si="62"/>
        <v>1</v>
      </c>
      <c r="AB400" s="127" t="s">
        <v>32</v>
      </c>
      <c r="AC400" s="127"/>
      <c r="AD400" s="127"/>
      <c r="AE400" s="130"/>
      <c r="AF400" s="136">
        <v>11.54</v>
      </c>
      <c r="AG400" s="136">
        <v>11.33</v>
      </c>
      <c r="AH400" s="136">
        <v>35.49</v>
      </c>
      <c r="AI400" s="136">
        <v>5.99</v>
      </c>
      <c r="AJ400" s="136">
        <v>6.18</v>
      </c>
      <c r="AK400" s="136">
        <v>0.49</v>
      </c>
      <c r="AL400" s="136">
        <v>3.31</v>
      </c>
      <c r="AM400" s="136">
        <v>74.33</v>
      </c>
      <c r="AN400" s="131"/>
      <c r="AO400" s="131"/>
      <c r="AP400" s="131"/>
      <c r="AQ400" s="131"/>
      <c r="AR400" s="131"/>
      <c r="AS400" s="131"/>
      <c r="AT400" s="131"/>
      <c r="AU400" s="91"/>
      <c r="AV400" s="91"/>
      <c r="AW400" s="131"/>
      <c r="AX400" s="131"/>
      <c r="AY400" s="131"/>
    </row>
    <row r="401" spans="1:51" ht="15" x14ac:dyDescent="0.25">
      <c r="A401" s="123"/>
      <c r="B401" s="124"/>
      <c r="C401" s="125">
        <v>278217</v>
      </c>
      <c r="D401" s="89"/>
      <c r="E401" s="86" t="s">
        <v>16</v>
      </c>
      <c r="F401" s="86" t="s">
        <v>418</v>
      </c>
      <c r="H401" s="126" t="s">
        <v>50</v>
      </c>
      <c r="I401" s="89">
        <v>2</v>
      </c>
      <c r="J401" s="127">
        <v>36856.409899999999</v>
      </c>
      <c r="K401" s="127">
        <v>66873.820000000007</v>
      </c>
      <c r="L401" s="127">
        <v>10745.772499999999</v>
      </c>
      <c r="M401" s="127">
        <v>18597.409900000013</v>
      </c>
      <c r="N401" s="127">
        <v>57217.320000000007</v>
      </c>
      <c r="O401" s="127">
        <v>9955.2724999999991</v>
      </c>
      <c r="P401" s="128">
        <f t="shared" si="54"/>
        <v>0.5045909232738377</v>
      </c>
      <c r="Q401" s="128">
        <f t="shared" si="55"/>
        <v>0.8556011904210048</v>
      </c>
      <c r="R401" s="128">
        <f t="shared" si="56"/>
        <v>0.92643618688186447</v>
      </c>
      <c r="S401" s="129">
        <v>0</v>
      </c>
      <c r="T401" s="129">
        <v>0</v>
      </c>
      <c r="U401" s="129">
        <v>0</v>
      </c>
      <c r="V401" s="138">
        <f t="shared" si="57"/>
        <v>4</v>
      </c>
      <c r="W401" s="138">
        <f t="shared" si="58"/>
        <v>4</v>
      </c>
      <c r="X401" s="138">
        <f t="shared" si="59"/>
        <v>2</v>
      </c>
      <c r="Y401" s="138">
        <f t="shared" si="60"/>
        <v>0</v>
      </c>
      <c r="Z401" s="138">
        <f t="shared" si="61"/>
        <v>0</v>
      </c>
      <c r="AA401" s="138">
        <f t="shared" si="62"/>
        <v>0</v>
      </c>
      <c r="AB401" s="127" t="s">
        <v>32</v>
      </c>
      <c r="AC401" s="127"/>
      <c r="AD401" s="127"/>
      <c r="AE401" s="130"/>
      <c r="AF401" s="136">
        <v>0</v>
      </c>
      <c r="AG401" s="136">
        <v>0</v>
      </c>
      <c r="AH401" s="136">
        <v>0</v>
      </c>
      <c r="AI401" s="136">
        <v>0</v>
      </c>
      <c r="AJ401" s="136">
        <v>0</v>
      </c>
      <c r="AK401" s="136">
        <v>0</v>
      </c>
      <c r="AL401" s="136">
        <v>0</v>
      </c>
      <c r="AM401" s="136">
        <v>0</v>
      </c>
      <c r="AN401" s="131"/>
      <c r="AO401" s="131"/>
      <c r="AP401" s="131"/>
      <c r="AQ401" s="131"/>
      <c r="AR401" s="131"/>
      <c r="AS401" s="131"/>
      <c r="AT401" s="131"/>
      <c r="AU401" s="91"/>
      <c r="AV401" s="91"/>
      <c r="AW401" s="131"/>
      <c r="AX401" s="131"/>
      <c r="AY401" s="131"/>
    </row>
    <row r="402" spans="1:51" ht="15" x14ac:dyDescent="0.25">
      <c r="A402" s="123"/>
      <c r="B402" s="124"/>
      <c r="C402" s="125">
        <v>299902</v>
      </c>
      <c r="D402" s="89"/>
      <c r="E402" s="86" t="s">
        <v>16</v>
      </c>
      <c r="F402" s="86" t="s">
        <v>418</v>
      </c>
      <c r="H402" s="126" t="s">
        <v>51</v>
      </c>
      <c r="I402" s="89">
        <v>1</v>
      </c>
      <c r="J402" s="127">
        <v>36856.409899999999</v>
      </c>
      <c r="K402" s="127">
        <v>66873.820000000007</v>
      </c>
      <c r="L402" s="127">
        <v>10745.772499999999</v>
      </c>
      <c r="M402" s="127">
        <v>18597.409900000013</v>
      </c>
      <c r="N402" s="127">
        <v>57217.320000000007</v>
      </c>
      <c r="O402" s="127">
        <v>9955.2724999999991</v>
      </c>
      <c r="P402" s="128">
        <f t="shared" si="54"/>
        <v>0.5045909232738377</v>
      </c>
      <c r="Q402" s="128">
        <f t="shared" si="55"/>
        <v>0.8556011904210048</v>
      </c>
      <c r="R402" s="128">
        <f t="shared" si="56"/>
        <v>0.92643618688186447</v>
      </c>
      <c r="S402" s="129">
        <v>1</v>
      </c>
      <c r="T402" s="129">
        <v>1</v>
      </c>
      <c r="U402" s="129">
        <v>1</v>
      </c>
      <c r="V402" s="138">
        <f t="shared" si="57"/>
        <v>3</v>
      </c>
      <c r="W402" s="138">
        <f t="shared" si="58"/>
        <v>3</v>
      </c>
      <c r="X402" s="138">
        <f t="shared" si="59"/>
        <v>1</v>
      </c>
      <c r="Y402" s="138">
        <f t="shared" si="60"/>
        <v>3</v>
      </c>
      <c r="Z402" s="138">
        <f t="shared" si="61"/>
        <v>3</v>
      </c>
      <c r="AA402" s="138">
        <f t="shared" si="62"/>
        <v>1</v>
      </c>
      <c r="AB402" s="127" t="s">
        <v>32</v>
      </c>
      <c r="AC402" s="127"/>
      <c r="AD402" s="127"/>
      <c r="AE402" s="130"/>
      <c r="AF402" s="136">
        <v>11.54</v>
      </c>
      <c r="AG402" s="136">
        <v>11.33</v>
      </c>
      <c r="AH402" s="136">
        <v>35.49</v>
      </c>
      <c r="AI402" s="136">
        <v>5.99</v>
      </c>
      <c r="AJ402" s="136">
        <v>6.18</v>
      </c>
      <c r="AK402" s="136">
        <v>0.49</v>
      </c>
      <c r="AL402" s="136">
        <v>3.31</v>
      </c>
      <c r="AM402" s="136">
        <v>74.33</v>
      </c>
      <c r="AN402" s="131"/>
      <c r="AO402" s="131"/>
      <c r="AP402" s="131"/>
      <c r="AQ402" s="131"/>
      <c r="AR402" s="131"/>
      <c r="AS402" s="131"/>
      <c r="AT402" s="131"/>
      <c r="AU402" s="91"/>
      <c r="AV402" s="91"/>
      <c r="AW402" s="131"/>
      <c r="AX402" s="131"/>
      <c r="AY402" s="131"/>
    </row>
    <row r="403" spans="1:51" ht="15" x14ac:dyDescent="0.25">
      <c r="A403" s="123"/>
      <c r="B403" s="124"/>
      <c r="C403" s="125">
        <v>303776</v>
      </c>
      <c r="D403" s="89"/>
      <c r="E403" s="86" t="s">
        <v>16</v>
      </c>
      <c r="F403" s="86" t="s">
        <v>418</v>
      </c>
      <c r="H403" s="126" t="s">
        <v>50</v>
      </c>
      <c r="I403" s="89">
        <v>2</v>
      </c>
      <c r="J403" s="127">
        <v>36856.409899999999</v>
      </c>
      <c r="K403" s="127">
        <v>66873.820000000007</v>
      </c>
      <c r="L403" s="127">
        <v>10745.772499999999</v>
      </c>
      <c r="M403" s="127">
        <v>18597.409900000013</v>
      </c>
      <c r="N403" s="127">
        <v>57217.320000000007</v>
      </c>
      <c r="O403" s="127">
        <v>9955.2724999999991</v>
      </c>
      <c r="P403" s="128">
        <f t="shared" si="54"/>
        <v>0.5045909232738377</v>
      </c>
      <c r="Q403" s="128">
        <f t="shared" si="55"/>
        <v>0.8556011904210048</v>
      </c>
      <c r="R403" s="128">
        <f t="shared" si="56"/>
        <v>0.92643618688186447</v>
      </c>
      <c r="S403" s="129">
        <v>0</v>
      </c>
      <c r="T403" s="129">
        <v>0</v>
      </c>
      <c r="U403" s="129">
        <v>0</v>
      </c>
      <c r="V403" s="138">
        <f t="shared" si="57"/>
        <v>4</v>
      </c>
      <c r="W403" s="138">
        <f t="shared" si="58"/>
        <v>4</v>
      </c>
      <c r="X403" s="138">
        <f t="shared" si="59"/>
        <v>2</v>
      </c>
      <c r="Y403" s="138">
        <f t="shared" si="60"/>
        <v>0</v>
      </c>
      <c r="Z403" s="138">
        <f t="shared" si="61"/>
        <v>0</v>
      </c>
      <c r="AA403" s="138">
        <f t="shared" si="62"/>
        <v>0</v>
      </c>
      <c r="AB403" s="127" t="s">
        <v>32</v>
      </c>
      <c r="AC403" s="127"/>
      <c r="AD403" s="127"/>
      <c r="AE403" s="130"/>
      <c r="AF403" s="136">
        <v>0</v>
      </c>
      <c r="AG403" s="136">
        <v>0</v>
      </c>
      <c r="AH403" s="136">
        <v>0</v>
      </c>
      <c r="AI403" s="136">
        <v>0</v>
      </c>
      <c r="AJ403" s="136">
        <v>0</v>
      </c>
      <c r="AK403" s="136">
        <v>0</v>
      </c>
      <c r="AL403" s="136">
        <v>0</v>
      </c>
      <c r="AM403" s="136">
        <v>0</v>
      </c>
      <c r="AN403" s="131"/>
      <c r="AO403" s="131"/>
      <c r="AP403" s="131"/>
      <c r="AQ403" s="131"/>
      <c r="AR403" s="131"/>
      <c r="AS403" s="131"/>
      <c r="AT403" s="131"/>
      <c r="AU403" s="91"/>
      <c r="AV403" s="91"/>
      <c r="AW403" s="131"/>
      <c r="AX403" s="131"/>
      <c r="AY403" s="131"/>
    </row>
    <row r="404" spans="1:51" ht="15" x14ac:dyDescent="0.25">
      <c r="A404" s="123"/>
      <c r="B404" s="124"/>
      <c r="C404" s="125">
        <v>308244</v>
      </c>
      <c r="D404" s="89"/>
      <c r="E404" s="86" t="s">
        <v>16</v>
      </c>
      <c r="F404" s="86" t="s">
        <v>418</v>
      </c>
      <c r="H404" s="126" t="s">
        <v>51</v>
      </c>
      <c r="I404" s="89">
        <v>1</v>
      </c>
      <c r="J404" s="127">
        <v>36856.409899999999</v>
      </c>
      <c r="K404" s="127">
        <v>66873.820000000007</v>
      </c>
      <c r="L404" s="127">
        <v>10745.772499999999</v>
      </c>
      <c r="M404" s="127">
        <v>18597.409900000013</v>
      </c>
      <c r="N404" s="127">
        <v>57217.320000000007</v>
      </c>
      <c r="O404" s="127">
        <v>9955.2724999999991</v>
      </c>
      <c r="P404" s="128">
        <f t="shared" si="54"/>
        <v>0.5045909232738377</v>
      </c>
      <c r="Q404" s="128">
        <f t="shared" si="55"/>
        <v>0.8556011904210048</v>
      </c>
      <c r="R404" s="128">
        <f t="shared" si="56"/>
        <v>0.92643618688186447</v>
      </c>
      <c r="S404" s="129">
        <v>1</v>
      </c>
      <c r="T404" s="129">
        <v>1</v>
      </c>
      <c r="U404" s="129">
        <v>1</v>
      </c>
      <c r="V404" s="138">
        <f t="shared" si="57"/>
        <v>3</v>
      </c>
      <c r="W404" s="138">
        <f t="shared" si="58"/>
        <v>3</v>
      </c>
      <c r="X404" s="138">
        <f t="shared" si="59"/>
        <v>1</v>
      </c>
      <c r="Y404" s="138">
        <f t="shared" si="60"/>
        <v>3</v>
      </c>
      <c r="Z404" s="138">
        <f t="shared" si="61"/>
        <v>3</v>
      </c>
      <c r="AA404" s="138">
        <f t="shared" si="62"/>
        <v>1</v>
      </c>
      <c r="AB404" s="127" t="s">
        <v>32</v>
      </c>
      <c r="AC404" s="127"/>
      <c r="AD404" s="127"/>
      <c r="AE404" s="130"/>
      <c r="AF404" s="136">
        <v>11.54</v>
      </c>
      <c r="AG404" s="136">
        <v>11.33</v>
      </c>
      <c r="AH404" s="136">
        <v>35.49</v>
      </c>
      <c r="AI404" s="136">
        <v>5.99</v>
      </c>
      <c r="AJ404" s="136">
        <v>6.18</v>
      </c>
      <c r="AK404" s="136">
        <v>0.49</v>
      </c>
      <c r="AL404" s="136">
        <v>3.31</v>
      </c>
      <c r="AM404" s="136">
        <v>74.33</v>
      </c>
      <c r="AN404" s="131"/>
      <c r="AO404" s="131"/>
      <c r="AP404" s="131"/>
      <c r="AQ404" s="131"/>
      <c r="AR404" s="131"/>
      <c r="AS404" s="131"/>
      <c r="AT404" s="131"/>
      <c r="AU404" s="91"/>
      <c r="AV404" s="91"/>
      <c r="AW404" s="131"/>
      <c r="AX404" s="131"/>
      <c r="AY404" s="131"/>
    </row>
    <row r="405" spans="1:51" ht="15" x14ac:dyDescent="0.25">
      <c r="A405" s="123"/>
      <c r="B405" s="124"/>
      <c r="C405" s="125">
        <v>331736</v>
      </c>
      <c r="D405" s="89"/>
      <c r="E405" s="86" t="s">
        <v>16</v>
      </c>
      <c r="F405" s="86" t="s">
        <v>418</v>
      </c>
      <c r="H405" s="126" t="s">
        <v>50</v>
      </c>
      <c r="I405" s="89">
        <v>2</v>
      </c>
      <c r="J405" s="127">
        <v>36856.409899999999</v>
      </c>
      <c r="K405" s="127">
        <v>66873.820000000007</v>
      </c>
      <c r="L405" s="127">
        <v>10745.772499999999</v>
      </c>
      <c r="M405" s="127">
        <v>18597.409900000013</v>
      </c>
      <c r="N405" s="127">
        <v>57217.320000000007</v>
      </c>
      <c r="O405" s="127">
        <v>9955.2724999999991</v>
      </c>
      <c r="P405" s="128">
        <f t="shared" si="54"/>
        <v>0.5045909232738377</v>
      </c>
      <c r="Q405" s="128">
        <f t="shared" si="55"/>
        <v>0.8556011904210048</v>
      </c>
      <c r="R405" s="128">
        <f t="shared" si="56"/>
        <v>0.92643618688186447</v>
      </c>
      <c r="S405" s="129">
        <v>0</v>
      </c>
      <c r="T405" s="129">
        <v>0</v>
      </c>
      <c r="U405" s="129">
        <v>0</v>
      </c>
      <c r="V405" s="138">
        <f t="shared" si="57"/>
        <v>4</v>
      </c>
      <c r="W405" s="138">
        <f t="shared" si="58"/>
        <v>4</v>
      </c>
      <c r="X405" s="138">
        <f t="shared" si="59"/>
        <v>2</v>
      </c>
      <c r="Y405" s="138">
        <f t="shared" si="60"/>
        <v>0</v>
      </c>
      <c r="Z405" s="138">
        <f t="shared" si="61"/>
        <v>0</v>
      </c>
      <c r="AA405" s="138">
        <f t="shared" si="62"/>
        <v>0</v>
      </c>
      <c r="AB405" s="127" t="s">
        <v>32</v>
      </c>
      <c r="AC405" s="127"/>
      <c r="AD405" s="127"/>
      <c r="AE405" s="130"/>
      <c r="AF405" s="136">
        <v>0</v>
      </c>
      <c r="AG405" s="136">
        <v>0</v>
      </c>
      <c r="AH405" s="136">
        <v>0</v>
      </c>
      <c r="AI405" s="136">
        <v>0</v>
      </c>
      <c r="AJ405" s="136">
        <v>0</v>
      </c>
      <c r="AK405" s="136">
        <v>0</v>
      </c>
      <c r="AL405" s="136">
        <v>0</v>
      </c>
      <c r="AM405" s="136">
        <v>0</v>
      </c>
      <c r="AN405" s="131"/>
      <c r="AO405" s="131"/>
      <c r="AP405" s="131"/>
      <c r="AQ405" s="131"/>
      <c r="AR405" s="131"/>
      <c r="AS405" s="131"/>
      <c r="AT405" s="131"/>
      <c r="AU405" s="91"/>
      <c r="AV405" s="91"/>
      <c r="AW405" s="131"/>
      <c r="AX405" s="131"/>
      <c r="AY405" s="131"/>
    </row>
    <row r="406" spans="1:51" ht="15" x14ac:dyDescent="0.25">
      <c r="A406" s="123"/>
      <c r="B406" s="124"/>
      <c r="C406" s="125">
        <v>393303</v>
      </c>
      <c r="D406" s="89"/>
      <c r="E406" s="86" t="s">
        <v>16</v>
      </c>
      <c r="F406" s="86" t="s">
        <v>418</v>
      </c>
      <c r="H406" s="126" t="s">
        <v>51</v>
      </c>
      <c r="I406" s="89">
        <v>1</v>
      </c>
      <c r="J406" s="127">
        <v>36856.409899999999</v>
      </c>
      <c r="K406" s="127">
        <v>66873.820000000007</v>
      </c>
      <c r="L406" s="127">
        <v>10745.772499999999</v>
      </c>
      <c r="M406" s="127">
        <v>18597.409900000013</v>
      </c>
      <c r="N406" s="127">
        <v>57217.320000000007</v>
      </c>
      <c r="O406" s="127">
        <v>9955.2724999999991</v>
      </c>
      <c r="P406" s="128">
        <f t="shared" si="54"/>
        <v>0.5045909232738377</v>
      </c>
      <c r="Q406" s="128">
        <f t="shared" si="55"/>
        <v>0.8556011904210048</v>
      </c>
      <c r="R406" s="128">
        <f t="shared" si="56"/>
        <v>0.92643618688186447</v>
      </c>
      <c r="S406" s="129">
        <v>1</v>
      </c>
      <c r="T406" s="129">
        <v>1</v>
      </c>
      <c r="U406" s="129">
        <v>1</v>
      </c>
      <c r="V406" s="138">
        <f t="shared" si="57"/>
        <v>3</v>
      </c>
      <c r="W406" s="138">
        <f t="shared" si="58"/>
        <v>3</v>
      </c>
      <c r="X406" s="138">
        <f t="shared" si="59"/>
        <v>1</v>
      </c>
      <c r="Y406" s="138">
        <f t="shared" si="60"/>
        <v>3</v>
      </c>
      <c r="Z406" s="138">
        <f t="shared" si="61"/>
        <v>3</v>
      </c>
      <c r="AA406" s="138">
        <f t="shared" si="62"/>
        <v>1</v>
      </c>
      <c r="AB406" s="127" t="s">
        <v>32</v>
      </c>
      <c r="AC406" s="127"/>
      <c r="AD406" s="127"/>
      <c r="AE406" s="130"/>
      <c r="AF406" s="136">
        <v>11.54</v>
      </c>
      <c r="AG406" s="136">
        <v>11.33</v>
      </c>
      <c r="AH406" s="136">
        <v>35.49</v>
      </c>
      <c r="AI406" s="136">
        <v>5.99</v>
      </c>
      <c r="AJ406" s="136">
        <v>6.18</v>
      </c>
      <c r="AK406" s="136">
        <v>0.49</v>
      </c>
      <c r="AL406" s="136">
        <v>3.31</v>
      </c>
      <c r="AM406" s="136">
        <v>74.33</v>
      </c>
      <c r="AN406" s="131"/>
      <c r="AO406" s="131"/>
      <c r="AP406" s="131"/>
      <c r="AQ406" s="131"/>
      <c r="AR406" s="131"/>
      <c r="AS406" s="131"/>
      <c r="AT406" s="131"/>
      <c r="AU406" s="91"/>
      <c r="AV406" s="91"/>
      <c r="AW406" s="131"/>
      <c r="AX406" s="131"/>
      <c r="AY406" s="131"/>
    </row>
    <row r="407" spans="1:51" ht="15" x14ac:dyDescent="0.25">
      <c r="A407" s="123"/>
      <c r="B407" s="124"/>
      <c r="C407" s="125">
        <v>422049</v>
      </c>
      <c r="D407" s="89"/>
      <c r="E407" s="86" t="s">
        <v>16</v>
      </c>
      <c r="F407" s="86" t="s">
        <v>418</v>
      </c>
      <c r="H407" s="126" t="s">
        <v>51</v>
      </c>
      <c r="I407" s="89">
        <v>2</v>
      </c>
      <c r="J407" s="127">
        <v>36856.409899999999</v>
      </c>
      <c r="K407" s="127">
        <v>66873.820000000007</v>
      </c>
      <c r="L407" s="127">
        <v>10745.772499999999</v>
      </c>
      <c r="M407" s="127">
        <v>18597.409900000013</v>
      </c>
      <c r="N407" s="127">
        <v>57217.320000000007</v>
      </c>
      <c r="O407" s="127">
        <v>9955.2724999999991</v>
      </c>
      <c r="P407" s="128">
        <f t="shared" si="54"/>
        <v>0.5045909232738377</v>
      </c>
      <c r="Q407" s="128">
        <f t="shared" si="55"/>
        <v>0.8556011904210048</v>
      </c>
      <c r="R407" s="128">
        <f t="shared" si="56"/>
        <v>0.92643618688186447</v>
      </c>
      <c r="S407" s="129">
        <v>0</v>
      </c>
      <c r="T407" s="129">
        <v>0</v>
      </c>
      <c r="U407" s="129">
        <v>0</v>
      </c>
      <c r="V407" s="138">
        <f t="shared" si="57"/>
        <v>4</v>
      </c>
      <c r="W407" s="138">
        <f t="shared" si="58"/>
        <v>4</v>
      </c>
      <c r="X407" s="138">
        <f t="shared" si="59"/>
        <v>2</v>
      </c>
      <c r="Y407" s="138">
        <f t="shared" si="60"/>
        <v>0</v>
      </c>
      <c r="Z407" s="138">
        <f t="shared" si="61"/>
        <v>0</v>
      </c>
      <c r="AA407" s="138">
        <f t="shared" si="62"/>
        <v>0</v>
      </c>
      <c r="AB407" s="127" t="s">
        <v>32</v>
      </c>
      <c r="AC407" s="127"/>
      <c r="AD407" s="127"/>
      <c r="AE407" s="130"/>
      <c r="AF407" s="136">
        <v>0</v>
      </c>
      <c r="AG407" s="136">
        <v>0</v>
      </c>
      <c r="AH407" s="136">
        <v>0</v>
      </c>
      <c r="AI407" s="136">
        <v>0</v>
      </c>
      <c r="AJ407" s="136">
        <v>0</v>
      </c>
      <c r="AK407" s="136">
        <v>0</v>
      </c>
      <c r="AL407" s="136">
        <v>0</v>
      </c>
      <c r="AM407" s="136">
        <v>0</v>
      </c>
      <c r="AN407" s="131"/>
      <c r="AO407" s="131"/>
      <c r="AP407" s="131"/>
      <c r="AQ407" s="131"/>
      <c r="AR407" s="131"/>
      <c r="AS407" s="131"/>
      <c r="AT407" s="131"/>
      <c r="AU407" s="91"/>
      <c r="AV407" s="91"/>
      <c r="AW407" s="131"/>
      <c r="AX407" s="131"/>
      <c r="AY407" s="131"/>
    </row>
    <row r="408" spans="1:51" ht="15" x14ac:dyDescent="0.25">
      <c r="A408" s="123"/>
      <c r="B408" s="124"/>
      <c r="C408" s="125">
        <v>449294</v>
      </c>
      <c r="D408" s="89"/>
      <c r="E408" s="86" t="s">
        <v>16</v>
      </c>
      <c r="F408" s="86" t="s">
        <v>418</v>
      </c>
      <c r="H408" s="126" t="s">
        <v>51</v>
      </c>
      <c r="I408" s="89">
        <v>1</v>
      </c>
      <c r="J408" s="127">
        <v>36856.409899999999</v>
      </c>
      <c r="K408" s="127">
        <v>66873.820000000007</v>
      </c>
      <c r="L408" s="127">
        <v>10745.772499999999</v>
      </c>
      <c r="M408" s="127">
        <v>18597.409900000013</v>
      </c>
      <c r="N408" s="127">
        <v>57217.320000000007</v>
      </c>
      <c r="O408" s="127">
        <v>9955.2724999999991</v>
      </c>
      <c r="P408" s="128">
        <f t="shared" si="54"/>
        <v>0.5045909232738377</v>
      </c>
      <c r="Q408" s="128">
        <f t="shared" si="55"/>
        <v>0.8556011904210048</v>
      </c>
      <c r="R408" s="128">
        <f t="shared" si="56"/>
        <v>0.92643618688186447</v>
      </c>
      <c r="S408" s="129">
        <v>1</v>
      </c>
      <c r="T408" s="129">
        <v>1</v>
      </c>
      <c r="U408" s="129">
        <v>1</v>
      </c>
      <c r="V408" s="138">
        <f t="shared" si="57"/>
        <v>3</v>
      </c>
      <c r="W408" s="138">
        <f t="shared" si="58"/>
        <v>3</v>
      </c>
      <c r="X408" s="138">
        <f t="shared" si="59"/>
        <v>1</v>
      </c>
      <c r="Y408" s="138">
        <f t="shared" si="60"/>
        <v>3</v>
      </c>
      <c r="Z408" s="138">
        <f t="shared" si="61"/>
        <v>3</v>
      </c>
      <c r="AA408" s="138">
        <f t="shared" si="62"/>
        <v>1</v>
      </c>
      <c r="AB408" s="127" t="s">
        <v>32</v>
      </c>
      <c r="AC408" s="127"/>
      <c r="AD408" s="127"/>
      <c r="AE408" s="130"/>
      <c r="AF408" s="136">
        <v>11.54</v>
      </c>
      <c r="AG408" s="136">
        <v>11.33</v>
      </c>
      <c r="AH408" s="136">
        <v>35.49</v>
      </c>
      <c r="AI408" s="136">
        <v>5.99</v>
      </c>
      <c r="AJ408" s="136">
        <v>6.18</v>
      </c>
      <c r="AK408" s="136">
        <v>0.49</v>
      </c>
      <c r="AL408" s="136">
        <v>3.31</v>
      </c>
      <c r="AM408" s="136">
        <v>74.33</v>
      </c>
      <c r="AN408" s="131"/>
      <c r="AO408" s="131"/>
      <c r="AP408" s="131"/>
      <c r="AQ408" s="131"/>
      <c r="AR408" s="131"/>
      <c r="AS408" s="131"/>
      <c r="AT408" s="131"/>
      <c r="AU408" s="91"/>
      <c r="AV408" s="91"/>
      <c r="AW408" s="131"/>
      <c r="AX408" s="131"/>
      <c r="AY408" s="131"/>
    </row>
    <row r="409" spans="1:51" ht="15" x14ac:dyDescent="0.25">
      <c r="A409" s="123"/>
      <c r="B409" s="124"/>
      <c r="C409" s="125">
        <v>451766</v>
      </c>
      <c r="D409" s="89"/>
      <c r="E409" s="86" t="s">
        <v>16</v>
      </c>
      <c r="F409" s="86" t="s">
        <v>418</v>
      </c>
      <c r="H409" s="126" t="s">
        <v>51</v>
      </c>
      <c r="I409" s="89">
        <v>2</v>
      </c>
      <c r="J409" s="127">
        <v>36856.409899999999</v>
      </c>
      <c r="K409" s="127">
        <v>66873.820000000007</v>
      </c>
      <c r="L409" s="127">
        <v>10745.772499999999</v>
      </c>
      <c r="M409" s="127">
        <v>18597.409900000013</v>
      </c>
      <c r="N409" s="127">
        <v>57217.320000000007</v>
      </c>
      <c r="O409" s="127">
        <v>9955.2724999999991</v>
      </c>
      <c r="P409" s="128">
        <f t="shared" si="54"/>
        <v>0.5045909232738377</v>
      </c>
      <c r="Q409" s="128">
        <f t="shared" si="55"/>
        <v>0.8556011904210048</v>
      </c>
      <c r="R409" s="128">
        <f t="shared" si="56"/>
        <v>0.92643618688186447</v>
      </c>
      <c r="S409" s="129">
        <v>0</v>
      </c>
      <c r="T409" s="129">
        <v>0</v>
      </c>
      <c r="U409" s="129">
        <v>0</v>
      </c>
      <c r="V409" s="138">
        <f t="shared" si="57"/>
        <v>4</v>
      </c>
      <c r="W409" s="138">
        <f t="shared" si="58"/>
        <v>4</v>
      </c>
      <c r="X409" s="138">
        <f t="shared" si="59"/>
        <v>2</v>
      </c>
      <c r="Y409" s="138">
        <f t="shared" si="60"/>
        <v>0</v>
      </c>
      <c r="Z409" s="138">
        <f t="shared" si="61"/>
        <v>0</v>
      </c>
      <c r="AA409" s="138">
        <f t="shared" si="62"/>
        <v>0</v>
      </c>
      <c r="AB409" s="127" t="s">
        <v>32</v>
      </c>
      <c r="AC409" s="127"/>
      <c r="AD409" s="127"/>
      <c r="AE409" s="130"/>
      <c r="AF409" s="136">
        <v>0</v>
      </c>
      <c r="AG409" s="136">
        <v>0</v>
      </c>
      <c r="AH409" s="136">
        <v>0</v>
      </c>
      <c r="AI409" s="136">
        <v>0</v>
      </c>
      <c r="AJ409" s="136">
        <v>0</v>
      </c>
      <c r="AK409" s="136">
        <v>0</v>
      </c>
      <c r="AL409" s="136">
        <v>0</v>
      </c>
      <c r="AM409" s="136">
        <v>0</v>
      </c>
      <c r="AN409" s="131"/>
      <c r="AO409" s="131"/>
      <c r="AP409" s="131"/>
      <c r="AQ409" s="131"/>
      <c r="AR409" s="131"/>
      <c r="AS409" s="131"/>
      <c r="AT409" s="131"/>
      <c r="AU409" s="91"/>
      <c r="AV409" s="91"/>
      <c r="AW409" s="131"/>
      <c r="AX409" s="131"/>
      <c r="AY409" s="131"/>
    </row>
    <row r="410" spans="1:51" ht="15" x14ac:dyDescent="0.25">
      <c r="A410" s="123"/>
      <c r="B410" s="124"/>
      <c r="C410" s="125">
        <v>466873</v>
      </c>
      <c r="D410" s="89"/>
      <c r="E410" s="86" t="s">
        <v>16</v>
      </c>
      <c r="F410" s="86" t="s">
        <v>418</v>
      </c>
      <c r="H410" s="126" t="s">
        <v>51</v>
      </c>
      <c r="I410" s="89">
        <v>1</v>
      </c>
      <c r="J410" s="127">
        <v>36856.409899999999</v>
      </c>
      <c r="K410" s="127">
        <v>66873.820000000007</v>
      </c>
      <c r="L410" s="127">
        <v>10745.772499999999</v>
      </c>
      <c r="M410" s="127">
        <v>18597.409900000013</v>
      </c>
      <c r="N410" s="127">
        <v>57217.320000000007</v>
      </c>
      <c r="O410" s="127">
        <v>9955.2724999999991</v>
      </c>
      <c r="P410" s="128">
        <f t="shared" si="54"/>
        <v>0.5045909232738377</v>
      </c>
      <c r="Q410" s="128">
        <f t="shared" si="55"/>
        <v>0.8556011904210048</v>
      </c>
      <c r="R410" s="128">
        <f t="shared" si="56"/>
        <v>0.92643618688186447</v>
      </c>
      <c r="S410" s="129">
        <v>1</v>
      </c>
      <c r="T410" s="129">
        <v>1</v>
      </c>
      <c r="U410" s="129">
        <v>1</v>
      </c>
      <c r="V410" s="138">
        <f t="shared" si="57"/>
        <v>3</v>
      </c>
      <c r="W410" s="138">
        <f t="shared" si="58"/>
        <v>3</v>
      </c>
      <c r="X410" s="138">
        <f t="shared" si="59"/>
        <v>1</v>
      </c>
      <c r="Y410" s="138">
        <f t="shared" si="60"/>
        <v>3</v>
      </c>
      <c r="Z410" s="138">
        <f t="shared" si="61"/>
        <v>3</v>
      </c>
      <c r="AA410" s="138">
        <f t="shared" si="62"/>
        <v>1</v>
      </c>
      <c r="AB410" s="127" t="s">
        <v>32</v>
      </c>
      <c r="AC410" s="127"/>
      <c r="AD410" s="127"/>
      <c r="AE410" s="130"/>
      <c r="AF410" s="136">
        <v>11.54</v>
      </c>
      <c r="AG410" s="136">
        <v>11.33</v>
      </c>
      <c r="AH410" s="136">
        <v>35.49</v>
      </c>
      <c r="AI410" s="136">
        <v>5.99</v>
      </c>
      <c r="AJ410" s="136">
        <v>6.18</v>
      </c>
      <c r="AK410" s="136">
        <v>0.49</v>
      </c>
      <c r="AL410" s="136">
        <v>3.31</v>
      </c>
      <c r="AM410" s="136">
        <v>74.33</v>
      </c>
      <c r="AN410" s="131"/>
      <c r="AO410" s="131"/>
      <c r="AP410" s="131"/>
      <c r="AQ410" s="131"/>
      <c r="AR410" s="131"/>
      <c r="AS410" s="131"/>
      <c r="AT410" s="131"/>
      <c r="AU410" s="91"/>
      <c r="AV410" s="91"/>
      <c r="AW410" s="131"/>
      <c r="AX410" s="131"/>
      <c r="AY410" s="131"/>
    </row>
    <row r="411" spans="1:51" ht="15" x14ac:dyDescent="0.25">
      <c r="A411" s="123"/>
      <c r="B411" s="124"/>
      <c r="C411" s="125">
        <v>478636</v>
      </c>
      <c r="D411" s="89"/>
      <c r="E411" s="86" t="s">
        <v>16</v>
      </c>
      <c r="F411" s="86" t="s">
        <v>418</v>
      </c>
      <c r="H411" s="126" t="s">
        <v>51</v>
      </c>
      <c r="I411" s="89">
        <v>1</v>
      </c>
      <c r="J411" s="127">
        <v>36856.409899999999</v>
      </c>
      <c r="K411" s="127">
        <v>66873.820000000007</v>
      </c>
      <c r="L411" s="127">
        <v>10745.772499999999</v>
      </c>
      <c r="M411" s="127">
        <v>18597.409900000013</v>
      </c>
      <c r="N411" s="127">
        <v>57217.320000000007</v>
      </c>
      <c r="O411" s="127">
        <v>9955.2724999999991</v>
      </c>
      <c r="P411" s="128">
        <f t="shared" si="54"/>
        <v>0.5045909232738377</v>
      </c>
      <c r="Q411" s="128">
        <f t="shared" si="55"/>
        <v>0.8556011904210048</v>
      </c>
      <c r="R411" s="128">
        <f t="shared" si="56"/>
        <v>0.92643618688186447</v>
      </c>
      <c r="S411" s="129">
        <v>1</v>
      </c>
      <c r="T411" s="129">
        <v>1</v>
      </c>
      <c r="U411" s="129">
        <v>1</v>
      </c>
      <c r="V411" s="138">
        <f t="shared" si="57"/>
        <v>3</v>
      </c>
      <c r="W411" s="138">
        <f t="shared" si="58"/>
        <v>3</v>
      </c>
      <c r="X411" s="138">
        <f t="shared" si="59"/>
        <v>1</v>
      </c>
      <c r="Y411" s="138">
        <f t="shared" si="60"/>
        <v>3</v>
      </c>
      <c r="Z411" s="138">
        <f t="shared" si="61"/>
        <v>3</v>
      </c>
      <c r="AA411" s="138">
        <f t="shared" si="62"/>
        <v>1</v>
      </c>
      <c r="AB411" s="127" t="s">
        <v>32</v>
      </c>
      <c r="AC411" s="127"/>
      <c r="AD411" s="127"/>
      <c r="AE411" s="130"/>
      <c r="AF411" s="136">
        <v>11.54</v>
      </c>
      <c r="AG411" s="136">
        <v>11.33</v>
      </c>
      <c r="AH411" s="136">
        <v>35.49</v>
      </c>
      <c r="AI411" s="136">
        <v>5.99</v>
      </c>
      <c r="AJ411" s="136">
        <v>6.18</v>
      </c>
      <c r="AK411" s="136">
        <v>0.49</v>
      </c>
      <c r="AL411" s="136">
        <v>3.31</v>
      </c>
      <c r="AM411" s="136">
        <v>74.33</v>
      </c>
      <c r="AN411" s="131"/>
      <c r="AO411" s="131"/>
      <c r="AP411" s="131"/>
      <c r="AQ411" s="131"/>
      <c r="AR411" s="131"/>
      <c r="AS411" s="131"/>
      <c r="AT411" s="131"/>
      <c r="AU411" s="91"/>
      <c r="AV411" s="91"/>
      <c r="AW411" s="131"/>
      <c r="AX411" s="131"/>
      <c r="AY411" s="131"/>
    </row>
    <row r="412" spans="1:51" ht="15" x14ac:dyDescent="0.25">
      <c r="A412" s="123"/>
      <c r="B412" s="124"/>
      <c r="C412" s="125">
        <v>490473</v>
      </c>
      <c r="D412" s="89"/>
      <c r="E412" s="86" t="s">
        <v>16</v>
      </c>
      <c r="F412" s="86" t="s">
        <v>418</v>
      </c>
      <c r="H412" s="126" t="s">
        <v>51</v>
      </c>
      <c r="I412" s="89">
        <v>2</v>
      </c>
      <c r="J412" s="127">
        <v>36856.409899999999</v>
      </c>
      <c r="K412" s="127">
        <v>66873.820000000007</v>
      </c>
      <c r="L412" s="127">
        <v>10745.772499999999</v>
      </c>
      <c r="M412" s="127">
        <v>18597.409900000013</v>
      </c>
      <c r="N412" s="127">
        <v>57217.320000000007</v>
      </c>
      <c r="O412" s="127">
        <v>9955.2724999999991</v>
      </c>
      <c r="P412" s="128">
        <f t="shared" si="54"/>
        <v>0.5045909232738377</v>
      </c>
      <c r="Q412" s="128">
        <f t="shared" si="55"/>
        <v>0.8556011904210048</v>
      </c>
      <c r="R412" s="128">
        <f t="shared" si="56"/>
        <v>0.92643618688186447</v>
      </c>
      <c r="S412" s="129">
        <v>0</v>
      </c>
      <c r="T412" s="129">
        <v>0</v>
      </c>
      <c r="U412" s="129">
        <v>0</v>
      </c>
      <c r="V412" s="138">
        <f t="shared" si="57"/>
        <v>4</v>
      </c>
      <c r="W412" s="138">
        <f t="shared" si="58"/>
        <v>4</v>
      </c>
      <c r="X412" s="138">
        <f t="shared" si="59"/>
        <v>2</v>
      </c>
      <c r="Y412" s="138">
        <f t="shared" si="60"/>
        <v>0</v>
      </c>
      <c r="Z412" s="138">
        <f t="shared" si="61"/>
        <v>0</v>
      </c>
      <c r="AA412" s="138">
        <f t="shared" si="62"/>
        <v>0</v>
      </c>
      <c r="AB412" s="127" t="s">
        <v>32</v>
      </c>
      <c r="AC412" s="127"/>
      <c r="AD412" s="127"/>
      <c r="AE412" s="130"/>
      <c r="AF412" s="136">
        <v>0</v>
      </c>
      <c r="AG412" s="136">
        <v>0</v>
      </c>
      <c r="AH412" s="136">
        <v>0</v>
      </c>
      <c r="AI412" s="136">
        <v>0</v>
      </c>
      <c r="AJ412" s="136">
        <v>0</v>
      </c>
      <c r="AK412" s="136">
        <v>0</v>
      </c>
      <c r="AL412" s="136">
        <v>0</v>
      </c>
      <c r="AM412" s="136">
        <v>0</v>
      </c>
      <c r="AN412" s="131"/>
      <c r="AO412" s="131"/>
      <c r="AP412" s="131"/>
      <c r="AQ412" s="131"/>
      <c r="AR412" s="131"/>
      <c r="AS412" s="131"/>
      <c r="AT412" s="131"/>
      <c r="AU412" s="91"/>
      <c r="AV412" s="91"/>
      <c r="AW412" s="131"/>
      <c r="AX412" s="131"/>
      <c r="AY412" s="131"/>
    </row>
    <row r="413" spans="1:51" ht="15" x14ac:dyDescent="0.25">
      <c r="A413" s="123"/>
      <c r="B413" s="124"/>
      <c r="C413" s="125">
        <v>498715</v>
      </c>
      <c r="D413" s="89"/>
      <c r="E413" s="86" t="s">
        <v>16</v>
      </c>
      <c r="F413" s="86" t="s">
        <v>418</v>
      </c>
      <c r="H413" s="126" t="s">
        <v>51</v>
      </c>
      <c r="I413" s="89">
        <v>2</v>
      </c>
      <c r="J413" s="127">
        <v>36856.409899999999</v>
      </c>
      <c r="K413" s="127">
        <v>66873.820000000007</v>
      </c>
      <c r="L413" s="127">
        <v>10745.772499999999</v>
      </c>
      <c r="M413" s="127">
        <v>18597.409900000013</v>
      </c>
      <c r="N413" s="127">
        <v>57217.320000000007</v>
      </c>
      <c r="O413" s="127">
        <v>9955.2724999999991</v>
      </c>
      <c r="P413" s="128">
        <f t="shared" si="54"/>
        <v>0.5045909232738377</v>
      </c>
      <c r="Q413" s="128">
        <f t="shared" si="55"/>
        <v>0.8556011904210048</v>
      </c>
      <c r="R413" s="128">
        <f t="shared" si="56"/>
        <v>0.92643618688186447</v>
      </c>
      <c r="S413" s="129">
        <v>0</v>
      </c>
      <c r="T413" s="129">
        <v>0</v>
      </c>
      <c r="U413" s="129">
        <v>0</v>
      </c>
      <c r="V413" s="138">
        <f t="shared" si="57"/>
        <v>4</v>
      </c>
      <c r="W413" s="138">
        <f t="shared" si="58"/>
        <v>4</v>
      </c>
      <c r="X413" s="138">
        <f t="shared" si="59"/>
        <v>2</v>
      </c>
      <c r="Y413" s="138">
        <f t="shared" si="60"/>
        <v>0</v>
      </c>
      <c r="Z413" s="138">
        <f t="shared" si="61"/>
        <v>0</v>
      </c>
      <c r="AA413" s="138">
        <f t="shared" si="62"/>
        <v>0</v>
      </c>
      <c r="AB413" s="127" t="s">
        <v>32</v>
      </c>
      <c r="AC413" s="127"/>
      <c r="AD413" s="127"/>
      <c r="AE413" s="130"/>
      <c r="AF413" s="136">
        <v>0</v>
      </c>
      <c r="AG413" s="136">
        <v>0</v>
      </c>
      <c r="AH413" s="136">
        <v>0</v>
      </c>
      <c r="AI413" s="136">
        <v>0</v>
      </c>
      <c r="AJ413" s="136">
        <v>0</v>
      </c>
      <c r="AK413" s="136">
        <v>0</v>
      </c>
      <c r="AL413" s="136">
        <v>0</v>
      </c>
      <c r="AM413" s="136">
        <v>0</v>
      </c>
      <c r="AN413" s="131"/>
      <c r="AO413" s="131"/>
      <c r="AP413" s="131"/>
      <c r="AQ413" s="131"/>
      <c r="AR413" s="131"/>
      <c r="AS413" s="131"/>
      <c r="AT413" s="131"/>
      <c r="AU413" s="91"/>
      <c r="AV413" s="91"/>
      <c r="AW413" s="131"/>
      <c r="AX413" s="131"/>
      <c r="AY413" s="131"/>
    </row>
    <row r="414" spans="1:51" ht="15" x14ac:dyDescent="0.25">
      <c r="A414" s="123"/>
      <c r="B414" s="124"/>
      <c r="C414" s="125">
        <v>524847</v>
      </c>
      <c r="D414" s="89"/>
      <c r="E414" s="86" t="s">
        <v>16</v>
      </c>
      <c r="F414" s="86" t="s">
        <v>418</v>
      </c>
      <c r="H414" s="126" t="s">
        <v>50</v>
      </c>
      <c r="I414" s="89">
        <v>2</v>
      </c>
      <c r="J414" s="127">
        <v>36856.409899999999</v>
      </c>
      <c r="K414" s="127">
        <v>66873.820000000007</v>
      </c>
      <c r="L414" s="127">
        <v>10745.772499999999</v>
      </c>
      <c r="M414" s="127">
        <v>18597.409900000013</v>
      </c>
      <c r="N414" s="127">
        <v>57217.320000000007</v>
      </c>
      <c r="O414" s="127">
        <v>9955.2724999999991</v>
      </c>
      <c r="P414" s="128">
        <f t="shared" si="54"/>
        <v>0.5045909232738377</v>
      </c>
      <c r="Q414" s="128">
        <f t="shared" si="55"/>
        <v>0.8556011904210048</v>
      </c>
      <c r="R414" s="128">
        <f t="shared" si="56"/>
        <v>0.92643618688186447</v>
      </c>
      <c r="S414" s="129">
        <v>0</v>
      </c>
      <c r="T414" s="129">
        <v>0</v>
      </c>
      <c r="U414" s="129">
        <v>0</v>
      </c>
      <c r="V414" s="138">
        <f t="shared" si="57"/>
        <v>4</v>
      </c>
      <c r="W414" s="138">
        <f t="shared" si="58"/>
        <v>4</v>
      </c>
      <c r="X414" s="138">
        <f t="shared" si="59"/>
        <v>2</v>
      </c>
      <c r="Y414" s="138">
        <f t="shared" si="60"/>
        <v>0</v>
      </c>
      <c r="Z414" s="138">
        <f t="shared" si="61"/>
        <v>0</v>
      </c>
      <c r="AA414" s="138">
        <f t="shared" si="62"/>
        <v>0</v>
      </c>
      <c r="AB414" s="127" t="s">
        <v>32</v>
      </c>
      <c r="AC414" s="127"/>
      <c r="AD414" s="127"/>
      <c r="AE414" s="130"/>
      <c r="AF414" s="136">
        <v>0</v>
      </c>
      <c r="AG414" s="136">
        <v>0</v>
      </c>
      <c r="AH414" s="136">
        <v>0</v>
      </c>
      <c r="AI414" s="136">
        <v>0</v>
      </c>
      <c r="AJ414" s="136">
        <v>0</v>
      </c>
      <c r="AK414" s="136">
        <v>0</v>
      </c>
      <c r="AL414" s="136">
        <v>0</v>
      </c>
      <c r="AM414" s="136">
        <v>0</v>
      </c>
      <c r="AN414" s="131"/>
      <c r="AO414" s="131"/>
      <c r="AP414" s="131"/>
      <c r="AQ414" s="131"/>
      <c r="AR414" s="131"/>
      <c r="AS414" s="131"/>
      <c r="AT414" s="131"/>
      <c r="AU414" s="91"/>
      <c r="AV414" s="91"/>
      <c r="AW414" s="131"/>
      <c r="AX414" s="131"/>
      <c r="AY414" s="131"/>
    </row>
    <row r="415" spans="1:51" ht="15" x14ac:dyDescent="0.25">
      <c r="A415" s="123"/>
      <c r="B415" s="124"/>
      <c r="C415" s="125">
        <v>543416</v>
      </c>
      <c r="D415" s="89"/>
      <c r="E415" s="86" t="s">
        <v>16</v>
      </c>
      <c r="F415" s="86" t="s">
        <v>418</v>
      </c>
      <c r="H415" s="126" t="s">
        <v>51</v>
      </c>
      <c r="I415" s="89">
        <v>1</v>
      </c>
      <c r="J415" s="127">
        <v>36856.409899999999</v>
      </c>
      <c r="K415" s="127">
        <v>66873.820000000007</v>
      </c>
      <c r="L415" s="127">
        <v>10745.772499999999</v>
      </c>
      <c r="M415" s="127">
        <v>18597.409900000013</v>
      </c>
      <c r="N415" s="127">
        <v>57217.320000000007</v>
      </c>
      <c r="O415" s="127">
        <v>9955.2724999999991</v>
      </c>
      <c r="P415" s="128">
        <f t="shared" si="54"/>
        <v>0.5045909232738377</v>
      </c>
      <c r="Q415" s="128">
        <f t="shared" si="55"/>
        <v>0.8556011904210048</v>
      </c>
      <c r="R415" s="128">
        <f t="shared" si="56"/>
        <v>0.92643618688186447</v>
      </c>
      <c r="S415" s="129">
        <v>1</v>
      </c>
      <c r="T415" s="129">
        <v>1</v>
      </c>
      <c r="U415" s="129">
        <v>1</v>
      </c>
      <c r="V415" s="138">
        <f t="shared" si="57"/>
        <v>3</v>
      </c>
      <c r="W415" s="138">
        <f t="shared" si="58"/>
        <v>3</v>
      </c>
      <c r="X415" s="138">
        <f t="shared" si="59"/>
        <v>1</v>
      </c>
      <c r="Y415" s="138">
        <f t="shared" si="60"/>
        <v>3</v>
      </c>
      <c r="Z415" s="138">
        <f t="shared" si="61"/>
        <v>3</v>
      </c>
      <c r="AA415" s="138">
        <f t="shared" si="62"/>
        <v>1</v>
      </c>
      <c r="AB415" s="127" t="s">
        <v>32</v>
      </c>
      <c r="AC415" s="127"/>
      <c r="AD415" s="127"/>
      <c r="AE415" s="130"/>
      <c r="AF415" s="136">
        <v>11.54</v>
      </c>
      <c r="AG415" s="136">
        <v>11.33</v>
      </c>
      <c r="AH415" s="136">
        <v>35.49</v>
      </c>
      <c r="AI415" s="136">
        <v>5.99</v>
      </c>
      <c r="AJ415" s="136">
        <v>6.18</v>
      </c>
      <c r="AK415" s="136">
        <v>0.49</v>
      </c>
      <c r="AL415" s="136">
        <v>3.31</v>
      </c>
      <c r="AM415" s="136">
        <v>74.33</v>
      </c>
      <c r="AN415" s="131"/>
      <c r="AO415" s="131"/>
      <c r="AP415" s="131"/>
      <c r="AQ415" s="131"/>
      <c r="AR415" s="131"/>
      <c r="AS415" s="131"/>
      <c r="AT415" s="131"/>
      <c r="AU415" s="91"/>
      <c r="AV415" s="91"/>
      <c r="AW415" s="131"/>
      <c r="AX415" s="131"/>
      <c r="AY415" s="131"/>
    </row>
    <row r="416" spans="1:51" ht="15" x14ac:dyDescent="0.25">
      <c r="A416" s="123"/>
      <c r="B416" s="124"/>
      <c r="C416" s="125">
        <v>548724</v>
      </c>
      <c r="D416" s="89"/>
      <c r="E416" s="86" t="s">
        <v>16</v>
      </c>
      <c r="F416" s="86" t="s">
        <v>418</v>
      </c>
      <c r="H416" s="126" t="s">
        <v>50</v>
      </c>
      <c r="I416" s="89">
        <v>3</v>
      </c>
      <c r="J416" s="127">
        <v>36856.409899999999</v>
      </c>
      <c r="K416" s="127">
        <v>66873.820000000007</v>
      </c>
      <c r="L416" s="127">
        <v>10745.772499999999</v>
      </c>
      <c r="M416" s="127">
        <v>18597.409900000013</v>
      </c>
      <c r="N416" s="127">
        <v>57217.320000000007</v>
      </c>
      <c r="O416" s="127">
        <v>9955.2724999999991</v>
      </c>
      <c r="P416" s="128">
        <f t="shared" si="54"/>
        <v>0.5045909232738377</v>
      </c>
      <c r="Q416" s="128">
        <f t="shared" si="55"/>
        <v>0.8556011904210048</v>
      </c>
      <c r="R416" s="128">
        <f t="shared" si="56"/>
        <v>0.92643618688186447</v>
      </c>
      <c r="S416" s="129">
        <v>0</v>
      </c>
      <c r="T416" s="129">
        <v>0</v>
      </c>
      <c r="U416" s="129">
        <v>0</v>
      </c>
      <c r="V416" s="138">
        <f t="shared" si="57"/>
        <v>5</v>
      </c>
      <c r="W416" s="138">
        <f t="shared" si="58"/>
        <v>5</v>
      </c>
      <c r="X416" s="138">
        <f t="shared" si="59"/>
        <v>3</v>
      </c>
      <c r="Y416" s="138">
        <f t="shared" si="60"/>
        <v>0</v>
      </c>
      <c r="Z416" s="138">
        <f t="shared" si="61"/>
        <v>0</v>
      </c>
      <c r="AA416" s="138">
        <f t="shared" si="62"/>
        <v>0</v>
      </c>
      <c r="AB416" s="127" t="s">
        <v>32</v>
      </c>
      <c r="AC416" s="127"/>
      <c r="AD416" s="127"/>
      <c r="AE416" s="130"/>
      <c r="AF416" s="136">
        <v>0</v>
      </c>
      <c r="AG416" s="136">
        <v>0</v>
      </c>
      <c r="AH416" s="136">
        <v>0</v>
      </c>
      <c r="AI416" s="136">
        <v>0</v>
      </c>
      <c r="AJ416" s="136">
        <v>0</v>
      </c>
      <c r="AK416" s="136">
        <v>0</v>
      </c>
      <c r="AL416" s="136">
        <v>0</v>
      </c>
      <c r="AM416" s="136">
        <v>0</v>
      </c>
      <c r="AN416" s="131"/>
      <c r="AO416" s="131"/>
      <c r="AP416" s="131"/>
      <c r="AQ416" s="131"/>
      <c r="AR416" s="131"/>
      <c r="AS416" s="131"/>
      <c r="AT416" s="131"/>
      <c r="AU416" s="91"/>
      <c r="AV416" s="91"/>
      <c r="AW416" s="131"/>
      <c r="AX416" s="131"/>
      <c r="AY416" s="131"/>
    </row>
    <row r="417" spans="1:51" ht="15" x14ac:dyDescent="0.25">
      <c r="A417" s="123"/>
      <c r="B417" s="124"/>
      <c r="C417" s="125">
        <v>551540</v>
      </c>
      <c r="D417" s="89"/>
      <c r="E417" s="86" t="s">
        <v>16</v>
      </c>
      <c r="F417" s="86" t="s">
        <v>418</v>
      </c>
      <c r="H417" s="126" t="s">
        <v>51</v>
      </c>
      <c r="I417" s="89">
        <v>2</v>
      </c>
      <c r="J417" s="127">
        <v>36856.409899999999</v>
      </c>
      <c r="K417" s="127">
        <v>66873.820000000007</v>
      </c>
      <c r="L417" s="127">
        <v>10745.772499999999</v>
      </c>
      <c r="M417" s="127">
        <v>18597.409900000013</v>
      </c>
      <c r="N417" s="127">
        <v>57217.320000000007</v>
      </c>
      <c r="O417" s="127">
        <v>9955.2724999999991</v>
      </c>
      <c r="P417" s="128">
        <f t="shared" si="54"/>
        <v>0.5045909232738377</v>
      </c>
      <c r="Q417" s="128">
        <f t="shared" si="55"/>
        <v>0.8556011904210048</v>
      </c>
      <c r="R417" s="128">
        <f t="shared" si="56"/>
        <v>0.92643618688186447</v>
      </c>
      <c r="S417" s="129">
        <v>0</v>
      </c>
      <c r="T417" s="129">
        <v>0</v>
      </c>
      <c r="U417" s="129">
        <v>0</v>
      </c>
      <c r="V417" s="138">
        <f t="shared" si="57"/>
        <v>4</v>
      </c>
      <c r="W417" s="138">
        <f t="shared" si="58"/>
        <v>4</v>
      </c>
      <c r="X417" s="138">
        <f t="shared" si="59"/>
        <v>2</v>
      </c>
      <c r="Y417" s="138">
        <f t="shared" si="60"/>
        <v>0</v>
      </c>
      <c r="Z417" s="138">
        <f t="shared" si="61"/>
        <v>0</v>
      </c>
      <c r="AA417" s="138">
        <f t="shared" si="62"/>
        <v>0</v>
      </c>
      <c r="AB417" s="127" t="s">
        <v>32</v>
      </c>
      <c r="AC417" s="127"/>
      <c r="AD417" s="127"/>
      <c r="AE417" s="130"/>
      <c r="AF417" s="136">
        <v>0</v>
      </c>
      <c r="AG417" s="136">
        <v>0</v>
      </c>
      <c r="AH417" s="136">
        <v>0</v>
      </c>
      <c r="AI417" s="136">
        <v>0</v>
      </c>
      <c r="AJ417" s="136">
        <v>0</v>
      </c>
      <c r="AK417" s="136">
        <v>0</v>
      </c>
      <c r="AL417" s="136">
        <v>0</v>
      </c>
      <c r="AM417" s="136">
        <v>0</v>
      </c>
      <c r="AN417" s="131"/>
      <c r="AO417" s="131"/>
      <c r="AP417" s="131"/>
      <c r="AQ417" s="131"/>
      <c r="AR417" s="131"/>
      <c r="AS417" s="131"/>
      <c r="AT417" s="131"/>
      <c r="AU417" s="91"/>
      <c r="AV417" s="91"/>
      <c r="AW417" s="131"/>
      <c r="AX417" s="131"/>
      <c r="AY417" s="131"/>
    </row>
    <row r="418" spans="1:51" ht="15" x14ac:dyDescent="0.25">
      <c r="A418" s="123"/>
      <c r="B418" s="124"/>
      <c r="C418" s="125">
        <v>554653</v>
      </c>
      <c r="D418" s="89"/>
      <c r="E418" s="86" t="s">
        <v>16</v>
      </c>
      <c r="F418" s="86" t="s">
        <v>418</v>
      </c>
      <c r="H418" s="126" t="s">
        <v>50</v>
      </c>
      <c r="I418" s="89">
        <v>2</v>
      </c>
      <c r="J418" s="127">
        <v>36856.409899999999</v>
      </c>
      <c r="K418" s="127">
        <v>66873.820000000007</v>
      </c>
      <c r="L418" s="127">
        <v>10745.772499999999</v>
      </c>
      <c r="M418" s="127">
        <v>18597.409900000013</v>
      </c>
      <c r="N418" s="127">
        <v>57217.320000000007</v>
      </c>
      <c r="O418" s="127">
        <v>9955.2724999999991</v>
      </c>
      <c r="P418" s="128">
        <f t="shared" si="54"/>
        <v>0.5045909232738377</v>
      </c>
      <c r="Q418" s="128">
        <f t="shared" si="55"/>
        <v>0.8556011904210048</v>
      </c>
      <c r="R418" s="128">
        <f t="shared" si="56"/>
        <v>0.92643618688186447</v>
      </c>
      <c r="S418" s="129">
        <v>0</v>
      </c>
      <c r="T418" s="129">
        <v>0</v>
      </c>
      <c r="U418" s="129">
        <v>0</v>
      </c>
      <c r="V418" s="138">
        <f t="shared" si="57"/>
        <v>4</v>
      </c>
      <c r="W418" s="138">
        <f t="shared" si="58"/>
        <v>4</v>
      </c>
      <c r="X418" s="138">
        <f t="shared" si="59"/>
        <v>2</v>
      </c>
      <c r="Y418" s="138">
        <f t="shared" si="60"/>
        <v>0</v>
      </c>
      <c r="Z418" s="138">
        <f t="shared" si="61"/>
        <v>0</v>
      </c>
      <c r="AA418" s="138">
        <f t="shared" si="62"/>
        <v>0</v>
      </c>
      <c r="AB418" s="127" t="s">
        <v>32</v>
      </c>
      <c r="AC418" s="127"/>
      <c r="AD418" s="127"/>
      <c r="AE418" s="130"/>
      <c r="AF418" s="136">
        <v>0</v>
      </c>
      <c r="AG418" s="136">
        <v>0</v>
      </c>
      <c r="AH418" s="136">
        <v>0</v>
      </c>
      <c r="AI418" s="136">
        <v>0</v>
      </c>
      <c r="AJ418" s="136">
        <v>0</v>
      </c>
      <c r="AK418" s="136">
        <v>0</v>
      </c>
      <c r="AL418" s="136">
        <v>0</v>
      </c>
      <c r="AM418" s="136">
        <v>0</v>
      </c>
      <c r="AN418" s="131"/>
      <c r="AO418" s="131"/>
      <c r="AP418" s="131"/>
      <c r="AQ418" s="131"/>
      <c r="AR418" s="131"/>
      <c r="AS418" s="131"/>
      <c r="AT418" s="131"/>
      <c r="AU418" s="91"/>
      <c r="AV418" s="91"/>
      <c r="AW418" s="131"/>
      <c r="AX418" s="131"/>
      <c r="AY418" s="131"/>
    </row>
    <row r="419" spans="1:51" ht="15" x14ac:dyDescent="0.25">
      <c r="A419" s="123"/>
      <c r="B419" s="124"/>
      <c r="C419" s="125">
        <v>561698</v>
      </c>
      <c r="D419" s="89"/>
      <c r="E419" s="86" t="s">
        <v>16</v>
      </c>
      <c r="F419" s="86" t="s">
        <v>418</v>
      </c>
      <c r="H419" s="126" t="s">
        <v>51</v>
      </c>
      <c r="I419" s="89">
        <v>1</v>
      </c>
      <c r="J419" s="127">
        <v>36856.409899999999</v>
      </c>
      <c r="K419" s="127">
        <v>66873.820000000007</v>
      </c>
      <c r="L419" s="127">
        <v>10745.772499999999</v>
      </c>
      <c r="M419" s="127">
        <v>18597.409900000013</v>
      </c>
      <c r="N419" s="127">
        <v>57217.320000000007</v>
      </c>
      <c r="O419" s="127">
        <v>9955.2724999999991</v>
      </c>
      <c r="P419" s="128">
        <f t="shared" si="54"/>
        <v>0.5045909232738377</v>
      </c>
      <c r="Q419" s="128">
        <f t="shared" si="55"/>
        <v>0.8556011904210048</v>
      </c>
      <c r="R419" s="128">
        <f t="shared" si="56"/>
        <v>0.92643618688186447</v>
      </c>
      <c r="S419" s="129">
        <v>1</v>
      </c>
      <c r="T419" s="129">
        <v>1</v>
      </c>
      <c r="U419" s="129">
        <v>1</v>
      </c>
      <c r="V419" s="138">
        <f t="shared" si="57"/>
        <v>3</v>
      </c>
      <c r="W419" s="138">
        <f t="shared" si="58"/>
        <v>3</v>
      </c>
      <c r="X419" s="138">
        <f t="shared" si="59"/>
        <v>1</v>
      </c>
      <c r="Y419" s="138">
        <f t="shared" si="60"/>
        <v>3</v>
      </c>
      <c r="Z419" s="138">
        <f t="shared" si="61"/>
        <v>3</v>
      </c>
      <c r="AA419" s="138">
        <f t="shared" si="62"/>
        <v>1</v>
      </c>
      <c r="AB419" s="127" t="s">
        <v>32</v>
      </c>
      <c r="AC419" s="127"/>
      <c r="AD419" s="127"/>
      <c r="AE419" s="130"/>
      <c r="AF419" s="136">
        <v>11.54</v>
      </c>
      <c r="AG419" s="136">
        <v>11.33</v>
      </c>
      <c r="AH419" s="136">
        <v>35.49</v>
      </c>
      <c r="AI419" s="136">
        <v>5.99</v>
      </c>
      <c r="AJ419" s="136">
        <v>6.18</v>
      </c>
      <c r="AK419" s="136">
        <v>0.49</v>
      </c>
      <c r="AL419" s="136">
        <v>3.31</v>
      </c>
      <c r="AM419" s="136">
        <v>74.33</v>
      </c>
      <c r="AN419" s="131"/>
      <c r="AO419" s="131"/>
      <c r="AP419" s="131"/>
      <c r="AQ419" s="131"/>
      <c r="AR419" s="131"/>
      <c r="AS419" s="131"/>
      <c r="AT419" s="131"/>
      <c r="AU419" s="91"/>
      <c r="AV419" s="91"/>
      <c r="AW419" s="131"/>
      <c r="AX419" s="131"/>
      <c r="AY419" s="131"/>
    </row>
    <row r="420" spans="1:51" ht="15" x14ac:dyDescent="0.25">
      <c r="A420" s="123"/>
      <c r="B420" s="124"/>
      <c r="C420" s="125">
        <v>610272</v>
      </c>
      <c r="D420" s="89"/>
      <c r="E420" s="86" t="s">
        <v>16</v>
      </c>
      <c r="F420" s="86" t="s">
        <v>418</v>
      </c>
      <c r="H420" s="126" t="s">
        <v>51</v>
      </c>
      <c r="I420" s="89">
        <v>1</v>
      </c>
      <c r="J420" s="127">
        <v>36856.409899999999</v>
      </c>
      <c r="K420" s="127">
        <v>66873.820000000007</v>
      </c>
      <c r="L420" s="127">
        <v>10745.772499999999</v>
      </c>
      <c r="M420" s="127">
        <v>18597.409900000013</v>
      </c>
      <c r="N420" s="127">
        <v>57217.320000000007</v>
      </c>
      <c r="O420" s="127">
        <v>9955.2724999999991</v>
      </c>
      <c r="P420" s="128">
        <f t="shared" si="54"/>
        <v>0.5045909232738377</v>
      </c>
      <c r="Q420" s="128">
        <f t="shared" si="55"/>
        <v>0.8556011904210048</v>
      </c>
      <c r="R420" s="128">
        <f t="shared" si="56"/>
        <v>0.92643618688186447</v>
      </c>
      <c r="S420" s="129">
        <v>1</v>
      </c>
      <c r="T420" s="129">
        <v>1</v>
      </c>
      <c r="U420" s="129">
        <v>1</v>
      </c>
      <c r="V420" s="138">
        <f t="shared" si="57"/>
        <v>3</v>
      </c>
      <c r="W420" s="138">
        <f t="shared" si="58"/>
        <v>3</v>
      </c>
      <c r="X420" s="138">
        <f t="shared" si="59"/>
        <v>1</v>
      </c>
      <c r="Y420" s="138">
        <f t="shared" si="60"/>
        <v>3</v>
      </c>
      <c r="Z420" s="138">
        <f t="shared" si="61"/>
        <v>3</v>
      </c>
      <c r="AA420" s="138">
        <f t="shared" si="62"/>
        <v>1</v>
      </c>
      <c r="AB420" s="127" t="s">
        <v>32</v>
      </c>
      <c r="AC420" s="127"/>
      <c r="AD420" s="127"/>
      <c r="AE420" s="130"/>
      <c r="AF420" s="136">
        <v>11.54</v>
      </c>
      <c r="AG420" s="136">
        <v>11.33</v>
      </c>
      <c r="AH420" s="136">
        <v>35.49</v>
      </c>
      <c r="AI420" s="136">
        <v>5.99</v>
      </c>
      <c r="AJ420" s="136">
        <v>6.18</v>
      </c>
      <c r="AK420" s="136">
        <v>0.49</v>
      </c>
      <c r="AL420" s="136">
        <v>3.31</v>
      </c>
      <c r="AM420" s="136">
        <v>74.33</v>
      </c>
      <c r="AN420" s="131"/>
      <c r="AO420" s="131"/>
      <c r="AP420" s="131"/>
      <c r="AQ420" s="131"/>
      <c r="AR420" s="131"/>
      <c r="AS420" s="131"/>
      <c r="AT420" s="131"/>
      <c r="AU420" s="91"/>
      <c r="AV420" s="91"/>
      <c r="AW420" s="131"/>
      <c r="AX420" s="131"/>
      <c r="AY420" s="131"/>
    </row>
    <row r="421" spans="1:51" ht="15" x14ac:dyDescent="0.25">
      <c r="A421" s="123"/>
      <c r="B421" s="124"/>
      <c r="C421" s="125">
        <v>622110</v>
      </c>
      <c r="D421" s="89"/>
      <c r="E421" s="86" t="s">
        <v>16</v>
      </c>
      <c r="F421" s="86" t="s">
        <v>418</v>
      </c>
      <c r="H421" s="126" t="s">
        <v>51</v>
      </c>
      <c r="I421" s="89">
        <v>1</v>
      </c>
      <c r="J421" s="127">
        <v>36856.409899999999</v>
      </c>
      <c r="K421" s="127">
        <v>66873.820000000007</v>
      </c>
      <c r="L421" s="127">
        <v>10745.772499999999</v>
      </c>
      <c r="M421" s="127">
        <v>18597.409900000013</v>
      </c>
      <c r="N421" s="127">
        <v>57217.320000000007</v>
      </c>
      <c r="O421" s="127">
        <v>9955.2724999999991</v>
      </c>
      <c r="P421" s="128">
        <f t="shared" si="54"/>
        <v>0.5045909232738377</v>
      </c>
      <c r="Q421" s="128">
        <f t="shared" si="55"/>
        <v>0.8556011904210048</v>
      </c>
      <c r="R421" s="128">
        <f t="shared" si="56"/>
        <v>0.92643618688186447</v>
      </c>
      <c r="S421" s="129">
        <v>1</v>
      </c>
      <c r="T421" s="129">
        <v>1</v>
      </c>
      <c r="U421" s="129">
        <v>1</v>
      </c>
      <c r="V421" s="138">
        <f t="shared" si="57"/>
        <v>3</v>
      </c>
      <c r="W421" s="138">
        <f t="shared" si="58"/>
        <v>3</v>
      </c>
      <c r="X421" s="138">
        <f t="shared" si="59"/>
        <v>1</v>
      </c>
      <c r="Y421" s="138">
        <f t="shared" si="60"/>
        <v>3</v>
      </c>
      <c r="Z421" s="138">
        <f t="shared" si="61"/>
        <v>3</v>
      </c>
      <c r="AA421" s="138">
        <f t="shared" si="62"/>
        <v>1</v>
      </c>
      <c r="AB421" s="127" t="s">
        <v>32</v>
      </c>
      <c r="AC421" s="127"/>
      <c r="AD421" s="127"/>
      <c r="AE421" s="130"/>
      <c r="AF421" s="136">
        <v>11.54</v>
      </c>
      <c r="AG421" s="136">
        <v>11.33</v>
      </c>
      <c r="AH421" s="136">
        <v>35.49</v>
      </c>
      <c r="AI421" s="136">
        <v>5.99</v>
      </c>
      <c r="AJ421" s="136">
        <v>6.18</v>
      </c>
      <c r="AK421" s="136">
        <v>0.49</v>
      </c>
      <c r="AL421" s="136">
        <v>3.31</v>
      </c>
      <c r="AM421" s="136">
        <v>74.33</v>
      </c>
      <c r="AN421" s="131"/>
      <c r="AO421" s="131"/>
      <c r="AP421" s="131"/>
      <c r="AQ421" s="131"/>
      <c r="AR421" s="131"/>
      <c r="AS421" s="131"/>
      <c r="AT421" s="131"/>
      <c r="AU421" s="91"/>
      <c r="AV421" s="91"/>
      <c r="AW421" s="131"/>
      <c r="AX421" s="131"/>
      <c r="AY421" s="131"/>
    </row>
    <row r="422" spans="1:51" ht="15" x14ac:dyDescent="0.25">
      <c r="A422" s="123"/>
      <c r="B422" s="124"/>
      <c r="C422" s="125">
        <v>632856</v>
      </c>
      <c r="D422" s="89"/>
      <c r="E422" s="86" t="s">
        <v>16</v>
      </c>
      <c r="F422" s="86" t="s">
        <v>418</v>
      </c>
      <c r="H422" s="126" t="s">
        <v>51</v>
      </c>
      <c r="I422" s="89">
        <v>1</v>
      </c>
      <c r="J422" s="127">
        <v>36856.409899999999</v>
      </c>
      <c r="K422" s="127">
        <v>66873.820000000007</v>
      </c>
      <c r="L422" s="127">
        <v>10745.772499999999</v>
      </c>
      <c r="M422" s="127">
        <v>18597.409900000013</v>
      </c>
      <c r="N422" s="127">
        <v>57217.320000000007</v>
      </c>
      <c r="O422" s="127">
        <v>9955.2724999999991</v>
      </c>
      <c r="P422" s="128">
        <f t="shared" si="54"/>
        <v>0.5045909232738377</v>
      </c>
      <c r="Q422" s="128">
        <f t="shared" si="55"/>
        <v>0.8556011904210048</v>
      </c>
      <c r="R422" s="128">
        <f t="shared" si="56"/>
        <v>0.92643618688186447</v>
      </c>
      <c r="S422" s="129">
        <v>1</v>
      </c>
      <c r="T422" s="129">
        <v>1</v>
      </c>
      <c r="U422" s="129">
        <v>1</v>
      </c>
      <c r="V422" s="138">
        <f t="shared" si="57"/>
        <v>3</v>
      </c>
      <c r="W422" s="138">
        <f t="shared" si="58"/>
        <v>3</v>
      </c>
      <c r="X422" s="138">
        <f t="shared" si="59"/>
        <v>1</v>
      </c>
      <c r="Y422" s="138">
        <f t="shared" si="60"/>
        <v>3</v>
      </c>
      <c r="Z422" s="138">
        <f t="shared" si="61"/>
        <v>3</v>
      </c>
      <c r="AA422" s="138">
        <f t="shared" si="62"/>
        <v>1</v>
      </c>
      <c r="AB422" s="127" t="s">
        <v>32</v>
      </c>
      <c r="AC422" s="127"/>
      <c r="AD422" s="127"/>
      <c r="AE422" s="130"/>
      <c r="AF422" s="136">
        <v>11.54</v>
      </c>
      <c r="AG422" s="136">
        <v>11.33</v>
      </c>
      <c r="AH422" s="136">
        <v>35.49</v>
      </c>
      <c r="AI422" s="136">
        <v>5.99</v>
      </c>
      <c r="AJ422" s="136">
        <v>6.18</v>
      </c>
      <c r="AK422" s="136">
        <v>0.49</v>
      </c>
      <c r="AL422" s="136">
        <v>3.31</v>
      </c>
      <c r="AM422" s="136">
        <v>74.33</v>
      </c>
      <c r="AN422" s="131"/>
      <c r="AO422" s="131"/>
      <c r="AP422" s="131"/>
      <c r="AQ422" s="131"/>
      <c r="AR422" s="131"/>
      <c r="AS422" s="131"/>
      <c r="AT422" s="131"/>
      <c r="AU422" s="91"/>
      <c r="AV422" s="91"/>
      <c r="AW422" s="131"/>
      <c r="AX422" s="131"/>
      <c r="AY422" s="131"/>
    </row>
    <row r="423" spans="1:51" ht="15" x14ac:dyDescent="0.25">
      <c r="A423" s="123"/>
      <c r="B423" s="124"/>
      <c r="C423" s="125">
        <v>640329</v>
      </c>
      <c r="D423" s="89"/>
      <c r="E423" s="86" t="s">
        <v>16</v>
      </c>
      <c r="F423" s="86" t="s">
        <v>418</v>
      </c>
      <c r="H423" s="126" t="s">
        <v>50</v>
      </c>
      <c r="I423" s="89">
        <v>2</v>
      </c>
      <c r="J423" s="127">
        <v>36856.409899999999</v>
      </c>
      <c r="K423" s="127">
        <v>66873.820000000007</v>
      </c>
      <c r="L423" s="127">
        <v>10745.772499999999</v>
      </c>
      <c r="M423" s="127">
        <v>18597.409900000013</v>
      </c>
      <c r="N423" s="127">
        <v>57217.320000000007</v>
      </c>
      <c r="O423" s="127">
        <v>9955.2724999999991</v>
      </c>
      <c r="P423" s="128">
        <f t="shared" si="54"/>
        <v>0.5045909232738377</v>
      </c>
      <c r="Q423" s="128">
        <f t="shared" si="55"/>
        <v>0.8556011904210048</v>
      </c>
      <c r="R423" s="128">
        <f t="shared" si="56"/>
        <v>0.92643618688186447</v>
      </c>
      <c r="S423" s="129">
        <v>0</v>
      </c>
      <c r="T423" s="129">
        <v>0</v>
      </c>
      <c r="U423" s="129">
        <v>0</v>
      </c>
      <c r="V423" s="138">
        <f t="shared" si="57"/>
        <v>4</v>
      </c>
      <c r="W423" s="138">
        <f t="shared" si="58"/>
        <v>4</v>
      </c>
      <c r="X423" s="138">
        <f t="shared" si="59"/>
        <v>2</v>
      </c>
      <c r="Y423" s="138">
        <f t="shared" si="60"/>
        <v>0</v>
      </c>
      <c r="Z423" s="138">
        <f t="shared" si="61"/>
        <v>0</v>
      </c>
      <c r="AA423" s="138">
        <f t="shared" si="62"/>
        <v>0</v>
      </c>
      <c r="AB423" s="127" t="s">
        <v>32</v>
      </c>
      <c r="AC423" s="127"/>
      <c r="AD423" s="127"/>
      <c r="AE423" s="130"/>
      <c r="AF423" s="136">
        <v>0</v>
      </c>
      <c r="AG423" s="136">
        <v>0</v>
      </c>
      <c r="AH423" s="136">
        <v>0</v>
      </c>
      <c r="AI423" s="136">
        <v>0</v>
      </c>
      <c r="AJ423" s="136">
        <v>0</v>
      </c>
      <c r="AK423" s="136">
        <v>0</v>
      </c>
      <c r="AL423" s="136">
        <v>0</v>
      </c>
      <c r="AM423" s="136">
        <v>0</v>
      </c>
      <c r="AN423" s="131"/>
      <c r="AO423" s="131"/>
      <c r="AP423" s="131"/>
      <c r="AQ423" s="131"/>
      <c r="AR423" s="131"/>
      <c r="AS423" s="131"/>
      <c r="AT423" s="131"/>
      <c r="AU423" s="91"/>
      <c r="AV423" s="91"/>
      <c r="AW423" s="131"/>
      <c r="AX423" s="131"/>
      <c r="AY423" s="131"/>
    </row>
    <row r="424" spans="1:51" ht="15" x14ac:dyDescent="0.25">
      <c r="A424" s="123"/>
      <c r="B424" s="124"/>
      <c r="C424" s="125">
        <v>685511</v>
      </c>
      <c r="D424" s="89"/>
      <c r="E424" s="86" t="s">
        <v>16</v>
      </c>
      <c r="F424" s="86" t="s">
        <v>418</v>
      </c>
      <c r="H424" s="126" t="s">
        <v>51</v>
      </c>
      <c r="I424" s="89">
        <v>1</v>
      </c>
      <c r="J424" s="127">
        <v>36856.409899999999</v>
      </c>
      <c r="K424" s="127">
        <v>66873.820000000007</v>
      </c>
      <c r="L424" s="127">
        <v>10745.772499999999</v>
      </c>
      <c r="M424" s="127">
        <v>18597.409900000013</v>
      </c>
      <c r="N424" s="127">
        <v>57217.320000000007</v>
      </c>
      <c r="O424" s="127">
        <v>9955.2724999999991</v>
      </c>
      <c r="P424" s="128">
        <f t="shared" si="54"/>
        <v>0.5045909232738377</v>
      </c>
      <c r="Q424" s="128">
        <f t="shared" si="55"/>
        <v>0.8556011904210048</v>
      </c>
      <c r="R424" s="128">
        <f t="shared" si="56"/>
        <v>0.92643618688186447</v>
      </c>
      <c r="S424" s="129">
        <v>1</v>
      </c>
      <c r="T424" s="129">
        <v>1</v>
      </c>
      <c r="U424" s="129">
        <v>1</v>
      </c>
      <c r="V424" s="138">
        <f t="shared" si="57"/>
        <v>3</v>
      </c>
      <c r="W424" s="138">
        <f t="shared" si="58"/>
        <v>3</v>
      </c>
      <c r="X424" s="138">
        <f t="shared" si="59"/>
        <v>1</v>
      </c>
      <c r="Y424" s="138">
        <f t="shared" si="60"/>
        <v>3</v>
      </c>
      <c r="Z424" s="138">
        <f t="shared" si="61"/>
        <v>3</v>
      </c>
      <c r="AA424" s="138">
        <f t="shared" si="62"/>
        <v>1</v>
      </c>
      <c r="AB424" s="127" t="s">
        <v>32</v>
      </c>
      <c r="AC424" s="127"/>
      <c r="AD424" s="127"/>
      <c r="AE424" s="130"/>
      <c r="AF424" s="136">
        <v>11.54</v>
      </c>
      <c r="AG424" s="136">
        <v>11.33</v>
      </c>
      <c r="AH424" s="136">
        <v>35.49</v>
      </c>
      <c r="AI424" s="136">
        <v>5.99</v>
      </c>
      <c r="AJ424" s="136">
        <v>6.18</v>
      </c>
      <c r="AK424" s="136">
        <v>0.49</v>
      </c>
      <c r="AL424" s="136">
        <v>3.31</v>
      </c>
      <c r="AM424" s="136">
        <v>74.33</v>
      </c>
      <c r="AN424" s="131"/>
      <c r="AO424" s="131"/>
      <c r="AP424" s="131"/>
      <c r="AQ424" s="131"/>
      <c r="AR424" s="131"/>
      <c r="AS424" s="131"/>
      <c r="AT424" s="131"/>
      <c r="AU424" s="91"/>
      <c r="AV424" s="91"/>
      <c r="AW424" s="131"/>
      <c r="AX424" s="131"/>
      <c r="AY424" s="131"/>
    </row>
    <row r="425" spans="1:51" ht="15" x14ac:dyDescent="0.25">
      <c r="A425" s="123"/>
      <c r="B425" s="124"/>
      <c r="C425" s="125">
        <v>700428</v>
      </c>
      <c r="D425" s="89"/>
      <c r="E425" s="86" t="s">
        <v>16</v>
      </c>
      <c r="F425" s="86" t="s">
        <v>418</v>
      </c>
      <c r="H425" s="126" t="s">
        <v>51</v>
      </c>
      <c r="I425" s="89">
        <v>1</v>
      </c>
      <c r="J425" s="127">
        <v>36856.409899999999</v>
      </c>
      <c r="K425" s="127">
        <v>66873.820000000007</v>
      </c>
      <c r="L425" s="127">
        <v>10745.772499999999</v>
      </c>
      <c r="M425" s="127">
        <v>18597.409900000013</v>
      </c>
      <c r="N425" s="127">
        <v>57217.320000000007</v>
      </c>
      <c r="O425" s="127">
        <v>9955.2724999999991</v>
      </c>
      <c r="P425" s="128">
        <f t="shared" si="54"/>
        <v>0.5045909232738377</v>
      </c>
      <c r="Q425" s="128">
        <f t="shared" si="55"/>
        <v>0.8556011904210048</v>
      </c>
      <c r="R425" s="128">
        <f t="shared" si="56"/>
        <v>0.92643618688186447</v>
      </c>
      <c r="S425" s="129">
        <v>1</v>
      </c>
      <c r="T425" s="129">
        <v>1</v>
      </c>
      <c r="U425" s="129">
        <v>1</v>
      </c>
      <c r="V425" s="138">
        <f t="shared" si="57"/>
        <v>3</v>
      </c>
      <c r="W425" s="138">
        <f t="shared" si="58"/>
        <v>3</v>
      </c>
      <c r="X425" s="138">
        <f t="shared" si="59"/>
        <v>1</v>
      </c>
      <c r="Y425" s="138">
        <f t="shared" si="60"/>
        <v>3</v>
      </c>
      <c r="Z425" s="138">
        <f t="shared" si="61"/>
        <v>3</v>
      </c>
      <c r="AA425" s="138">
        <f t="shared" si="62"/>
        <v>1</v>
      </c>
      <c r="AB425" s="127" t="s">
        <v>32</v>
      </c>
      <c r="AC425" s="127"/>
      <c r="AD425" s="127"/>
      <c r="AE425" s="130"/>
      <c r="AF425" s="136">
        <v>11.54</v>
      </c>
      <c r="AG425" s="136">
        <v>11.33</v>
      </c>
      <c r="AH425" s="136">
        <v>35.49</v>
      </c>
      <c r="AI425" s="136">
        <v>5.99</v>
      </c>
      <c r="AJ425" s="136">
        <v>6.18</v>
      </c>
      <c r="AK425" s="136">
        <v>0.49</v>
      </c>
      <c r="AL425" s="136">
        <v>3.31</v>
      </c>
      <c r="AM425" s="136">
        <v>74.33</v>
      </c>
      <c r="AN425" s="131"/>
      <c r="AO425" s="131"/>
      <c r="AP425" s="131"/>
      <c r="AQ425" s="131"/>
      <c r="AR425" s="131"/>
      <c r="AS425" s="131"/>
      <c r="AT425" s="131"/>
      <c r="AU425" s="91"/>
      <c r="AV425" s="91"/>
      <c r="AW425" s="131"/>
      <c r="AX425" s="131"/>
      <c r="AY425" s="131"/>
    </row>
    <row r="426" spans="1:51" ht="15" x14ac:dyDescent="0.25">
      <c r="A426" s="123"/>
      <c r="B426" s="124"/>
      <c r="C426" s="125">
        <v>700677</v>
      </c>
      <c r="D426" s="89"/>
      <c r="E426" s="86" t="s">
        <v>16</v>
      </c>
      <c r="F426" s="86" t="s">
        <v>418</v>
      </c>
      <c r="H426" s="126" t="s">
        <v>51</v>
      </c>
      <c r="I426" s="89">
        <v>2</v>
      </c>
      <c r="J426" s="127">
        <v>36856.409899999999</v>
      </c>
      <c r="K426" s="127">
        <v>66873.820000000007</v>
      </c>
      <c r="L426" s="127">
        <v>10745.772499999999</v>
      </c>
      <c r="M426" s="127">
        <v>18597.409900000013</v>
      </c>
      <c r="N426" s="127">
        <v>57217.320000000007</v>
      </c>
      <c r="O426" s="127">
        <v>9955.2724999999991</v>
      </c>
      <c r="P426" s="128">
        <f t="shared" si="54"/>
        <v>0.5045909232738377</v>
      </c>
      <c r="Q426" s="128">
        <f t="shared" si="55"/>
        <v>0.8556011904210048</v>
      </c>
      <c r="R426" s="128">
        <f t="shared" si="56"/>
        <v>0.92643618688186447</v>
      </c>
      <c r="S426" s="129">
        <v>0</v>
      </c>
      <c r="T426" s="129">
        <v>0</v>
      </c>
      <c r="U426" s="129">
        <v>0</v>
      </c>
      <c r="V426" s="138">
        <f t="shared" si="57"/>
        <v>4</v>
      </c>
      <c r="W426" s="138">
        <f t="shared" si="58"/>
        <v>4</v>
      </c>
      <c r="X426" s="138">
        <f t="shared" si="59"/>
        <v>2</v>
      </c>
      <c r="Y426" s="138">
        <f t="shared" si="60"/>
        <v>0</v>
      </c>
      <c r="Z426" s="138">
        <f t="shared" si="61"/>
        <v>0</v>
      </c>
      <c r="AA426" s="138">
        <f t="shared" si="62"/>
        <v>0</v>
      </c>
      <c r="AB426" s="127" t="s">
        <v>32</v>
      </c>
      <c r="AC426" s="127"/>
      <c r="AD426" s="127"/>
      <c r="AE426" s="130"/>
      <c r="AF426" s="136">
        <v>0</v>
      </c>
      <c r="AG426" s="136">
        <v>0</v>
      </c>
      <c r="AH426" s="136">
        <v>0</v>
      </c>
      <c r="AI426" s="136">
        <v>0</v>
      </c>
      <c r="AJ426" s="136">
        <v>0</v>
      </c>
      <c r="AK426" s="136">
        <v>0</v>
      </c>
      <c r="AL426" s="136">
        <v>0</v>
      </c>
      <c r="AM426" s="136">
        <v>0</v>
      </c>
      <c r="AN426" s="131"/>
      <c r="AO426" s="131"/>
      <c r="AP426" s="131"/>
      <c r="AQ426" s="131"/>
      <c r="AR426" s="131"/>
      <c r="AS426" s="131"/>
      <c r="AT426" s="131"/>
      <c r="AU426" s="91"/>
      <c r="AV426" s="91"/>
      <c r="AW426" s="131"/>
      <c r="AX426" s="131"/>
      <c r="AY426" s="131"/>
    </row>
    <row r="427" spans="1:51" ht="15" x14ac:dyDescent="0.25">
      <c r="A427" s="123"/>
      <c r="B427" s="124"/>
      <c r="C427" s="125">
        <v>735190</v>
      </c>
      <c r="D427" s="89"/>
      <c r="E427" s="86" t="s">
        <v>16</v>
      </c>
      <c r="F427" s="86" t="s">
        <v>418</v>
      </c>
      <c r="H427" s="126" t="s">
        <v>51</v>
      </c>
      <c r="I427" s="89">
        <v>1</v>
      </c>
      <c r="J427" s="127">
        <v>36856.409899999999</v>
      </c>
      <c r="K427" s="127">
        <v>66873.820000000007</v>
      </c>
      <c r="L427" s="127">
        <v>10745.772499999999</v>
      </c>
      <c r="M427" s="127">
        <v>18597.409900000013</v>
      </c>
      <c r="N427" s="127">
        <v>57217.320000000007</v>
      </c>
      <c r="O427" s="127">
        <v>9955.2724999999991</v>
      </c>
      <c r="P427" s="128">
        <f t="shared" si="54"/>
        <v>0.5045909232738377</v>
      </c>
      <c r="Q427" s="128">
        <f t="shared" si="55"/>
        <v>0.8556011904210048</v>
      </c>
      <c r="R427" s="128">
        <f t="shared" si="56"/>
        <v>0.92643618688186447</v>
      </c>
      <c r="S427" s="129">
        <v>1</v>
      </c>
      <c r="T427" s="129">
        <v>1</v>
      </c>
      <c r="U427" s="129">
        <v>1</v>
      </c>
      <c r="V427" s="138">
        <f t="shared" si="57"/>
        <v>3</v>
      </c>
      <c r="W427" s="138">
        <f t="shared" si="58"/>
        <v>3</v>
      </c>
      <c r="X427" s="138">
        <f t="shared" si="59"/>
        <v>1</v>
      </c>
      <c r="Y427" s="138">
        <f t="shared" si="60"/>
        <v>3</v>
      </c>
      <c r="Z427" s="138">
        <f t="shared" si="61"/>
        <v>3</v>
      </c>
      <c r="AA427" s="138">
        <f t="shared" si="62"/>
        <v>1</v>
      </c>
      <c r="AB427" s="127" t="s">
        <v>32</v>
      </c>
      <c r="AC427" s="127"/>
      <c r="AD427" s="127"/>
      <c r="AE427" s="130"/>
      <c r="AF427" s="136">
        <v>11.54</v>
      </c>
      <c r="AG427" s="136">
        <v>11.33</v>
      </c>
      <c r="AH427" s="136">
        <v>35.49</v>
      </c>
      <c r="AI427" s="136">
        <v>5.99</v>
      </c>
      <c r="AJ427" s="136">
        <v>6.18</v>
      </c>
      <c r="AK427" s="136">
        <v>0.49</v>
      </c>
      <c r="AL427" s="136">
        <v>3.31</v>
      </c>
      <c r="AM427" s="136">
        <v>74.33</v>
      </c>
      <c r="AN427" s="131"/>
      <c r="AO427" s="131"/>
      <c r="AP427" s="131"/>
      <c r="AQ427" s="131"/>
      <c r="AR427" s="131"/>
      <c r="AS427" s="131"/>
      <c r="AT427" s="131"/>
      <c r="AU427" s="91"/>
      <c r="AV427" s="91"/>
      <c r="AW427" s="131"/>
      <c r="AX427" s="131"/>
      <c r="AY427" s="131"/>
    </row>
    <row r="428" spans="1:51" ht="15" x14ac:dyDescent="0.25">
      <c r="A428" s="123"/>
      <c r="B428" s="124"/>
      <c r="C428" s="125">
        <v>801527</v>
      </c>
      <c r="D428" s="89"/>
      <c r="E428" s="86" t="s">
        <v>16</v>
      </c>
      <c r="F428" s="86" t="s">
        <v>418</v>
      </c>
      <c r="H428" s="126" t="s">
        <v>51</v>
      </c>
      <c r="I428" s="89">
        <v>1</v>
      </c>
      <c r="J428" s="127">
        <v>36856.409899999999</v>
      </c>
      <c r="K428" s="127">
        <v>66873.820000000007</v>
      </c>
      <c r="L428" s="127">
        <v>10745.772499999999</v>
      </c>
      <c r="M428" s="127">
        <v>18597.409900000013</v>
      </c>
      <c r="N428" s="127">
        <v>57217.320000000007</v>
      </c>
      <c r="O428" s="127">
        <v>9955.2724999999991</v>
      </c>
      <c r="P428" s="128">
        <f t="shared" si="54"/>
        <v>0.5045909232738377</v>
      </c>
      <c r="Q428" s="128">
        <f t="shared" si="55"/>
        <v>0.8556011904210048</v>
      </c>
      <c r="R428" s="128">
        <f t="shared" si="56"/>
        <v>0.92643618688186447</v>
      </c>
      <c r="S428" s="129">
        <v>1</v>
      </c>
      <c r="T428" s="129">
        <v>1</v>
      </c>
      <c r="U428" s="129">
        <v>1</v>
      </c>
      <c r="V428" s="138">
        <f t="shared" si="57"/>
        <v>3</v>
      </c>
      <c r="W428" s="138">
        <f t="shared" si="58"/>
        <v>3</v>
      </c>
      <c r="X428" s="138">
        <f t="shared" si="59"/>
        <v>1</v>
      </c>
      <c r="Y428" s="138">
        <f t="shared" si="60"/>
        <v>3</v>
      </c>
      <c r="Z428" s="138">
        <f t="shared" si="61"/>
        <v>3</v>
      </c>
      <c r="AA428" s="138">
        <f t="shared" si="62"/>
        <v>1</v>
      </c>
      <c r="AB428" s="127" t="s">
        <v>32</v>
      </c>
      <c r="AC428" s="127"/>
      <c r="AD428" s="127"/>
      <c r="AE428" s="130"/>
      <c r="AF428" s="136">
        <v>11.54</v>
      </c>
      <c r="AG428" s="136">
        <v>11.33</v>
      </c>
      <c r="AH428" s="136">
        <v>35.49</v>
      </c>
      <c r="AI428" s="136">
        <v>5.99</v>
      </c>
      <c r="AJ428" s="136">
        <v>6.18</v>
      </c>
      <c r="AK428" s="136">
        <v>0.49</v>
      </c>
      <c r="AL428" s="136">
        <v>3.31</v>
      </c>
      <c r="AM428" s="136">
        <v>74.33</v>
      </c>
      <c r="AN428" s="131"/>
      <c r="AO428" s="131"/>
      <c r="AP428" s="131"/>
      <c r="AQ428" s="131"/>
      <c r="AR428" s="131"/>
      <c r="AS428" s="131"/>
      <c r="AT428" s="131"/>
      <c r="AU428" s="91"/>
      <c r="AV428" s="91"/>
      <c r="AW428" s="131"/>
      <c r="AX428" s="131"/>
      <c r="AY428" s="131"/>
    </row>
    <row r="429" spans="1:51" ht="15" x14ac:dyDescent="0.25">
      <c r="A429" s="123"/>
      <c r="B429" s="124"/>
      <c r="C429" s="125">
        <v>810217</v>
      </c>
      <c r="D429" s="89"/>
      <c r="E429" s="86" t="s">
        <v>16</v>
      </c>
      <c r="F429" s="86" t="s">
        <v>418</v>
      </c>
      <c r="H429" s="126" t="s">
        <v>51</v>
      </c>
      <c r="I429" s="89">
        <v>1</v>
      </c>
      <c r="J429" s="127">
        <v>36856.409899999999</v>
      </c>
      <c r="K429" s="127">
        <v>66873.820000000007</v>
      </c>
      <c r="L429" s="127">
        <v>10745.772499999999</v>
      </c>
      <c r="M429" s="127">
        <v>18597.409900000013</v>
      </c>
      <c r="N429" s="127">
        <v>57217.320000000007</v>
      </c>
      <c r="O429" s="127">
        <v>9955.2724999999991</v>
      </c>
      <c r="P429" s="128">
        <f t="shared" si="54"/>
        <v>0.5045909232738377</v>
      </c>
      <c r="Q429" s="128">
        <f t="shared" si="55"/>
        <v>0.8556011904210048</v>
      </c>
      <c r="R429" s="128">
        <f t="shared" si="56"/>
        <v>0.92643618688186447</v>
      </c>
      <c r="S429" s="129">
        <v>1</v>
      </c>
      <c r="T429" s="129">
        <v>1</v>
      </c>
      <c r="U429" s="129">
        <v>1</v>
      </c>
      <c r="V429" s="138">
        <f t="shared" si="57"/>
        <v>3</v>
      </c>
      <c r="W429" s="138">
        <f t="shared" si="58"/>
        <v>3</v>
      </c>
      <c r="X429" s="138">
        <f t="shared" si="59"/>
        <v>1</v>
      </c>
      <c r="Y429" s="138">
        <f t="shared" si="60"/>
        <v>3</v>
      </c>
      <c r="Z429" s="138">
        <f t="shared" si="61"/>
        <v>3</v>
      </c>
      <c r="AA429" s="138">
        <f t="shared" si="62"/>
        <v>1</v>
      </c>
      <c r="AB429" s="127" t="s">
        <v>32</v>
      </c>
      <c r="AC429" s="127"/>
      <c r="AD429" s="127"/>
      <c r="AE429" s="130"/>
      <c r="AF429" s="136">
        <v>11.54</v>
      </c>
      <c r="AG429" s="136">
        <v>11.33</v>
      </c>
      <c r="AH429" s="136">
        <v>35.49</v>
      </c>
      <c r="AI429" s="136">
        <v>5.99</v>
      </c>
      <c r="AJ429" s="136">
        <v>6.18</v>
      </c>
      <c r="AK429" s="136">
        <v>0.49</v>
      </c>
      <c r="AL429" s="136">
        <v>3.31</v>
      </c>
      <c r="AM429" s="136">
        <v>74.33</v>
      </c>
      <c r="AN429" s="131"/>
      <c r="AO429" s="131"/>
      <c r="AP429" s="131"/>
      <c r="AQ429" s="131"/>
      <c r="AR429" s="131"/>
      <c r="AS429" s="131"/>
      <c r="AT429" s="131"/>
      <c r="AU429" s="91"/>
      <c r="AV429" s="91"/>
      <c r="AW429" s="131"/>
      <c r="AX429" s="131"/>
      <c r="AY429" s="131"/>
    </row>
    <row r="430" spans="1:51" ht="15" x14ac:dyDescent="0.25">
      <c r="A430" s="123"/>
      <c r="B430" s="124"/>
      <c r="C430" s="125">
        <v>837023</v>
      </c>
      <c r="D430" s="89"/>
      <c r="E430" s="86" t="s">
        <v>16</v>
      </c>
      <c r="F430" s="86" t="s">
        <v>418</v>
      </c>
      <c r="H430" s="126" t="s">
        <v>50</v>
      </c>
      <c r="I430" s="89">
        <v>2</v>
      </c>
      <c r="J430" s="127">
        <v>36856.409899999999</v>
      </c>
      <c r="K430" s="127">
        <v>66873.820000000007</v>
      </c>
      <c r="L430" s="127">
        <v>10745.772499999999</v>
      </c>
      <c r="M430" s="127">
        <v>18597.409900000013</v>
      </c>
      <c r="N430" s="127">
        <v>57217.320000000007</v>
      </c>
      <c r="O430" s="127">
        <v>9955.2724999999991</v>
      </c>
      <c r="P430" s="128">
        <f t="shared" si="54"/>
        <v>0.5045909232738377</v>
      </c>
      <c r="Q430" s="128">
        <f t="shared" si="55"/>
        <v>0.8556011904210048</v>
      </c>
      <c r="R430" s="128">
        <f t="shared" si="56"/>
        <v>0.92643618688186447</v>
      </c>
      <c r="S430" s="129">
        <v>0</v>
      </c>
      <c r="T430" s="129">
        <v>0</v>
      </c>
      <c r="U430" s="129">
        <v>0</v>
      </c>
      <c r="V430" s="138">
        <f t="shared" si="57"/>
        <v>4</v>
      </c>
      <c r="W430" s="138">
        <f t="shared" si="58"/>
        <v>4</v>
      </c>
      <c r="X430" s="138">
        <f t="shared" si="59"/>
        <v>2</v>
      </c>
      <c r="Y430" s="138">
        <f t="shared" si="60"/>
        <v>0</v>
      </c>
      <c r="Z430" s="138">
        <f t="shared" si="61"/>
        <v>0</v>
      </c>
      <c r="AA430" s="138">
        <f t="shared" si="62"/>
        <v>0</v>
      </c>
      <c r="AB430" s="127" t="s">
        <v>32</v>
      </c>
      <c r="AC430" s="127"/>
      <c r="AD430" s="127"/>
      <c r="AE430" s="130"/>
      <c r="AF430" s="136">
        <v>0</v>
      </c>
      <c r="AG430" s="136">
        <v>0</v>
      </c>
      <c r="AH430" s="136">
        <v>0</v>
      </c>
      <c r="AI430" s="136">
        <v>0</v>
      </c>
      <c r="AJ430" s="136">
        <v>0</v>
      </c>
      <c r="AK430" s="136">
        <v>0</v>
      </c>
      <c r="AL430" s="136">
        <v>0</v>
      </c>
      <c r="AM430" s="136">
        <v>0</v>
      </c>
      <c r="AN430" s="131"/>
      <c r="AO430" s="131"/>
      <c r="AP430" s="131"/>
      <c r="AQ430" s="131"/>
      <c r="AR430" s="131"/>
      <c r="AS430" s="131"/>
      <c r="AT430" s="131"/>
      <c r="AU430" s="91"/>
      <c r="AV430" s="91"/>
      <c r="AW430" s="131"/>
      <c r="AX430" s="131"/>
      <c r="AY430" s="131"/>
    </row>
    <row r="431" spans="1:51" ht="15" x14ac:dyDescent="0.25">
      <c r="A431" s="123"/>
      <c r="B431" s="124"/>
      <c r="C431" s="125">
        <v>932015</v>
      </c>
      <c r="D431" s="89"/>
      <c r="E431" s="86" t="s">
        <v>16</v>
      </c>
      <c r="F431" s="86" t="s">
        <v>418</v>
      </c>
      <c r="H431" s="126" t="s">
        <v>51</v>
      </c>
      <c r="I431" s="89">
        <v>1</v>
      </c>
      <c r="J431" s="127">
        <v>36856.409899999999</v>
      </c>
      <c r="K431" s="127">
        <v>66873.820000000007</v>
      </c>
      <c r="L431" s="127">
        <v>10745.772499999999</v>
      </c>
      <c r="M431" s="127">
        <v>18597.409900000013</v>
      </c>
      <c r="N431" s="127">
        <v>57217.320000000007</v>
      </c>
      <c r="O431" s="127">
        <v>9955.2724999999991</v>
      </c>
      <c r="P431" s="128">
        <f t="shared" si="54"/>
        <v>0.5045909232738377</v>
      </c>
      <c r="Q431" s="128">
        <f t="shared" si="55"/>
        <v>0.8556011904210048</v>
      </c>
      <c r="R431" s="128">
        <f t="shared" si="56"/>
        <v>0.92643618688186447</v>
      </c>
      <c r="S431" s="129">
        <v>1</v>
      </c>
      <c r="T431" s="129">
        <v>1</v>
      </c>
      <c r="U431" s="129">
        <v>1</v>
      </c>
      <c r="V431" s="138">
        <f t="shared" si="57"/>
        <v>3</v>
      </c>
      <c r="W431" s="138">
        <f t="shared" si="58"/>
        <v>3</v>
      </c>
      <c r="X431" s="138">
        <f t="shared" si="59"/>
        <v>1</v>
      </c>
      <c r="Y431" s="138">
        <f t="shared" si="60"/>
        <v>3</v>
      </c>
      <c r="Z431" s="138">
        <f t="shared" si="61"/>
        <v>3</v>
      </c>
      <c r="AA431" s="138">
        <f t="shared" si="62"/>
        <v>1</v>
      </c>
      <c r="AB431" s="127" t="s">
        <v>32</v>
      </c>
      <c r="AC431" s="127"/>
      <c r="AD431" s="127"/>
      <c r="AE431" s="130"/>
      <c r="AF431" s="136">
        <v>11.54</v>
      </c>
      <c r="AG431" s="136">
        <v>11.33</v>
      </c>
      <c r="AH431" s="136">
        <v>35.49</v>
      </c>
      <c r="AI431" s="136">
        <v>5.99</v>
      </c>
      <c r="AJ431" s="136">
        <v>6.18</v>
      </c>
      <c r="AK431" s="136">
        <v>0.49</v>
      </c>
      <c r="AL431" s="136">
        <v>3.31</v>
      </c>
      <c r="AM431" s="136">
        <v>74.33</v>
      </c>
      <c r="AN431" s="131"/>
      <c r="AO431" s="131"/>
      <c r="AP431" s="131"/>
      <c r="AQ431" s="131"/>
      <c r="AR431" s="131"/>
      <c r="AS431" s="131"/>
      <c r="AT431" s="131"/>
      <c r="AU431" s="91"/>
      <c r="AV431" s="91"/>
      <c r="AW431" s="131"/>
      <c r="AX431" s="131"/>
      <c r="AY431" s="131"/>
    </row>
    <row r="432" spans="1:51" ht="15" x14ac:dyDescent="0.25">
      <c r="A432" s="123"/>
      <c r="B432" s="124"/>
      <c r="C432" s="125">
        <v>952194</v>
      </c>
      <c r="D432" s="89"/>
      <c r="E432" s="86" t="s">
        <v>16</v>
      </c>
      <c r="F432" s="86" t="s">
        <v>418</v>
      </c>
      <c r="H432" s="126" t="s">
        <v>51</v>
      </c>
      <c r="I432" s="89">
        <v>1</v>
      </c>
      <c r="J432" s="127">
        <v>36856.409899999999</v>
      </c>
      <c r="K432" s="127">
        <v>66873.820000000007</v>
      </c>
      <c r="L432" s="127">
        <v>10745.772499999999</v>
      </c>
      <c r="M432" s="127">
        <v>18597.409900000013</v>
      </c>
      <c r="N432" s="127">
        <v>57217.320000000007</v>
      </c>
      <c r="O432" s="127">
        <v>9955.2724999999991</v>
      </c>
      <c r="P432" s="128">
        <f t="shared" si="54"/>
        <v>0.5045909232738377</v>
      </c>
      <c r="Q432" s="128">
        <f t="shared" si="55"/>
        <v>0.8556011904210048</v>
      </c>
      <c r="R432" s="128">
        <f t="shared" si="56"/>
        <v>0.92643618688186447</v>
      </c>
      <c r="S432" s="129">
        <v>1</v>
      </c>
      <c r="T432" s="129">
        <v>1</v>
      </c>
      <c r="U432" s="129">
        <v>1</v>
      </c>
      <c r="V432" s="138">
        <f t="shared" si="57"/>
        <v>3</v>
      </c>
      <c r="W432" s="138">
        <f t="shared" si="58"/>
        <v>3</v>
      </c>
      <c r="X432" s="138">
        <f t="shared" si="59"/>
        <v>1</v>
      </c>
      <c r="Y432" s="138">
        <f t="shared" si="60"/>
        <v>3</v>
      </c>
      <c r="Z432" s="138">
        <f t="shared" si="61"/>
        <v>3</v>
      </c>
      <c r="AA432" s="138">
        <f t="shared" si="62"/>
        <v>1</v>
      </c>
      <c r="AB432" s="127" t="s">
        <v>32</v>
      </c>
      <c r="AC432" s="127"/>
      <c r="AD432" s="127"/>
      <c r="AE432" s="130"/>
      <c r="AF432" s="136">
        <v>11.54</v>
      </c>
      <c r="AG432" s="136">
        <v>11.33</v>
      </c>
      <c r="AH432" s="136">
        <v>35.49</v>
      </c>
      <c r="AI432" s="136">
        <v>5.99</v>
      </c>
      <c r="AJ432" s="136">
        <v>6.18</v>
      </c>
      <c r="AK432" s="136">
        <v>0.49</v>
      </c>
      <c r="AL432" s="136">
        <v>3.31</v>
      </c>
      <c r="AM432" s="136">
        <v>74.33</v>
      </c>
      <c r="AN432" s="131"/>
      <c r="AO432" s="131"/>
      <c r="AP432" s="131"/>
      <c r="AQ432" s="131"/>
      <c r="AR432" s="131"/>
      <c r="AS432" s="131"/>
      <c r="AT432" s="131"/>
      <c r="AU432" s="91"/>
      <c r="AV432" s="91"/>
      <c r="AW432" s="131"/>
      <c r="AX432" s="131"/>
      <c r="AY432" s="131"/>
    </row>
    <row r="433" spans="1:51" ht="15" x14ac:dyDescent="0.25">
      <c r="A433" s="123"/>
      <c r="B433" s="124"/>
      <c r="C433" s="125">
        <v>315</v>
      </c>
      <c r="D433" s="89"/>
      <c r="E433" s="86" t="s">
        <v>28</v>
      </c>
      <c r="F433" s="86" t="s">
        <v>418</v>
      </c>
      <c r="H433" s="126" t="s">
        <v>51</v>
      </c>
      <c r="I433" s="89">
        <v>1</v>
      </c>
      <c r="J433" s="127">
        <v>42805.503700000001</v>
      </c>
      <c r="K433" s="127">
        <v>38963.869999999995</v>
      </c>
      <c r="L433" s="127">
        <v>4098.41</v>
      </c>
      <c r="M433" s="127">
        <v>32792.503700000001</v>
      </c>
      <c r="N433" s="127">
        <v>33668.369999999995</v>
      </c>
      <c r="O433" s="127">
        <v>3664.91</v>
      </c>
      <c r="P433" s="128">
        <f t="shared" si="54"/>
        <v>0.76608148171376389</v>
      </c>
      <c r="Q433" s="128">
        <f t="shared" si="55"/>
        <v>0.86409204219190749</v>
      </c>
      <c r="R433" s="128">
        <f t="shared" si="56"/>
        <v>0.89422727350362696</v>
      </c>
      <c r="S433" s="129">
        <v>1</v>
      </c>
      <c r="T433" s="129">
        <v>1</v>
      </c>
      <c r="U433" s="129">
        <v>1</v>
      </c>
      <c r="V433" s="138">
        <f t="shared" si="57"/>
        <v>3</v>
      </c>
      <c r="W433" s="138">
        <f t="shared" si="58"/>
        <v>3</v>
      </c>
      <c r="X433" s="138">
        <f t="shared" si="59"/>
        <v>1</v>
      </c>
      <c r="Y433" s="138">
        <f t="shared" si="60"/>
        <v>3</v>
      </c>
      <c r="Z433" s="138">
        <f t="shared" si="61"/>
        <v>3</v>
      </c>
      <c r="AA433" s="138">
        <f t="shared" si="62"/>
        <v>1</v>
      </c>
      <c r="AB433" s="127" t="s">
        <v>32</v>
      </c>
      <c r="AC433" s="127"/>
      <c r="AD433" s="127"/>
      <c r="AE433" s="130"/>
      <c r="AF433" s="136">
        <v>25.57</v>
      </c>
      <c r="AG433" s="136">
        <v>11.33</v>
      </c>
      <c r="AH433" s="136">
        <v>26.25</v>
      </c>
      <c r="AI433" s="136">
        <v>5.99</v>
      </c>
      <c r="AJ433" s="136">
        <v>3.2</v>
      </c>
      <c r="AK433" s="136">
        <v>0.49</v>
      </c>
      <c r="AL433" s="136">
        <v>3.31</v>
      </c>
      <c r="AM433" s="136">
        <v>76.14</v>
      </c>
      <c r="AN433" s="131"/>
      <c r="AO433" s="131"/>
      <c r="AP433" s="131"/>
      <c r="AQ433" s="131"/>
      <c r="AR433" s="131"/>
      <c r="AS433" s="131"/>
      <c r="AT433" s="131"/>
      <c r="AU433" s="91"/>
      <c r="AV433" s="91"/>
      <c r="AW433" s="131"/>
      <c r="AX433" s="131"/>
      <c r="AY433" s="131"/>
    </row>
    <row r="434" spans="1:51" ht="15" x14ac:dyDescent="0.25">
      <c r="A434" s="123"/>
      <c r="B434" s="124"/>
      <c r="C434" s="125">
        <v>27623</v>
      </c>
      <c r="D434" s="89"/>
      <c r="E434" s="86" t="s">
        <v>28</v>
      </c>
      <c r="F434" s="86" t="s">
        <v>418</v>
      </c>
      <c r="H434" s="126" t="s">
        <v>51</v>
      </c>
      <c r="I434" s="89">
        <v>2</v>
      </c>
      <c r="J434" s="127">
        <v>42805.503700000001</v>
      </c>
      <c r="K434" s="127">
        <v>38963.869999999995</v>
      </c>
      <c r="L434" s="127">
        <v>4098.41</v>
      </c>
      <c r="M434" s="127">
        <v>32792.503700000001</v>
      </c>
      <c r="N434" s="127">
        <v>33668.369999999995</v>
      </c>
      <c r="O434" s="127">
        <v>3664.91</v>
      </c>
      <c r="P434" s="128">
        <f t="shared" si="54"/>
        <v>0.76608148171376389</v>
      </c>
      <c r="Q434" s="128">
        <f t="shared" si="55"/>
        <v>0.86409204219190749</v>
      </c>
      <c r="R434" s="128">
        <f t="shared" si="56"/>
        <v>0.89422727350362696</v>
      </c>
      <c r="S434" s="129">
        <v>1</v>
      </c>
      <c r="T434" s="129">
        <v>1</v>
      </c>
      <c r="U434" s="129">
        <v>1</v>
      </c>
      <c r="V434" s="138">
        <f t="shared" si="57"/>
        <v>4</v>
      </c>
      <c r="W434" s="138">
        <f t="shared" si="58"/>
        <v>4</v>
      </c>
      <c r="X434" s="138">
        <f t="shared" si="59"/>
        <v>2</v>
      </c>
      <c r="Y434" s="138">
        <f t="shared" si="60"/>
        <v>4</v>
      </c>
      <c r="Z434" s="138">
        <f t="shared" si="61"/>
        <v>4</v>
      </c>
      <c r="AA434" s="138">
        <f t="shared" si="62"/>
        <v>1</v>
      </c>
      <c r="AB434" s="127" t="s">
        <v>32</v>
      </c>
      <c r="AC434" s="127"/>
      <c r="AD434" s="127"/>
      <c r="AE434" s="130"/>
      <c r="AF434" s="136">
        <v>34.090000000000003</v>
      </c>
      <c r="AG434" s="136">
        <v>11.33</v>
      </c>
      <c r="AH434" s="136">
        <v>35</v>
      </c>
      <c r="AI434" s="136">
        <v>5.99</v>
      </c>
      <c r="AJ434" s="136">
        <v>3.2</v>
      </c>
      <c r="AK434" s="136">
        <v>0.49</v>
      </c>
      <c r="AL434" s="136">
        <v>3.31</v>
      </c>
      <c r="AM434" s="136">
        <v>93.41</v>
      </c>
      <c r="AN434" s="131"/>
      <c r="AO434" s="131"/>
      <c r="AP434" s="131"/>
      <c r="AQ434" s="131"/>
      <c r="AR434" s="131"/>
      <c r="AS434" s="131"/>
      <c r="AT434" s="131"/>
      <c r="AU434" s="91"/>
      <c r="AV434" s="91"/>
      <c r="AW434" s="131"/>
      <c r="AX434" s="131"/>
      <c r="AY434" s="131"/>
    </row>
    <row r="435" spans="1:51" ht="15" x14ac:dyDescent="0.25">
      <c r="A435" s="123"/>
      <c r="B435" s="124"/>
      <c r="C435" s="125">
        <v>33512</v>
      </c>
      <c r="D435" s="89"/>
      <c r="E435" s="86" t="s">
        <v>28</v>
      </c>
      <c r="F435" s="86" t="s">
        <v>418</v>
      </c>
      <c r="H435" s="126" t="s">
        <v>50</v>
      </c>
      <c r="I435" s="89">
        <v>2</v>
      </c>
      <c r="J435" s="127">
        <v>42805.503700000001</v>
      </c>
      <c r="K435" s="127">
        <v>38963.869999999995</v>
      </c>
      <c r="L435" s="127">
        <v>4098.41</v>
      </c>
      <c r="M435" s="127">
        <v>32792.503700000001</v>
      </c>
      <c r="N435" s="127">
        <v>33668.369999999995</v>
      </c>
      <c r="O435" s="127">
        <v>3664.91</v>
      </c>
      <c r="P435" s="128">
        <f t="shared" si="54"/>
        <v>0.76608148171376389</v>
      </c>
      <c r="Q435" s="128">
        <f t="shared" si="55"/>
        <v>0.86409204219190749</v>
      </c>
      <c r="R435" s="128">
        <f t="shared" si="56"/>
        <v>0.89422727350362696</v>
      </c>
      <c r="S435" s="129">
        <v>1</v>
      </c>
      <c r="T435" s="129">
        <v>1</v>
      </c>
      <c r="U435" s="129">
        <v>1</v>
      </c>
      <c r="V435" s="138">
        <f t="shared" si="57"/>
        <v>4</v>
      </c>
      <c r="W435" s="138">
        <f t="shared" si="58"/>
        <v>4</v>
      </c>
      <c r="X435" s="138">
        <f t="shared" si="59"/>
        <v>2</v>
      </c>
      <c r="Y435" s="138">
        <f t="shared" si="60"/>
        <v>4</v>
      </c>
      <c r="Z435" s="138">
        <f t="shared" si="61"/>
        <v>4</v>
      </c>
      <c r="AA435" s="138">
        <f t="shared" si="62"/>
        <v>1</v>
      </c>
      <c r="AB435" s="127" t="s">
        <v>32</v>
      </c>
      <c r="AC435" s="127"/>
      <c r="AD435" s="127"/>
      <c r="AE435" s="130"/>
      <c r="AF435" s="136">
        <v>34.090000000000003</v>
      </c>
      <c r="AG435" s="136">
        <v>0</v>
      </c>
      <c r="AH435" s="136">
        <v>35</v>
      </c>
      <c r="AI435" s="136">
        <v>0</v>
      </c>
      <c r="AJ435" s="136">
        <v>3.2</v>
      </c>
      <c r="AK435" s="136">
        <v>0</v>
      </c>
      <c r="AL435" s="136">
        <v>0</v>
      </c>
      <c r="AM435" s="136">
        <v>72.290000000000006</v>
      </c>
      <c r="AN435" s="131"/>
      <c r="AO435" s="131"/>
      <c r="AP435" s="131"/>
      <c r="AQ435" s="131"/>
      <c r="AR435" s="131"/>
      <c r="AS435" s="131"/>
      <c r="AT435" s="131"/>
      <c r="AU435" s="91"/>
      <c r="AV435" s="91"/>
      <c r="AW435" s="131"/>
      <c r="AX435" s="131"/>
      <c r="AY435" s="131"/>
    </row>
    <row r="436" spans="1:51" ht="15" x14ac:dyDescent="0.25">
      <c r="A436" s="123"/>
      <c r="B436" s="124"/>
      <c r="C436" s="125">
        <v>70533</v>
      </c>
      <c r="D436" s="89"/>
      <c r="E436" s="86" t="s">
        <v>28</v>
      </c>
      <c r="F436" s="86" t="s">
        <v>418</v>
      </c>
      <c r="H436" s="126" t="s">
        <v>51</v>
      </c>
      <c r="I436" s="89">
        <v>1</v>
      </c>
      <c r="J436" s="127">
        <v>42805.503700000001</v>
      </c>
      <c r="K436" s="127">
        <v>38963.869999999995</v>
      </c>
      <c r="L436" s="127">
        <v>4098.41</v>
      </c>
      <c r="M436" s="127">
        <v>32792.503700000001</v>
      </c>
      <c r="N436" s="127">
        <v>33668.369999999995</v>
      </c>
      <c r="O436" s="127">
        <v>3664.91</v>
      </c>
      <c r="P436" s="128">
        <f t="shared" si="54"/>
        <v>0.76608148171376389</v>
      </c>
      <c r="Q436" s="128">
        <f t="shared" si="55"/>
        <v>0.86409204219190749</v>
      </c>
      <c r="R436" s="128">
        <f t="shared" si="56"/>
        <v>0.89422727350362696</v>
      </c>
      <c r="S436" s="129">
        <v>1</v>
      </c>
      <c r="T436" s="129">
        <v>1</v>
      </c>
      <c r="U436" s="129">
        <v>1</v>
      </c>
      <c r="V436" s="138">
        <f t="shared" si="57"/>
        <v>3</v>
      </c>
      <c r="W436" s="138">
        <f t="shared" si="58"/>
        <v>3</v>
      </c>
      <c r="X436" s="138">
        <f t="shared" si="59"/>
        <v>1</v>
      </c>
      <c r="Y436" s="138">
        <f t="shared" si="60"/>
        <v>3</v>
      </c>
      <c r="Z436" s="138">
        <f t="shared" si="61"/>
        <v>3</v>
      </c>
      <c r="AA436" s="138">
        <f t="shared" si="62"/>
        <v>1</v>
      </c>
      <c r="AB436" s="127" t="s">
        <v>32</v>
      </c>
      <c r="AC436" s="127"/>
      <c r="AD436" s="127"/>
      <c r="AE436" s="130"/>
      <c r="AF436" s="136">
        <v>25.57</v>
      </c>
      <c r="AG436" s="136">
        <v>11.33</v>
      </c>
      <c r="AH436" s="136">
        <v>26.25</v>
      </c>
      <c r="AI436" s="136">
        <v>5.99</v>
      </c>
      <c r="AJ436" s="136">
        <v>3.2</v>
      </c>
      <c r="AK436" s="136">
        <v>0.49</v>
      </c>
      <c r="AL436" s="136">
        <v>3.31</v>
      </c>
      <c r="AM436" s="136">
        <v>76.14</v>
      </c>
      <c r="AN436" s="131"/>
      <c r="AO436" s="131"/>
      <c r="AP436" s="131"/>
      <c r="AQ436" s="131"/>
      <c r="AR436" s="131"/>
      <c r="AS436" s="131"/>
      <c r="AT436" s="131"/>
      <c r="AU436" s="91"/>
      <c r="AV436" s="91"/>
      <c r="AW436" s="131"/>
      <c r="AX436" s="131"/>
      <c r="AY436" s="131"/>
    </row>
    <row r="437" spans="1:51" ht="15" x14ac:dyDescent="0.25">
      <c r="A437" s="123"/>
      <c r="B437" s="124"/>
      <c r="C437" s="125">
        <v>93664</v>
      </c>
      <c r="D437" s="89"/>
      <c r="E437" s="86" t="s">
        <v>28</v>
      </c>
      <c r="F437" s="86" t="s">
        <v>418</v>
      </c>
      <c r="H437" s="126" t="s">
        <v>50</v>
      </c>
      <c r="I437" s="89">
        <v>2</v>
      </c>
      <c r="J437" s="127">
        <v>42805.503700000001</v>
      </c>
      <c r="K437" s="127">
        <v>38963.869999999995</v>
      </c>
      <c r="L437" s="127">
        <v>4098.41</v>
      </c>
      <c r="M437" s="127">
        <v>32792.503700000001</v>
      </c>
      <c r="N437" s="127">
        <v>33668.369999999995</v>
      </c>
      <c r="O437" s="127">
        <v>3664.91</v>
      </c>
      <c r="P437" s="128">
        <f t="shared" si="54"/>
        <v>0.76608148171376389</v>
      </c>
      <c r="Q437" s="128">
        <f t="shared" si="55"/>
        <v>0.86409204219190749</v>
      </c>
      <c r="R437" s="128">
        <f t="shared" si="56"/>
        <v>0.89422727350362696</v>
      </c>
      <c r="S437" s="129">
        <v>1</v>
      </c>
      <c r="T437" s="129">
        <v>1</v>
      </c>
      <c r="U437" s="129">
        <v>1</v>
      </c>
      <c r="V437" s="138">
        <f t="shared" si="57"/>
        <v>4</v>
      </c>
      <c r="W437" s="138">
        <f t="shared" si="58"/>
        <v>4</v>
      </c>
      <c r="X437" s="138">
        <f t="shared" si="59"/>
        <v>2</v>
      </c>
      <c r="Y437" s="138">
        <f t="shared" si="60"/>
        <v>4</v>
      </c>
      <c r="Z437" s="138">
        <f t="shared" si="61"/>
        <v>4</v>
      </c>
      <c r="AA437" s="138">
        <f t="shared" si="62"/>
        <v>1</v>
      </c>
      <c r="AB437" s="127" t="s">
        <v>32</v>
      </c>
      <c r="AC437" s="127"/>
      <c r="AD437" s="127"/>
      <c r="AE437" s="130"/>
      <c r="AF437" s="136">
        <v>34.090000000000003</v>
      </c>
      <c r="AG437" s="136">
        <v>0</v>
      </c>
      <c r="AH437" s="136">
        <v>35</v>
      </c>
      <c r="AI437" s="136">
        <v>0</v>
      </c>
      <c r="AJ437" s="136">
        <v>3.2</v>
      </c>
      <c r="AK437" s="136">
        <v>0</v>
      </c>
      <c r="AL437" s="136">
        <v>0</v>
      </c>
      <c r="AM437" s="136">
        <v>72.290000000000006</v>
      </c>
      <c r="AN437" s="131"/>
      <c r="AO437" s="131"/>
      <c r="AP437" s="131"/>
      <c r="AQ437" s="131"/>
      <c r="AR437" s="131"/>
      <c r="AS437" s="131"/>
      <c r="AT437" s="131"/>
      <c r="AU437" s="91"/>
      <c r="AV437" s="91"/>
      <c r="AW437" s="131"/>
      <c r="AX437" s="131"/>
      <c r="AY437" s="131"/>
    </row>
    <row r="438" spans="1:51" ht="15" x14ac:dyDescent="0.25">
      <c r="A438" s="123"/>
      <c r="B438" s="124"/>
      <c r="C438" s="125">
        <v>144848</v>
      </c>
      <c r="D438" s="89"/>
      <c r="E438" s="86" t="s">
        <v>28</v>
      </c>
      <c r="F438" s="86" t="s">
        <v>418</v>
      </c>
      <c r="H438" s="126" t="s">
        <v>51</v>
      </c>
      <c r="I438" s="89">
        <v>1</v>
      </c>
      <c r="J438" s="127">
        <v>42805.503700000001</v>
      </c>
      <c r="K438" s="127">
        <v>38963.869999999995</v>
      </c>
      <c r="L438" s="127">
        <v>4098.41</v>
      </c>
      <c r="M438" s="127">
        <v>32792.503700000001</v>
      </c>
      <c r="N438" s="127">
        <v>33668.369999999995</v>
      </c>
      <c r="O438" s="127">
        <v>3664.91</v>
      </c>
      <c r="P438" s="128">
        <f t="shared" si="54"/>
        <v>0.76608148171376389</v>
      </c>
      <c r="Q438" s="128">
        <f t="shared" si="55"/>
        <v>0.86409204219190749</v>
      </c>
      <c r="R438" s="128">
        <f t="shared" si="56"/>
        <v>0.89422727350362696</v>
      </c>
      <c r="S438" s="129">
        <v>1</v>
      </c>
      <c r="T438" s="129">
        <v>1</v>
      </c>
      <c r="U438" s="129">
        <v>1</v>
      </c>
      <c r="V438" s="138">
        <f t="shared" si="57"/>
        <v>3</v>
      </c>
      <c r="W438" s="138">
        <f t="shared" si="58"/>
        <v>3</v>
      </c>
      <c r="X438" s="138">
        <f t="shared" si="59"/>
        <v>1</v>
      </c>
      <c r="Y438" s="138">
        <f t="shared" si="60"/>
        <v>3</v>
      </c>
      <c r="Z438" s="138">
        <f t="shared" si="61"/>
        <v>3</v>
      </c>
      <c r="AA438" s="138">
        <f t="shared" si="62"/>
        <v>1</v>
      </c>
      <c r="AB438" s="127" t="s">
        <v>32</v>
      </c>
      <c r="AC438" s="127"/>
      <c r="AD438" s="127"/>
      <c r="AE438" s="130"/>
      <c r="AF438" s="136">
        <v>25.57</v>
      </c>
      <c r="AG438" s="136">
        <v>11.33</v>
      </c>
      <c r="AH438" s="136">
        <v>26.25</v>
      </c>
      <c r="AI438" s="136">
        <v>5.99</v>
      </c>
      <c r="AJ438" s="136">
        <v>3.2</v>
      </c>
      <c r="AK438" s="136">
        <v>0.49</v>
      </c>
      <c r="AL438" s="136">
        <v>3.31</v>
      </c>
      <c r="AM438" s="136">
        <v>76.14</v>
      </c>
      <c r="AN438" s="131"/>
      <c r="AO438" s="131"/>
      <c r="AP438" s="131"/>
      <c r="AQ438" s="131"/>
      <c r="AR438" s="131"/>
      <c r="AS438" s="131"/>
      <c r="AT438" s="131"/>
      <c r="AU438" s="91"/>
      <c r="AV438" s="91"/>
      <c r="AW438" s="131"/>
      <c r="AX438" s="131"/>
      <c r="AY438" s="131"/>
    </row>
    <row r="439" spans="1:51" ht="15" x14ac:dyDescent="0.25">
      <c r="A439" s="123"/>
      <c r="B439" s="124"/>
      <c r="C439" s="125">
        <v>146885</v>
      </c>
      <c r="D439" s="89"/>
      <c r="E439" s="86" t="s">
        <v>28</v>
      </c>
      <c r="F439" s="86" t="s">
        <v>418</v>
      </c>
      <c r="H439" s="126" t="s">
        <v>50</v>
      </c>
      <c r="I439" s="89">
        <v>2</v>
      </c>
      <c r="J439" s="127">
        <v>42805.503700000001</v>
      </c>
      <c r="K439" s="127">
        <v>38963.869999999995</v>
      </c>
      <c r="L439" s="127">
        <v>4098.41</v>
      </c>
      <c r="M439" s="127">
        <v>32792.503700000001</v>
      </c>
      <c r="N439" s="127">
        <v>33668.369999999995</v>
      </c>
      <c r="O439" s="127">
        <v>3664.91</v>
      </c>
      <c r="P439" s="128">
        <f t="shared" si="54"/>
        <v>0.76608148171376389</v>
      </c>
      <c r="Q439" s="128">
        <f t="shared" si="55"/>
        <v>0.86409204219190749</v>
      </c>
      <c r="R439" s="128">
        <f t="shared" si="56"/>
        <v>0.89422727350362696</v>
      </c>
      <c r="S439" s="129">
        <v>1</v>
      </c>
      <c r="T439" s="129">
        <v>1</v>
      </c>
      <c r="U439" s="129">
        <v>1</v>
      </c>
      <c r="V439" s="138">
        <f t="shared" si="57"/>
        <v>4</v>
      </c>
      <c r="W439" s="138">
        <f t="shared" si="58"/>
        <v>4</v>
      </c>
      <c r="X439" s="138">
        <f t="shared" si="59"/>
        <v>2</v>
      </c>
      <c r="Y439" s="138">
        <f t="shared" si="60"/>
        <v>4</v>
      </c>
      <c r="Z439" s="138">
        <f t="shared" si="61"/>
        <v>4</v>
      </c>
      <c r="AA439" s="138">
        <f t="shared" si="62"/>
        <v>1</v>
      </c>
      <c r="AB439" s="127" t="s">
        <v>32</v>
      </c>
      <c r="AC439" s="127"/>
      <c r="AD439" s="127"/>
      <c r="AE439" s="130"/>
      <c r="AF439" s="136">
        <v>34.090000000000003</v>
      </c>
      <c r="AG439" s="136">
        <v>0</v>
      </c>
      <c r="AH439" s="136">
        <v>35</v>
      </c>
      <c r="AI439" s="136">
        <v>0</v>
      </c>
      <c r="AJ439" s="136">
        <v>3.2</v>
      </c>
      <c r="AK439" s="136">
        <v>0</v>
      </c>
      <c r="AL439" s="136">
        <v>0</v>
      </c>
      <c r="AM439" s="136">
        <v>72.290000000000006</v>
      </c>
      <c r="AN439" s="131"/>
      <c r="AO439" s="131"/>
      <c r="AP439" s="131"/>
      <c r="AQ439" s="131"/>
      <c r="AR439" s="131"/>
      <c r="AS439" s="131"/>
      <c r="AT439" s="131"/>
      <c r="AU439" s="91"/>
      <c r="AV439" s="91"/>
      <c r="AW439" s="131"/>
      <c r="AX439" s="131"/>
      <c r="AY439" s="131"/>
    </row>
    <row r="440" spans="1:51" ht="15" x14ac:dyDescent="0.25">
      <c r="A440" s="123"/>
      <c r="B440" s="124"/>
      <c r="C440" s="125">
        <v>156628</v>
      </c>
      <c r="D440" s="89"/>
      <c r="E440" s="86" t="s">
        <v>28</v>
      </c>
      <c r="F440" s="86" t="s">
        <v>418</v>
      </c>
      <c r="H440" s="126" t="s">
        <v>51</v>
      </c>
      <c r="I440" s="89">
        <v>2</v>
      </c>
      <c r="J440" s="127">
        <v>42805.503700000001</v>
      </c>
      <c r="K440" s="127">
        <v>38963.869999999995</v>
      </c>
      <c r="L440" s="127">
        <v>4098.41</v>
      </c>
      <c r="M440" s="127">
        <v>32792.503700000001</v>
      </c>
      <c r="N440" s="127">
        <v>33668.369999999995</v>
      </c>
      <c r="O440" s="127">
        <v>3664.91</v>
      </c>
      <c r="P440" s="128">
        <f t="shared" si="54"/>
        <v>0.76608148171376389</v>
      </c>
      <c r="Q440" s="128">
        <f t="shared" si="55"/>
        <v>0.86409204219190749</v>
      </c>
      <c r="R440" s="128">
        <f t="shared" si="56"/>
        <v>0.89422727350362696</v>
      </c>
      <c r="S440" s="129">
        <v>1</v>
      </c>
      <c r="T440" s="129">
        <v>1</v>
      </c>
      <c r="U440" s="129">
        <v>1</v>
      </c>
      <c r="V440" s="138">
        <f t="shared" si="57"/>
        <v>4</v>
      </c>
      <c r="W440" s="138">
        <f t="shared" si="58"/>
        <v>4</v>
      </c>
      <c r="X440" s="138">
        <f t="shared" si="59"/>
        <v>2</v>
      </c>
      <c r="Y440" s="138">
        <f t="shared" si="60"/>
        <v>4</v>
      </c>
      <c r="Z440" s="138">
        <f t="shared" si="61"/>
        <v>4</v>
      </c>
      <c r="AA440" s="138">
        <f t="shared" si="62"/>
        <v>1</v>
      </c>
      <c r="AB440" s="127" t="s">
        <v>32</v>
      </c>
      <c r="AC440" s="127"/>
      <c r="AD440" s="127"/>
      <c r="AE440" s="130"/>
      <c r="AF440" s="136">
        <v>34.090000000000003</v>
      </c>
      <c r="AG440" s="136">
        <v>11.33</v>
      </c>
      <c r="AH440" s="136">
        <v>35</v>
      </c>
      <c r="AI440" s="136">
        <v>5.99</v>
      </c>
      <c r="AJ440" s="136">
        <v>3.2</v>
      </c>
      <c r="AK440" s="136">
        <v>0.49</v>
      </c>
      <c r="AL440" s="136">
        <v>3.31</v>
      </c>
      <c r="AM440" s="136">
        <v>93.41</v>
      </c>
      <c r="AN440" s="131"/>
      <c r="AO440" s="131"/>
      <c r="AP440" s="131"/>
      <c r="AQ440" s="131"/>
      <c r="AR440" s="131"/>
      <c r="AS440" s="131"/>
      <c r="AT440" s="131"/>
      <c r="AU440" s="91"/>
      <c r="AV440" s="91"/>
      <c r="AW440" s="131"/>
      <c r="AX440" s="131"/>
      <c r="AY440" s="131"/>
    </row>
    <row r="441" spans="1:51" ht="15" x14ac:dyDescent="0.25">
      <c r="A441" s="123"/>
      <c r="B441" s="124"/>
      <c r="C441" s="125">
        <v>161344</v>
      </c>
      <c r="D441" s="89"/>
      <c r="E441" s="86" t="s">
        <v>28</v>
      </c>
      <c r="F441" s="86" t="s">
        <v>418</v>
      </c>
      <c r="H441" s="126" t="s">
        <v>51</v>
      </c>
      <c r="I441" s="89">
        <v>1</v>
      </c>
      <c r="J441" s="127">
        <v>42805.503700000001</v>
      </c>
      <c r="K441" s="127">
        <v>38963.869999999995</v>
      </c>
      <c r="L441" s="127">
        <v>4098.41</v>
      </c>
      <c r="M441" s="127">
        <v>32792.503700000001</v>
      </c>
      <c r="N441" s="127">
        <v>33668.369999999995</v>
      </c>
      <c r="O441" s="127">
        <v>3664.91</v>
      </c>
      <c r="P441" s="128">
        <f t="shared" si="54"/>
        <v>0.76608148171376389</v>
      </c>
      <c r="Q441" s="128">
        <f t="shared" si="55"/>
        <v>0.86409204219190749</v>
      </c>
      <c r="R441" s="128">
        <f t="shared" si="56"/>
        <v>0.89422727350362696</v>
      </c>
      <c r="S441" s="129">
        <v>1</v>
      </c>
      <c r="T441" s="129">
        <v>1</v>
      </c>
      <c r="U441" s="129">
        <v>1</v>
      </c>
      <c r="V441" s="138">
        <f t="shared" si="57"/>
        <v>3</v>
      </c>
      <c r="W441" s="138">
        <f t="shared" si="58"/>
        <v>3</v>
      </c>
      <c r="X441" s="138">
        <f t="shared" si="59"/>
        <v>1</v>
      </c>
      <c r="Y441" s="138">
        <f t="shared" si="60"/>
        <v>3</v>
      </c>
      <c r="Z441" s="138">
        <f t="shared" si="61"/>
        <v>3</v>
      </c>
      <c r="AA441" s="138">
        <f t="shared" si="62"/>
        <v>1</v>
      </c>
      <c r="AB441" s="127" t="s">
        <v>32</v>
      </c>
      <c r="AC441" s="127"/>
      <c r="AD441" s="127"/>
      <c r="AE441" s="130"/>
      <c r="AF441" s="136">
        <v>25.57</v>
      </c>
      <c r="AG441" s="136">
        <v>11.33</v>
      </c>
      <c r="AH441" s="136">
        <v>26.25</v>
      </c>
      <c r="AI441" s="136">
        <v>5.99</v>
      </c>
      <c r="AJ441" s="136">
        <v>3.2</v>
      </c>
      <c r="AK441" s="136">
        <v>0.49</v>
      </c>
      <c r="AL441" s="136">
        <v>3.31</v>
      </c>
      <c r="AM441" s="136">
        <v>76.14</v>
      </c>
      <c r="AN441" s="131"/>
      <c r="AO441" s="131"/>
      <c r="AP441" s="131"/>
      <c r="AQ441" s="131"/>
      <c r="AR441" s="131"/>
      <c r="AS441" s="131"/>
      <c r="AT441" s="131"/>
      <c r="AU441" s="91"/>
      <c r="AV441" s="91"/>
      <c r="AW441" s="131"/>
      <c r="AX441" s="131"/>
      <c r="AY441" s="131"/>
    </row>
    <row r="442" spans="1:51" ht="15" x14ac:dyDescent="0.25">
      <c r="A442" s="123"/>
      <c r="B442" s="124"/>
      <c r="C442" s="125">
        <v>182760</v>
      </c>
      <c r="D442" s="89"/>
      <c r="E442" s="86" t="s">
        <v>28</v>
      </c>
      <c r="F442" s="86" t="s">
        <v>418</v>
      </c>
      <c r="H442" s="126" t="s">
        <v>51</v>
      </c>
      <c r="I442" s="89">
        <v>1</v>
      </c>
      <c r="J442" s="127">
        <v>42805.503700000001</v>
      </c>
      <c r="K442" s="127">
        <v>38963.869999999995</v>
      </c>
      <c r="L442" s="127">
        <v>4098.41</v>
      </c>
      <c r="M442" s="127">
        <v>32792.503700000001</v>
      </c>
      <c r="N442" s="127">
        <v>33668.369999999995</v>
      </c>
      <c r="O442" s="127">
        <v>3664.91</v>
      </c>
      <c r="P442" s="128">
        <f t="shared" si="54"/>
        <v>0.76608148171376389</v>
      </c>
      <c r="Q442" s="128">
        <f t="shared" si="55"/>
        <v>0.86409204219190749</v>
      </c>
      <c r="R442" s="128">
        <f t="shared" si="56"/>
        <v>0.89422727350362696</v>
      </c>
      <c r="S442" s="129">
        <v>1</v>
      </c>
      <c r="T442" s="129">
        <v>1</v>
      </c>
      <c r="U442" s="129">
        <v>1</v>
      </c>
      <c r="V442" s="138">
        <f t="shared" si="57"/>
        <v>3</v>
      </c>
      <c r="W442" s="138">
        <f t="shared" si="58"/>
        <v>3</v>
      </c>
      <c r="X442" s="138">
        <f t="shared" si="59"/>
        <v>1</v>
      </c>
      <c r="Y442" s="138">
        <f t="shared" si="60"/>
        <v>3</v>
      </c>
      <c r="Z442" s="138">
        <f t="shared" si="61"/>
        <v>3</v>
      </c>
      <c r="AA442" s="138">
        <f t="shared" si="62"/>
        <v>1</v>
      </c>
      <c r="AB442" s="127" t="s">
        <v>32</v>
      </c>
      <c r="AC442" s="127"/>
      <c r="AD442" s="127"/>
      <c r="AE442" s="130"/>
      <c r="AF442" s="136">
        <v>25.57</v>
      </c>
      <c r="AG442" s="136">
        <v>11.33</v>
      </c>
      <c r="AH442" s="136">
        <v>26.25</v>
      </c>
      <c r="AI442" s="136">
        <v>5.99</v>
      </c>
      <c r="AJ442" s="136">
        <v>3.2</v>
      </c>
      <c r="AK442" s="136">
        <v>0.49</v>
      </c>
      <c r="AL442" s="136">
        <v>3.31</v>
      </c>
      <c r="AM442" s="136">
        <v>76.14</v>
      </c>
      <c r="AN442" s="131"/>
      <c r="AO442" s="131"/>
      <c r="AP442" s="131"/>
      <c r="AQ442" s="131"/>
      <c r="AR442" s="131"/>
      <c r="AS442" s="131"/>
      <c r="AT442" s="131"/>
      <c r="AU442" s="91"/>
      <c r="AV442" s="91"/>
      <c r="AW442" s="131"/>
      <c r="AX442" s="131"/>
      <c r="AY442" s="131"/>
    </row>
    <row r="443" spans="1:51" ht="15" x14ac:dyDescent="0.25">
      <c r="A443" s="123"/>
      <c r="B443" s="124"/>
      <c r="C443" s="125">
        <v>185899</v>
      </c>
      <c r="D443" s="89"/>
      <c r="E443" s="86" t="s">
        <v>28</v>
      </c>
      <c r="F443" s="86" t="s">
        <v>418</v>
      </c>
      <c r="H443" s="126" t="s">
        <v>51</v>
      </c>
      <c r="I443" s="89">
        <v>1</v>
      </c>
      <c r="J443" s="127">
        <v>42805.503700000001</v>
      </c>
      <c r="K443" s="127">
        <v>38963.869999999995</v>
      </c>
      <c r="L443" s="127">
        <v>4098.41</v>
      </c>
      <c r="M443" s="127">
        <v>32792.503700000001</v>
      </c>
      <c r="N443" s="127">
        <v>33668.369999999995</v>
      </c>
      <c r="O443" s="127">
        <v>3664.91</v>
      </c>
      <c r="P443" s="128">
        <f t="shared" si="54"/>
        <v>0.76608148171376389</v>
      </c>
      <c r="Q443" s="128">
        <f t="shared" si="55"/>
        <v>0.86409204219190749</v>
      </c>
      <c r="R443" s="128">
        <f t="shared" si="56"/>
        <v>0.89422727350362696</v>
      </c>
      <c r="S443" s="129">
        <v>1</v>
      </c>
      <c r="T443" s="129">
        <v>1</v>
      </c>
      <c r="U443" s="129">
        <v>1</v>
      </c>
      <c r="V443" s="138">
        <f t="shared" si="57"/>
        <v>3</v>
      </c>
      <c r="W443" s="138">
        <f t="shared" si="58"/>
        <v>3</v>
      </c>
      <c r="X443" s="138">
        <f t="shared" si="59"/>
        <v>1</v>
      </c>
      <c r="Y443" s="138">
        <f t="shared" si="60"/>
        <v>3</v>
      </c>
      <c r="Z443" s="138">
        <f t="shared" si="61"/>
        <v>3</v>
      </c>
      <c r="AA443" s="138">
        <f t="shared" si="62"/>
        <v>1</v>
      </c>
      <c r="AB443" s="127" t="s">
        <v>32</v>
      </c>
      <c r="AC443" s="127"/>
      <c r="AD443" s="127"/>
      <c r="AE443" s="130"/>
      <c r="AF443" s="136">
        <v>25.57</v>
      </c>
      <c r="AG443" s="136">
        <v>11.33</v>
      </c>
      <c r="AH443" s="136">
        <v>26.25</v>
      </c>
      <c r="AI443" s="136">
        <v>5.99</v>
      </c>
      <c r="AJ443" s="136">
        <v>3.2</v>
      </c>
      <c r="AK443" s="136">
        <v>0.49</v>
      </c>
      <c r="AL443" s="136">
        <v>3.31</v>
      </c>
      <c r="AM443" s="136">
        <v>76.14</v>
      </c>
      <c r="AN443" s="131"/>
      <c r="AO443" s="131"/>
      <c r="AP443" s="131"/>
      <c r="AQ443" s="131"/>
      <c r="AR443" s="131"/>
      <c r="AS443" s="131"/>
      <c r="AT443" s="131"/>
      <c r="AU443" s="91"/>
      <c r="AV443" s="91"/>
      <c r="AW443" s="131"/>
      <c r="AX443" s="131"/>
      <c r="AY443" s="131"/>
    </row>
    <row r="444" spans="1:51" ht="15" x14ac:dyDescent="0.25">
      <c r="A444" s="123"/>
      <c r="B444" s="124"/>
      <c r="C444" s="125">
        <v>291520</v>
      </c>
      <c r="D444" s="89"/>
      <c r="E444" s="86" t="s">
        <v>28</v>
      </c>
      <c r="F444" s="86" t="s">
        <v>418</v>
      </c>
      <c r="H444" s="126" t="s">
        <v>50</v>
      </c>
      <c r="I444" s="89">
        <v>2</v>
      </c>
      <c r="J444" s="127">
        <v>42805.503700000001</v>
      </c>
      <c r="K444" s="127">
        <v>38963.869999999995</v>
      </c>
      <c r="L444" s="127">
        <v>4098.41</v>
      </c>
      <c r="M444" s="127">
        <v>32792.503700000001</v>
      </c>
      <c r="N444" s="127">
        <v>33668.369999999995</v>
      </c>
      <c r="O444" s="127">
        <v>3664.91</v>
      </c>
      <c r="P444" s="128">
        <f t="shared" si="54"/>
        <v>0.76608148171376389</v>
      </c>
      <c r="Q444" s="128">
        <f t="shared" si="55"/>
        <v>0.86409204219190749</v>
      </c>
      <c r="R444" s="128">
        <f t="shared" si="56"/>
        <v>0.89422727350362696</v>
      </c>
      <c r="S444" s="129">
        <v>1</v>
      </c>
      <c r="T444" s="129">
        <v>1</v>
      </c>
      <c r="U444" s="129">
        <v>1</v>
      </c>
      <c r="V444" s="138">
        <f t="shared" si="57"/>
        <v>4</v>
      </c>
      <c r="W444" s="138">
        <f t="shared" si="58"/>
        <v>4</v>
      </c>
      <c r="X444" s="138">
        <f t="shared" si="59"/>
        <v>2</v>
      </c>
      <c r="Y444" s="138">
        <f t="shared" si="60"/>
        <v>4</v>
      </c>
      <c r="Z444" s="138">
        <f t="shared" si="61"/>
        <v>4</v>
      </c>
      <c r="AA444" s="138">
        <f t="shared" si="62"/>
        <v>1</v>
      </c>
      <c r="AB444" s="127" t="s">
        <v>32</v>
      </c>
      <c r="AC444" s="127"/>
      <c r="AD444" s="127"/>
      <c r="AE444" s="130"/>
      <c r="AF444" s="136">
        <v>34.090000000000003</v>
      </c>
      <c r="AG444" s="136">
        <v>0</v>
      </c>
      <c r="AH444" s="136">
        <v>35</v>
      </c>
      <c r="AI444" s="136">
        <v>0</v>
      </c>
      <c r="AJ444" s="136">
        <v>3.2</v>
      </c>
      <c r="AK444" s="136">
        <v>0</v>
      </c>
      <c r="AL444" s="136">
        <v>0</v>
      </c>
      <c r="AM444" s="136">
        <v>72.290000000000006</v>
      </c>
      <c r="AN444" s="131"/>
      <c r="AO444" s="131"/>
      <c r="AP444" s="131"/>
      <c r="AQ444" s="131"/>
      <c r="AR444" s="131"/>
      <c r="AS444" s="131"/>
      <c r="AT444" s="131"/>
      <c r="AU444" s="91"/>
      <c r="AV444" s="91"/>
      <c r="AW444" s="131"/>
      <c r="AX444" s="131"/>
      <c r="AY444" s="131"/>
    </row>
    <row r="445" spans="1:51" ht="15" x14ac:dyDescent="0.25">
      <c r="A445" s="123"/>
      <c r="B445" s="124"/>
      <c r="C445" s="125">
        <v>304287</v>
      </c>
      <c r="D445" s="89"/>
      <c r="E445" s="86" t="s">
        <v>28</v>
      </c>
      <c r="F445" s="86" t="s">
        <v>418</v>
      </c>
      <c r="H445" s="126" t="s">
        <v>50</v>
      </c>
      <c r="I445" s="89">
        <v>2</v>
      </c>
      <c r="J445" s="127">
        <v>42805.503700000001</v>
      </c>
      <c r="K445" s="127">
        <v>38963.869999999995</v>
      </c>
      <c r="L445" s="127">
        <v>4098.41</v>
      </c>
      <c r="M445" s="127">
        <v>32792.503700000001</v>
      </c>
      <c r="N445" s="127">
        <v>33668.369999999995</v>
      </c>
      <c r="O445" s="127">
        <v>3664.91</v>
      </c>
      <c r="P445" s="128">
        <f t="shared" si="54"/>
        <v>0.76608148171376389</v>
      </c>
      <c r="Q445" s="128">
        <f t="shared" si="55"/>
        <v>0.86409204219190749</v>
      </c>
      <c r="R445" s="128">
        <f t="shared" si="56"/>
        <v>0.89422727350362696</v>
      </c>
      <c r="S445" s="129">
        <v>1</v>
      </c>
      <c r="T445" s="129">
        <v>1</v>
      </c>
      <c r="U445" s="129">
        <v>1</v>
      </c>
      <c r="V445" s="138">
        <f t="shared" si="57"/>
        <v>4</v>
      </c>
      <c r="W445" s="138">
        <f t="shared" si="58"/>
        <v>4</v>
      </c>
      <c r="X445" s="138">
        <f t="shared" si="59"/>
        <v>2</v>
      </c>
      <c r="Y445" s="138">
        <f t="shared" si="60"/>
        <v>4</v>
      </c>
      <c r="Z445" s="138">
        <f t="shared" si="61"/>
        <v>4</v>
      </c>
      <c r="AA445" s="138">
        <f t="shared" si="62"/>
        <v>1</v>
      </c>
      <c r="AB445" s="127" t="s">
        <v>32</v>
      </c>
      <c r="AC445" s="127"/>
      <c r="AD445" s="127"/>
      <c r="AE445" s="130"/>
      <c r="AF445" s="136">
        <v>34.090000000000003</v>
      </c>
      <c r="AG445" s="136">
        <v>0</v>
      </c>
      <c r="AH445" s="136">
        <v>35</v>
      </c>
      <c r="AI445" s="136">
        <v>0</v>
      </c>
      <c r="AJ445" s="136">
        <v>3.2</v>
      </c>
      <c r="AK445" s="136">
        <v>0</v>
      </c>
      <c r="AL445" s="136">
        <v>0</v>
      </c>
      <c r="AM445" s="136">
        <v>72.290000000000006</v>
      </c>
      <c r="AN445" s="131"/>
      <c r="AO445" s="131"/>
      <c r="AP445" s="131"/>
      <c r="AQ445" s="131"/>
      <c r="AR445" s="131"/>
      <c r="AS445" s="131"/>
      <c r="AT445" s="131"/>
      <c r="AU445" s="91"/>
      <c r="AV445" s="91"/>
      <c r="AW445" s="131"/>
      <c r="AX445" s="131"/>
      <c r="AY445" s="131"/>
    </row>
    <row r="446" spans="1:51" ht="15" x14ac:dyDescent="0.25">
      <c r="A446" s="123"/>
      <c r="B446" s="124"/>
      <c r="C446" s="125">
        <v>375388</v>
      </c>
      <c r="D446" s="89"/>
      <c r="E446" s="86" t="s">
        <v>28</v>
      </c>
      <c r="F446" s="86" t="s">
        <v>418</v>
      </c>
      <c r="H446" s="126" t="s">
        <v>51</v>
      </c>
      <c r="I446" s="89">
        <v>1</v>
      </c>
      <c r="J446" s="127">
        <v>42805.503700000001</v>
      </c>
      <c r="K446" s="127">
        <v>38963.869999999995</v>
      </c>
      <c r="L446" s="127">
        <v>4098.41</v>
      </c>
      <c r="M446" s="127">
        <v>32792.503700000001</v>
      </c>
      <c r="N446" s="127">
        <v>33668.369999999995</v>
      </c>
      <c r="O446" s="127">
        <v>3664.91</v>
      </c>
      <c r="P446" s="128">
        <f t="shared" si="54"/>
        <v>0.76608148171376389</v>
      </c>
      <c r="Q446" s="128">
        <f t="shared" si="55"/>
        <v>0.86409204219190749</v>
      </c>
      <c r="R446" s="128">
        <f t="shared" si="56"/>
        <v>0.89422727350362696</v>
      </c>
      <c r="S446" s="129">
        <v>1</v>
      </c>
      <c r="T446" s="129">
        <v>1</v>
      </c>
      <c r="U446" s="129">
        <v>1</v>
      </c>
      <c r="V446" s="138">
        <f t="shared" si="57"/>
        <v>3</v>
      </c>
      <c r="W446" s="138">
        <f t="shared" si="58"/>
        <v>3</v>
      </c>
      <c r="X446" s="138">
        <f t="shared" si="59"/>
        <v>1</v>
      </c>
      <c r="Y446" s="138">
        <f t="shared" si="60"/>
        <v>3</v>
      </c>
      <c r="Z446" s="138">
        <f t="shared" si="61"/>
        <v>3</v>
      </c>
      <c r="AA446" s="138">
        <f t="shared" si="62"/>
        <v>1</v>
      </c>
      <c r="AB446" s="127" t="s">
        <v>32</v>
      </c>
      <c r="AC446" s="127"/>
      <c r="AD446" s="127"/>
      <c r="AE446" s="130"/>
      <c r="AF446" s="136">
        <v>25.57</v>
      </c>
      <c r="AG446" s="136">
        <v>11.33</v>
      </c>
      <c r="AH446" s="136">
        <v>26.25</v>
      </c>
      <c r="AI446" s="136">
        <v>5.99</v>
      </c>
      <c r="AJ446" s="136">
        <v>3.2</v>
      </c>
      <c r="AK446" s="136">
        <v>0.49</v>
      </c>
      <c r="AL446" s="136">
        <v>3.31</v>
      </c>
      <c r="AM446" s="136">
        <v>76.14</v>
      </c>
      <c r="AN446" s="131"/>
      <c r="AO446" s="131"/>
      <c r="AP446" s="131"/>
      <c r="AQ446" s="131"/>
      <c r="AR446" s="131"/>
      <c r="AS446" s="131"/>
      <c r="AT446" s="131"/>
      <c r="AU446" s="91"/>
      <c r="AV446" s="91"/>
      <c r="AW446" s="131"/>
      <c r="AX446" s="131"/>
      <c r="AY446" s="131"/>
    </row>
    <row r="447" spans="1:51" ht="15" x14ac:dyDescent="0.25">
      <c r="A447" s="123"/>
      <c r="B447" s="124"/>
      <c r="C447" s="125">
        <v>433174</v>
      </c>
      <c r="D447" s="89"/>
      <c r="E447" s="86" t="s">
        <v>28</v>
      </c>
      <c r="F447" s="86" t="s">
        <v>418</v>
      </c>
      <c r="H447" s="126" t="s">
        <v>51</v>
      </c>
      <c r="I447" s="89">
        <v>1</v>
      </c>
      <c r="J447" s="127">
        <v>42805.503700000001</v>
      </c>
      <c r="K447" s="127">
        <v>38963.869999999995</v>
      </c>
      <c r="L447" s="127">
        <v>4098.41</v>
      </c>
      <c r="M447" s="127">
        <v>32792.503700000001</v>
      </c>
      <c r="N447" s="127">
        <v>33668.369999999995</v>
      </c>
      <c r="O447" s="127">
        <v>3664.91</v>
      </c>
      <c r="P447" s="128">
        <f t="shared" si="54"/>
        <v>0.76608148171376389</v>
      </c>
      <c r="Q447" s="128">
        <f t="shared" si="55"/>
        <v>0.86409204219190749</v>
      </c>
      <c r="R447" s="128">
        <f t="shared" si="56"/>
        <v>0.89422727350362696</v>
      </c>
      <c r="S447" s="129">
        <v>1</v>
      </c>
      <c r="T447" s="129">
        <v>1</v>
      </c>
      <c r="U447" s="129">
        <v>1</v>
      </c>
      <c r="V447" s="138">
        <f t="shared" si="57"/>
        <v>3</v>
      </c>
      <c r="W447" s="138">
        <f t="shared" si="58"/>
        <v>3</v>
      </c>
      <c r="X447" s="138">
        <f t="shared" si="59"/>
        <v>1</v>
      </c>
      <c r="Y447" s="138">
        <f t="shared" si="60"/>
        <v>3</v>
      </c>
      <c r="Z447" s="138">
        <f t="shared" si="61"/>
        <v>3</v>
      </c>
      <c r="AA447" s="138">
        <f t="shared" si="62"/>
        <v>1</v>
      </c>
      <c r="AB447" s="127" t="s">
        <v>32</v>
      </c>
      <c r="AC447" s="127"/>
      <c r="AD447" s="127"/>
      <c r="AE447" s="130"/>
      <c r="AF447" s="136">
        <v>25.57</v>
      </c>
      <c r="AG447" s="136">
        <v>11.33</v>
      </c>
      <c r="AH447" s="136">
        <v>26.25</v>
      </c>
      <c r="AI447" s="136">
        <v>5.99</v>
      </c>
      <c r="AJ447" s="136">
        <v>3.2</v>
      </c>
      <c r="AK447" s="136">
        <v>0.49</v>
      </c>
      <c r="AL447" s="136">
        <v>3.31</v>
      </c>
      <c r="AM447" s="136">
        <v>76.14</v>
      </c>
      <c r="AN447" s="131"/>
      <c r="AO447" s="131"/>
      <c r="AP447" s="131"/>
      <c r="AQ447" s="131"/>
      <c r="AR447" s="131"/>
      <c r="AS447" s="131"/>
      <c r="AT447" s="131"/>
      <c r="AU447" s="91"/>
      <c r="AV447" s="91"/>
      <c r="AW447" s="131"/>
      <c r="AX447" s="131"/>
      <c r="AY447" s="131"/>
    </row>
    <row r="448" spans="1:51" ht="15" x14ac:dyDescent="0.25">
      <c r="A448" s="123"/>
      <c r="B448" s="124"/>
      <c r="C448" s="125">
        <v>485594</v>
      </c>
      <c r="D448" s="89"/>
      <c r="E448" s="86" t="s">
        <v>28</v>
      </c>
      <c r="F448" s="86" t="s">
        <v>418</v>
      </c>
      <c r="H448" s="126" t="s">
        <v>51</v>
      </c>
      <c r="I448" s="89">
        <v>1</v>
      </c>
      <c r="J448" s="127">
        <v>42805.503700000001</v>
      </c>
      <c r="K448" s="127">
        <v>38963.869999999995</v>
      </c>
      <c r="L448" s="127">
        <v>4098.41</v>
      </c>
      <c r="M448" s="127">
        <v>32792.503700000001</v>
      </c>
      <c r="N448" s="127">
        <v>33668.369999999995</v>
      </c>
      <c r="O448" s="127">
        <v>3664.91</v>
      </c>
      <c r="P448" s="128">
        <f t="shared" si="54"/>
        <v>0.76608148171376389</v>
      </c>
      <c r="Q448" s="128">
        <f t="shared" si="55"/>
        <v>0.86409204219190749</v>
      </c>
      <c r="R448" s="128">
        <f t="shared" si="56"/>
        <v>0.89422727350362696</v>
      </c>
      <c r="S448" s="129">
        <v>1</v>
      </c>
      <c r="T448" s="129">
        <v>1</v>
      </c>
      <c r="U448" s="129">
        <v>1</v>
      </c>
      <c r="V448" s="138">
        <f t="shared" si="57"/>
        <v>3</v>
      </c>
      <c r="W448" s="138">
        <f t="shared" si="58"/>
        <v>3</v>
      </c>
      <c r="X448" s="138">
        <f t="shared" si="59"/>
        <v>1</v>
      </c>
      <c r="Y448" s="138">
        <f t="shared" si="60"/>
        <v>3</v>
      </c>
      <c r="Z448" s="138">
        <f t="shared" si="61"/>
        <v>3</v>
      </c>
      <c r="AA448" s="138">
        <f t="shared" si="62"/>
        <v>1</v>
      </c>
      <c r="AB448" s="127" t="s">
        <v>32</v>
      </c>
      <c r="AC448" s="127"/>
      <c r="AD448" s="127"/>
      <c r="AE448" s="130"/>
      <c r="AF448" s="136">
        <v>25.57</v>
      </c>
      <c r="AG448" s="136">
        <v>11.33</v>
      </c>
      <c r="AH448" s="136">
        <v>26.25</v>
      </c>
      <c r="AI448" s="136">
        <v>5.99</v>
      </c>
      <c r="AJ448" s="136">
        <v>3.2</v>
      </c>
      <c r="AK448" s="136">
        <v>0.49</v>
      </c>
      <c r="AL448" s="136">
        <v>3.31</v>
      </c>
      <c r="AM448" s="136">
        <v>76.14</v>
      </c>
      <c r="AN448" s="131"/>
      <c r="AO448" s="131"/>
      <c r="AP448" s="131"/>
      <c r="AQ448" s="131"/>
      <c r="AR448" s="131"/>
      <c r="AS448" s="131"/>
      <c r="AT448" s="131"/>
      <c r="AU448" s="91"/>
      <c r="AV448" s="91"/>
      <c r="AW448" s="131"/>
      <c r="AX448" s="131"/>
      <c r="AY448" s="131"/>
    </row>
    <row r="449" spans="1:51" ht="15" x14ac:dyDescent="0.25">
      <c r="A449" s="123"/>
      <c r="B449" s="124"/>
      <c r="C449" s="125">
        <v>511418.99999999994</v>
      </c>
      <c r="D449" s="89"/>
      <c r="E449" s="86" t="s">
        <v>28</v>
      </c>
      <c r="F449" s="86" t="s">
        <v>418</v>
      </c>
      <c r="H449" s="126" t="s">
        <v>51</v>
      </c>
      <c r="I449" s="89">
        <v>1</v>
      </c>
      <c r="J449" s="127">
        <v>42805.503700000001</v>
      </c>
      <c r="K449" s="127">
        <v>38963.869999999995</v>
      </c>
      <c r="L449" s="127">
        <v>4098.41</v>
      </c>
      <c r="M449" s="127">
        <v>32792.503700000001</v>
      </c>
      <c r="N449" s="127">
        <v>33668.369999999995</v>
      </c>
      <c r="O449" s="127">
        <v>3664.91</v>
      </c>
      <c r="P449" s="128">
        <f t="shared" si="54"/>
        <v>0.76608148171376389</v>
      </c>
      <c r="Q449" s="128">
        <f t="shared" si="55"/>
        <v>0.86409204219190749</v>
      </c>
      <c r="R449" s="128">
        <f t="shared" si="56"/>
        <v>0.89422727350362696</v>
      </c>
      <c r="S449" s="129">
        <v>1</v>
      </c>
      <c r="T449" s="129">
        <v>1</v>
      </c>
      <c r="U449" s="129">
        <v>1</v>
      </c>
      <c r="V449" s="138">
        <f t="shared" si="57"/>
        <v>3</v>
      </c>
      <c r="W449" s="138">
        <f t="shared" si="58"/>
        <v>3</v>
      </c>
      <c r="X449" s="138">
        <f t="shared" si="59"/>
        <v>1</v>
      </c>
      <c r="Y449" s="138">
        <f t="shared" si="60"/>
        <v>3</v>
      </c>
      <c r="Z449" s="138">
        <f t="shared" si="61"/>
        <v>3</v>
      </c>
      <c r="AA449" s="138">
        <f t="shared" si="62"/>
        <v>1</v>
      </c>
      <c r="AB449" s="127" t="s">
        <v>32</v>
      </c>
      <c r="AC449" s="127"/>
      <c r="AD449" s="127"/>
      <c r="AE449" s="130"/>
      <c r="AF449" s="136">
        <v>25.57</v>
      </c>
      <c r="AG449" s="136">
        <v>11.33</v>
      </c>
      <c r="AH449" s="136">
        <v>26.25</v>
      </c>
      <c r="AI449" s="136">
        <v>5.99</v>
      </c>
      <c r="AJ449" s="136">
        <v>3.2</v>
      </c>
      <c r="AK449" s="136">
        <v>0.49</v>
      </c>
      <c r="AL449" s="136">
        <v>3.31</v>
      </c>
      <c r="AM449" s="136">
        <v>76.14</v>
      </c>
      <c r="AN449" s="131"/>
      <c r="AO449" s="131"/>
      <c r="AP449" s="131"/>
      <c r="AQ449" s="131"/>
      <c r="AR449" s="131"/>
      <c r="AS449" s="131"/>
      <c r="AT449" s="131"/>
      <c r="AU449" s="91"/>
      <c r="AV449" s="91"/>
      <c r="AW449" s="131"/>
      <c r="AX449" s="131"/>
      <c r="AY449" s="131"/>
    </row>
    <row r="450" spans="1:51" ht="15" x14ac:dyDescent="0.25">
      <c r="A450" s="123"/>
      <c r="B450" s="124"/>
      <c r="C450" s="125">
        <v>613735</v>
      </c>
      <c r="D450" s="89"/>
      <c r="E450" s="86" t="s">
        <v>28</v>
      </c>
      <c r="F450" s="86" t="s">
        <v>418</v>
      </c>
      <c r="H450" s="126" t="s">
        <v>51</v>
      </c>
      <c r="I450" s="89">
        <v>1</v>
      </c>
      <c r="J450" s="127">
        <v>42805.503700000001</v>
      </c>
      <c r="K450" s="127">
        <v>38963.869999999995</v>
      </c>
      <c r="L450" s="127">
        <v>4098.41</v>
      </c>
      <c r="M450" s="127">
        <v>32792.503700000001</v>
      </c>
      <c r="N450" s="127">
        <v>33668.369999999995</v>
      </c>
      <c r="O450" s="127">
        <v>3664.91</v>
      </c>
      <c r="P450" s="128">
        <f t="shared" si="54"/>
        <v>0.76608148171376389</v>
      </c>
      <c r="Q450" s="128">
        <f t="shared" si="55"/>
        <v>0.86409204219190749</v>
      </c>
      <c r="R450" s="128">
        <f t="shared" si="56"/>
        <v>0.89422727350362696</v>
      </c>
      <c r="S450" s="129">
        <v>1</v>
      </c>
      <c r="T450" s="129">
        <v>1</v>
      </c>
      <c r="U450" s="129">
        <v>1</v>
      </c>
      <c r="V450" s="138">
        <f t="shared" si="57"/>
        <v>3</v>
      </c>
      <c r="W450" s="138">
        <f t="shared" si="58"/>
        <v>3</v>
      </c>
      <c r="X450" s="138">
        <f t="shared" si="59"/>
        <v>1</v>
      </c>
      <c r="Y450" s="138">
        <f t="shared" si="60"/>
        <v>3</v>
      </c>
      <c r="Z450" s="138">
        <f t="shared" si="61"/>
        <v>3</v>
      </c>
      <c r="AA450" s="138">
        <f t="shared" si="62"/>
        <v>1</v>
      </c>
      <c r="AB450" s="127" t="s">
        <v>32</v>
      </c>
      <c r="AC450" s="127"/>
      <c r="AD450" s="127"/>
      <c r="AE450" s="130"/>
      <c r="AF450" s="136">
        <v>25.57</v>
      </c>
      <c r="AG450" s="136">
        <v>11.33</v>
      </c>
      <c r="AH450" s="136">
        <v>26.25</v>
      </c>
      <c r="AI450" s="136">
        <v>5.99</v>
      </c>
      <c r="AJ450" s="136">
        <v>3.2</v>
      </c>
      <c r="AK450" s="136">
        <v>0.49</v>
      </c>
      <c r="AL450" s="136">
        <v>3.31</v>
      </c>
      <c r="AM450" s="136">
        <v>76.14</v>
      </c>
      <c r="AN450" s="131"/>
      <c r="AO450" s="131"/>
      <c r="AP450" s="131"/>
      <c r="AQ450" s="131"/>
      <c r="AR450" s="131"/>
      <c r="AS450" s="131"/>
      <c r="AT450" s="131"/>
      <c r="AU450" s="91"/>
      <c r="AV450" s="91"/>
      <c r="AW450" s="131"/>
      <c r="AX450" s="131"/>
      <c r="AY450" s="131"/>
    </row>
    <row r="451" spans="1:51" ht="15" x14ac:dyDescent="0.25">
      <c r="A451" s="123"/>
      <c r="B451" s="124"/>
      <c r="C451" s="125">
        <v>635819</v>
      </c>
      <c r="D451" s="89"/>
      <c r="E451" s="86" t="s">
        <v>28</v>
      </c>
      <c r="F451" s="86" t="s">
        <v>418</v>
      </c>
      <c r="H451" s="126" t="s">
        <v>51</v>
      </c>
      <c r="I451" s="89">
        <v>1</v>
      </c>
      <c r="J451" s="127">
        <v>42805.503700000001</v>
      </c>
      <c r="K451" s="127">
        <v>38963.869999999995</v>
      </c>
      <c r="L451" s="127">
        <v>4098.41</v>
      </c>
      <c r="M451" s="127">
        <v>32792.503700000001</v>
      </c>
      <c r="N451" s="127">
        <v>33668.369999999995</v>
      </c>
      <c r="O451" s="127">
        <v>3664.91</v>
      </c>
      <c r="P451" s="128">
        <f t="shared" si="54"/>
        <v>0.76608148171376389</v>
      </c>
      <c r="Q451" s="128">
        <f t="shared" si="55"/>
        <v>0.86409204219190749</v>
      </c>
      <c r="R451" s="128">
        <f t="shared" si="56"/>
        <v>0.89422727350362696</v>
      </c>
      <c r="S451" s="129">
        <v>1</v>
      </c>
      <c r="T451" s="129">
        <v>1</v>
      </c>
      <c r="U451" s="129">
        <v>1</v>
      </c>
      <c r="V451" s="138">
        <f t="shared" si="57"/>
        <v>3</v>
      </c>
      <c r="W451" s="138">
        <f t="shared" si="58"/>
        <v>3</v>
      </c>
      <c r="X451" s="138">
        <f t="shared" si="59"/>
        <v>1</v>
      </c>
      <c r="Y451" s="138">
        <f t="shared" si="60"/>
        <v>3</v>
      </c>
      <c r="Z451" s="138">
        <f t="shared" si="61"/>
        <v>3</v>
      </c>
      <c r="AA451" s="138">
        <f t="shared" si="62"/>
        <v>1</v>
      </c>
      <c r="AB451" s="127" t="s">
        <v>32</v>
      </c>
      <c r="AC451" s="127"/>
      <c r="AD451" s="127"/>
      <c r="AE451" s="130"/>
      <c r="AF451" s="136">
        <v>25.57</v>
      </c>
      <c r="AG451" s="136">
        <v>11.33</v>
      </c>
      <c r="AH451" s="136">
        <v>26.25</v>
      </c>
      <c r="AI451" s="136">
        <v>5.99</v>
      </c>
      <c r="AJ451" s="136">
        <v>3.2</v>
      </c>
      <c r="AK451" s="136">
        <v>0.49</v>
      </c>
      <c r="AL451" s="136">
        <v>3.31</v>
      </c>
      <c r="AM451" s="136">
        <v>76.14</v>
      </c>
      <c r="AN451" s="131"/>
      <c r="AO451" s="131"/>
      <c r="AP451" s="131"/>
      <c r="AQ451" s="131"/>
      <c r="AR451" s="131"/>
      <c r="AS451" s="131"/>
      <c r="AT451" s="131"/>
      <c r="AU451" s="91"/>
      <c r="AV451" s="91"/>
      <c r="AW451" s="131"/>
      <c r="AX451" s="131"/>
      <c r="AY451" s="131"/>
    </row>
    <row r="452" spans="1:51" ht="15" x14ac:dyDescent="0.25">
      <c r="A452" s="123"/>
      <c r="B452" s="124"/>
      <c r="C452" s="125">
        <v>724977</v>
      </c>
      <c r="D452" s="89"/>
      <c r="E452" s="86" t="s">
        <v>28</v>
      </c>
      <c r="F452" s="86" t="s">
        <v>418</v>
      </c>
      <c r="H452" s="126" t="s">
        <v>51</v>
      </c>
      <c r="I452" s="89">
        <v>2</v>
      </c>
      <c r="J452" s="127">
        <v>42805.503700000001</v>
      </c>
      <c r="K452" s="127">
        <v>38963.869999999995</v>
      </c>
      <c r="L452" s="127">
        <v>4098.41</v>
      </c>
      <c r="M452" s="127">
        <v>32792.503700000001</v>
      </c>
      <c r="N452" s="127">
        <v>33668.369999999995</v>
      </c>
      <c r="O452" s="127">
        <v>3664.91</v>
      </c>
      <c r="P452" s="128">
        <f t="shared" si="54"/>
        <v>0.76608148171376389</v>
      </c>
      <c r="Q452" s="128">
        <f t="shared" si="55"/>
        <v>0.86409204219190749</v>
      </c>
      <c r="R452" s="128">
        <f t="shared" si="56"/>
        <v>0.89422727350362696</v>
      </c>
      <c r="S452" s="129">
        <v>1</v>
      </c>
      <c r="T452" s="129">
        <v>1</v>
      </c>
      <c r="U452" s="129">
        <v>1</v>
      </c>
      <c r="V452" s="138">
        <f t="shared" si="57"/>
        <v>4</v>
      </c>
      <c r="W452" s="138">
        <f t="shared" si="58"/>
        <v>4</v>
      </c>
      <c r="X452" s="138">
        <f t="shared" si="59"/>
        <v>2</v>
      </c>
      <c r="Y452" s="138">
        <f t="shared" si="60"/>
        <v>4</v>
      </c>
      <c r="Z452" s="138">
        <f t="shared" si="61"/>
        <v>4</v>
      </c>
      <c r="AA452" s="138">
        <f t="shared" si="62"/>
        <v>1</v>
      </c>
      <c r="AB452" s="127" t="s">
        <v>32</v>
      </c>
      <c r="AC452" s="127"/>
      <c r="AD452" s="127"/>
      <c r="AE452" s="130"/>
      <c r="AF452" s="136">
        <v>34.090000000000003</v>
      </c>
      <c r="AG452" s="136">
        <v>11.33</v>
      </c>
      <c r="AH452" s="136">
        <v>35</v>
      </c>
      <c r="AI452" s="136">
        <v>5.99</v>
      </c>
      <c r="AJ452" s="136">
        <v>3.2</v>
      </c>
      <c r="AK452" s="136">
        <v>0.49</v>
      </c>
      <c r="AL452" s="136">
        <v>3.31</v>
      </c>
      <c r="AM452" s="136">
        <v>93.41</v>
      </c>
      <c r="AN452" s="131"/>
      <c r="AO452" s="131"/>
      <c r="AP452" s="131"/>
      <c r="AQ452" s="131"/>
      <c r="AR452" s="131"/>
      <c r="AS452" s="131"/>
      <c r="AT452" s="131"/>
      <c r="AU452" s="91"/>
      <c r="AV452" s="91"/>
      <c r="AW452" s="131"/>
      <c r="AX452" s="131"/>
      <c r="AY452" s="131"/>
    </row>
    <row r="453" spans="1:51" ht="15" x14ac:dyDescent="0.25">
      <c r="A453" s="123"/>
      <c r="B453" s="124"/>
      <c r="C453" s="125">
        <v>768696</v>
      </c>
      <c r="D453" s="89"/>
      <c r="E453" s="86" t="s">
        <v>28</v>
      </c>
      <c r="F453" s="86" t="s">
        <v>418</v>
      </c>
      <c r="H453" s="126" t="s">
        <v>51</v>
      </c>
      <c r="I453" s="89">
        <v>1</v>
      </c>
      <c r="J453" s="127">
        <v>42805.503700000001</v>
      </c>
      <c r="K453" s="127">
        <v>38963.869999999995</v>
      </c>
      <c r="L453" s="127">
        <v>4098.41</v>
      </c>
      <c r="M453" s="127">
        <v>32792.503700000001</v>
      </c>
      <c r="N453" s="127">
        <v>33668.369999999995</v>
      </c>
      <c r="O453" s="127">
        <v>3664.91</v>
      </c>
      <c r="P453" s="128">
        <f t="shared" si="54"/>
        <v>0.76608148171376389</v>
      </c>
      <c r="Q453" s="128">
        <f t="shared" si="55"/>
        <v>0.86409204219190749</v>
      </c>
      <c r="R453" s="128">
        <f t="shared" si="56"/>
        <v>0.89422727350362696</v>
      </c>
      <c r="S453" s="129">
        <v>1</v>
      </c>
      <c r="T453" s="129">
        <v>1</v>
      </c>
      <c r="U453" s="129">
        <v>1</v>
      </c>
      <c r="V453" s="138">
        <f t="shared" si="57"/>
        <v>3</v>
      </c>
      <c r="W453" s="138">
        <f t="shared" si="58"/>
        <v>3</v>
      </c>
      <c r="X453" s="138">
        <f t="shared" si="59"/>
        <v>1</v>
      </c>
      <c r="Y453" s="138">
        <f t="shared" si="60"/>
        <v>3</v>
      </c>
      <c r="Z453" s="138">
        <f t="shared" si="61"/>
        <v>3</v>
      </c>
      <c r="AA453" s="138">
        <f t="shared" si="62"/>
        <v>1</v>
      </c>
      <c r="AB453" s="127" t="s">
        <v>32</v>
      </c>
      <c r="AC453" s="127"/>
      <c r="AD453" s="127"/>
      <c r="AE453" s="130"/>
      <c r="AF453" s="136">
        <v>25.57</v>
      </c>
      <c r="AG453" s="136">
        <v>11.33</v>
      </c>
      <c r="AH453" s="136">
        <v>26.25</v>
      </c>
      <c r="AI453" s="136">
        <v>5.99</v>
      </c>
      <c r="AJ453" s="136">
        <v>3.2</v>
      </c>
      <c r="AK453" s="136">
        <v>0.49</v>
      </c>
      <c r="AL453" s="136">
        <v>3.31</v>
      </c>
      <c r="AM453" s="136">
        <v>76.14</v>
      </c>
      <c r="AN453" s="131"/>
      <c r="AO453" s="131"/>
      <c r="AP453" s="131"/>
      <c r="AQ453" s="131"/>
      <c r="AR453" s="131"/>
      <c r="AS453" s="131"/>
      <c r="AT453" s="131"/>
      <c r="AU453" s="91"/>
      <c r="AV453" s="91"/>
      <c r="AW453" s="131"/>
      <c r="AX453" s="131"/>
      <c r="AY453" s="131"/>
    </row>
    <row r="454" spans="1:51" ht="15" x14ac:dyDescent="0.25">
      <c r="A454" s="123"/>
      <c r="B454" s="124"/>
      <c r="C454" s="125">
        <v>884772</v>
      </c>
      <c r="D454" s="89"/>
      <c r="E454" s="86" t="s">
        <v>28</v>
      </c>
      <c r="F454" s="86" t="s">
        <v>418</v>
      </c>
      <c r="H454" s="126" t="s">
        <v>51</v>
      </c>
      <c r="I454" s="89">
        <v>1</v>
      </c>
      <c r="J454" s="127">
        <v>42805.503700000001</v>
      </c>
      <c r="K454" s="127">
        <v>38963.869999999995</v>
      </c>
      <c r="L454" s="127">
        <v>4098.41</v>
      </c>
      <c r="M454" s="127">
        <v>32792.503700000001</v>
      </c>
      <c r="N454" s="127">
        <v>33668.369999999995</v>
      </c>
      <c r="O454" s="127">
        <v>3664.91</v>
      </c>
      <c r="P454" s="128">
        <f t="shared" ref="P454:P517" si="63">M454/J454</f>
        <v>0.76608148171376389</v>
      </c>
      <c r="Q454" s="128">
        <f t="shared" ref="Q454:Q517" si="64">N454/K454</f>
        <v>0.86409204219190749</v>
      </c>
      <c r="R454" s="128">
        <f t="shared" ref="R454:R517" si="65">O454/L454</f>
        <v>0.89422727350362696</v>
      </c>
      <c r="S454" s="129">
        <v>1</v>
      </c>
      <c r="T454" s="129">
        <v>1</v>
      </c>
      <c r="U454" s="129">
        <v>1</v>
      </c>
      <c r="V454" s="138">
        <f t="shared" ref="V454:V517" si="66">I454+2</f>
        <v>3</v>
      </c>
      <c r="W454" s="138">
        <f t="shared" ref="W454:W517" si="67">I454+2</f>
        <v>3</v>
      </c>
      <c r="X454" s="138">
        <f t="shared" ref="X454:X517" si="68">I454</f>
        <v>1</v>
      </c>
      <c r="Y454" s="138">
        <f t="shared" ref="Y454:Y517" si="69">IF(S454=0,0,V454)</f>
        <v>3</v>
      </c>
      <c r="Z454" s="138">
        <f t="shared" ref="Z454:Z517" si="70">IF(T454=0,0,W454)</f>
        <v>3</v>
      </c>
      <c r="AA454" s="138">
        <f t="shared" ref="AA454:AA517" si="71">IF(U454=0,0,1)</f>
        <v>1</v>
      </c>
      <c r="AB454" s="127" t="s">
        <v>32</v>
      </c>
      <c r="AC454" s="127"/>
      <c r="AD454" s="127"/>
      <c r="AE454" s="130"/>
      <c r="AF454" s="136">
        <v>25.57</v>
      </c>
      <c r="AG454" s="136">
        <v>11.33</v>
      </c>
      <c r="AH454" s="136">
        <v>26.25</v>
      </c>
      <c r="AI454" s="136">
        <v>5.99</v>
      </c>
      <c r="AJ454" s="136">
        <v>3.2</v>
      </c>
      <c r="AK454" s="136">
        <v>0.49</v>
      </c>
      <c r="AL454" s="136">
        <v>3.31</v>
      </c>
      <c r="AM454" s="136">
        <v>76.14</v>
      </c>
      <c r="AN454" s="131"/>
      <c r="AO454" s="131"/>
      <c r="AP454" s="131"/>
      <c r="AQ454" s="131"/>
      <c r="AR454" s="131"/>
      <c r="AS454" s="131"/>
      <c r="AT454" s="131"/>
      <c r="AU454" s="91"/>
      <c r="AV454" s="91"/>
      <c r="AW454" s="131"/>
      <c r="AX454" s="131"/>
      <c r="AY454" s="131"/>
    </row>
    <row r="455" spans="1:51" ht="15" x14ac:dyDescent="0.25">
      <c r="A455" s="123"/>
      <c r="B455" s="124"/>
      <c r="C455" s="125">
        <v>43982</v>
      </c>
      <c r="D455" s="89"/>
      <c r="E455" s="86" t="s">
        <v>12</v>
      </c>
      <c r="F455" s="86" t="s">
        <v>418</v>
      </c>
      <c r="H455" s="126" t="s">
        <v>51</v>
      </c>
      <c r="I455" s="89">
        <v>1</v>
      </c>
      <c r="J455" s="127">
        <v>39191.1299</v>
      </c>
      <c r="K455" s="127">
        <v>64750.12</v>
      </c>
      <c r="L455" s="127">
        <v>7730.71</v>
      </c>
      <c r="M455" s="127">
        <v>19165.129900000018</v>
      </c>
      <c r="N455" s="127">
        <v>54159.12000000001</v>
      </c>
      <c r="O455" s="127">
        <v>6863.71</v>
      </c>
      <c r="P455" s="128">
        <f t="shared" si="63"/>
        <v>0.48901702882518877</v>
      </c>
      <c r="Q455" s="128">
        <f t="shared" si="64"/>
        <v>0.83643273556867548</v>
      </c>
      <c r="R455" s="128">
        <f t="shared" si="65"/>
        <v>0.88784988700908452</v>
      </c>
      <c r="S455" s="129">
        <v>1</v>
      </c>
      <c r="T455" s="129">
        <v>1</v>
      </c>
      <c r="U455" s="129">
        <v>1</v>
      </c>
      <c r="V455" s="138">
        <f t="shared" si="66"/>
        <v>3</v>
      </c>
      <c r="W455" s="138">
        <f t="shared" si="67"/>
        <v>3</v>
      </c>
      <c r="X455" s="138">
        <f t="shared" si="68"/>
        <v>1</v>
      </c>
      <c r="Y455" s="138">
        <f t="shared" si="69"/>
        <v>3</v>
      </c>
      <c r="Z455" s="138">
        <f t="shared" si="70"/>
        <v>3</v>
      </c>
      <c r="AA455" s="138">
        <f t="shared" si="71"/>
        <v>1</v>
      </c>
      <c r="AB455" s="127" t="s">
        <v>32</v>
      </c>
      <c r="AC455" s="127"/>
      <c r="AD455" s="127"/>
      <c r="AE455" s="130"/>
      <c r="AF455" s="136">
        <v>10.84</v>
      </c>
      <c r="AG455" s="136">
        <v>11.33</v>
      </c>
      <c r="AH455" s="136">
        <v>30.63</v>
      </c>
      <c r="AI455" s="136">
        <v>5.99</v>
      </c>
      <c r="AJ455" s="136">
        <v>3.88</v>
      </c>
      <c r="AK455" s="136">
        <v>0.49</v>
      </c>
      <c r="AL455" s="136">
        <v>3.31</v>
      </c>
      <c r="AM455" s="136">
        <v>66.47</v>
      </c>
      <c r="AN455" s="131"/>
      <c r="AO455" s="131"/>
      <c r="AP455" s="131"/>
      <c r="AQ455" s="131"/>
      <c r="AR455" s="131"/>
      <c r="AS455" s="131"/>
      <c r="AT455" s="131"/>
      <c r="AU455" s="91"/>
      <c r="AV455" s="91"/>
      <c r="AW455" s="131"/>
      <c r="AX455" s="131"/>
      <c r="AY455" s="131"/>
    </row>
    <row r="456" spans="1:51" ht="15" x14ac:dyDescent="0.25">
      <c r="A456" s="123"/>
      <c r="B456" s="124"/>
      <c r="C456" s="125">
        <v>89881</v>
      </c>
      <c r="D456" s="89"/>
      <c r="E456" s="86" t="s">
        <v>12</v>
      </c>
      <c r="F456" s="86" t="s">
        <v>418</v>
      </c>
      <c r="H456" s="126" t="s">
        <v>51</v>
      </c>
      <c r="I456" s="89">
        <v>1</v>
      </c>
      <c r="J456" s="127">
        <v>39191.1299</v>
      </c>
      <c r="K456" s="127">
        <v>64750.12</v>
      </c>
      <c r="L456" s="127">
        <v>7730.71</v>
      </c>
      <c r="M456" s="127">
        <v>19165.129900000018</v>
      </c>
      <c r="N456" s="127">
        <v>54159.12000000001</v>
      </c>
      <c r="O456" s="127">
        <v>6863.71</v>
      </c>
      <c r="P456" s="128">
        <f t="shared" si="63"/>
        <v>0.48901702882518877</v>
      </c>
      <c r="Q456" s="128">
        <f t="shared" si="64"/>
        <v>0.83643273556867548</v>
      </c>
      <c r="R456" s="128">
        <f t="shared" si="65"/>
        <v>0.88784988700908452</v>
      </c>
      <c r="S456" s="129">
        <v>1</v>
      </c>
      <c r="T456" s="129">
        <v>1</v>
      </c>
      <c r="U456" s="129">
        <v>1</v>
      </c>
      <c r="V456" s="138">
        <f t="shared" si="66"/>
        <v>3</v>
      </c>
      <c r="W456" s="138">
        <f t="shared" si="67"/>
        <v>3</v>
      </c>
      <c r="X456" s="138">
        <f t="shared" si="68"/>
        <v>1</v>
      </c>
      <c r="Y456" s="138">
        <f t="shared" si="69"/>
        <v>3</v>
      </c>
      <c r="Z456" s="138">
        <f t="shared" si="70"/>
        <v>3</v>
      </c>
      <c r="AA456" s="138">
        <f t="shared" si="71"/>
        <v>1</v>
      </c>
      <c r="AB456" s="127" t="s">
        <v>32</v>
      </c>
      <c r="AC456" s="127"/>
      <c r="AD456" s="127"/>
      <c r="AE456" s="130"/>
      <c r="AF456" s="136">
        <v>10.84</v>
      </c>
      <c r="AG456" s="136">
        <v>11.33</v>
      </c>
      <c r="AH456" s="136">
        <v>30.63</v>
      </c>
      <c r="AI456" s="136">
        <v>5.99</v>
      </c>
      <c r="AJ456" s="136">
        <v>3.88</v>
      </c>
      <c r="AK456" s="136">
        <v>0.49</v>
      </c>
      <c r="AL456" s="136">
        <v>3.31</v>
      </c>
      <c r="AM456" s="136">
        <v>66.47</v>
      </c>
      <c r="AN456" s="131"/>
      <c r="AO456" s="131"/>
      <c r="AP456" s="131"/>
      <c r="AQ456" s="131"/>
      <c r="AR456" s="131"/>
      <c r="AS456" s="131"/>
      <c r="AT456" s="131"/>
      <c r="AU456" s="91"/>
      <c r="AV456" s="91"/>
      <c r="AW456" s="131"/>
      <c r="AX456" s="131"/>
      <c r="AY456" s="131"/>
    </row>
    <row r="457" spans="1:51" ht="15" x14ac:dyDescent="0.25">
      <c r="A457" s="123"/>
      <c r="B457" s="124"/>
      <c r="C457" s="125">
        <v>101666</v>
      </c>
      <c r="D457" s="89"/>
      <c r="E457" s="86" t="s">
        <v>12</v>
      </c>
      <c r="F457" s="86" t="s">
        <v>418</v>
      </c>
      <c r="H457" s="126" t="s">
        <v>51</v>
      </c>
      <c r="I457" s="89">
        <v>1</v>
      </c>
      <c r="J457" s="127">
        <v>39191.1299</v>
      </c>
      <c r="K457" s="127">
        <v>64750.12</v>
      </c>
      <c r="L457" s="127">
        <v>7730.71</v>
      </c>
      <c r="M457" s="127">
        <v>19165.129900000018</v>
      </c>
      <c r="N457" s="127">
        <v>54159.12000000001</v>
      </c>
      <c r="O457" s="127">
        <v>6863.71</v>
      </c>
      <c r="P457" s="128">
        <f t="shared" si="63"/>
        <v>0.48901702882518877</v>
      </c>
      <c r="Q457" s="128">
        <f t="shared" si="64"/>
        <v>0.83643273556867548</v>
      </c>
      <c r="R457" s="128">
        <f t="shared" si="65"/>
        <v>0.88784988700908452</v>
      </c>
      <c r="S457" s="129">
        <v>1</v>
      </c>
      <c r="T457" s="129">
        <v>1</v>
      </c>
      <c r="U457" s="129">
        <v>1</v>
      </c>
      <c r="V457" s="138">
        <f t="shared" si="66"/>
        <v>3</v>
      </c>
      <c r="W457" s="138">
        <f t="shared" si="67"/>
        <v>3</v>
      </c>
      <c r="X457" s="138">
        <f t="shared" si="68"/>
        <v>1</v>
      </c>
      <c r="Y457" s="138">
        <f t="shared" si="69"/>
        <v>3</v>
      </c>
      <c r="Z457" s="138">
        <f t="shared" si="70"/>
        <v>3</v>
      </c>
      <c r="AA457" s="138">
        <f t="shared" si="71"/>
        <v>1</v>
      </c>
      <c r="AB457" s="127" t="s">
        <v>32</v>
      </c>
      <c r="AC457" s="127"/>
      <c r="AD457" s="127"/>
      <c r="AE457" s="130"/>
      <c r="AF457" s="136">
        <v>10.84</v>
      </c>
      <c r="AG457" s="136">
        <v>11.33</v>
      </c>
      <c r="AH457" s="136">
        <v>30.63</v>
      </c>
      <c r="AI457" s="136">
        <v>5.99</v>
      </c>
      <c r="AJ457" s="136">
        <v>3.88</v>
      </c>
      <c r="AK457" s="136">
        <v>0.49</v>
      </c>
      <c r="AL457" s="136">
        <v>3.31</v>
      </c>
      <c r="AM457" s="136">
        <v>66.47</v>
      </c>
      <c r="AN457" s="131"/>
      <c r="AO457" s="131"/>
      <c r="AP457" s="131"/>
      <c r="AQ457" s="131"/>
      <c r="AR457" s="131"/>
      <c r="AS457" s="131"/>
      <c r="AT457" s="131"/>
      <c r="AU457" s="91"/>
      <c r="AV457" s="91"/>
      <c r="AW457" s="131"/>
      <c r="AX457" s="131"/>
      <c r="AY457" s="131"/>
    </row>
    <row r="458" spans="1:51" ht="15" x14ac:dyDescent="0.25">
      <c r="A458" s="123"/>
      <c r="B458" s="124"/>
      <c r="C458" s="125">
        <v>113393</v>
      </c>
      <c r="D458" s="89"/>
      <c r="E458" s="86" t="s">
        <v>12</v>
      </c>
      <c r="F458" s="86" t="s">
        <v>418</v>
      </c>
      <c r="H458" s="126" t="s">
        <v>51</v>
      </c>
      <c r="I458" s="89">
        <v>1</v>
      </c>
      <c r="J458" s="127">
        <v>39191.1299</v>
      </c>
      <c r="K458" s="127">
        <v>64750.12</v>
      </c>
      <c r="L458" s="127">
        <v>7730.71</v>
      </c>
      <c r="M458" s="127">
        <v>19165.129900000018</v>
      </c>
      <c r="N458" s="127">
        <v>54159.12000000001</v>
      </c>
      <c r="O458" s="127">
        <v>6863.71</v>
      </c>
      <c r="P458" s="128">
        <f t="shared" si="63"/>
        <v>0.48901702882518877</v>
      </c>
      <c r="Q458" s="128">
        <f t="shared" si="64"/>
        <v>0.83643273556867548</v>
      </c>
      <c r="R458" s="128">
        <f t="shared" si="65"/>
        <v>0.88784988700908452</v>
      </c>
      <c r="S458" s="129">
        <v>1</v>
      </c>
      <c r="T458" s="129">
        <v>1</v>
      </c>
      <c r="U458" s="129">
        <v>1</v>
      </c>
      <c r="V458" s="138">
        <f t="shared" si="66"/>
        <v>3</v>
      </c>
      <c r="W458" s="138">
        <f t="shared" si="67"/>
        <v>3</v>
      </c>
      <c r="X458" s="138">
        <f t="shared" si="68"/>
        <v>1</v>
      </c>
      <c r="Y458" s="138">
        <f t="shared" si="69"/>
        <v>3</v>
      </c>
      <c r="Z458" s="138">
        <f t="shared" si="70"/>
        <v>3</v>
      </c>
      <c r="AA458" s="138">
        <f t="shared" si="71"/>
        <v>1</v>
      </c>
      <c r="AB458" s="127" t="s">
        <v>32</v>
      </c>
      <c r="AC458" s="127"/>
      <c r="AD458" s="127"/>
      <c r="AE458" s="130"/>
      <c r="AF458" s="136">
        <v>10.84</v>
      </c>
      <c r="AG458" s="136">
        <v>11.33</v>
      </c>
      <c r="AH458" s="136">
        <v>30.63</v>
      </c>
      <c r="AI458" s="136">
        <v>5.99</v>
      </c>
      <c r="AJ458" s="136">
        <v>3.88</v>
      </c>
      <c r="AK458" s="136">
        <v>0.49</v>
      </c>
      <c r="AL458" s="136">
        <v>3.31</v>
      </c>
      <c r="AM458" s="136">
        <v>66.47</v>
      </c>
      <c r="AN458" s="131"/>
      <c r="AO458" s="131"/>
      <c r="AP458" s="131"/>
      <c r="AQ458" s="131"/>
      <c r="AR458" s="131"/>
      <c r="AS458" s="131"/>
      <c r="AT458" s="131"/>
      <c r="AU458" s="91"/>
      <c r="AV458" s="91"/>
      <c r="AW458" s="131"/>
      <c r="AX458" s="131"/>
      <c r="AY458" s="131"/>
    </row>
    <row r="459" spans="1:51" ht="15" x14ac:dyDescent="0.25">
      <c r="A459" s="123"/>
      <c r="B459" s="124"/>
      <c r="C459" s="125">
        <v>141557</v>
      </c>
      <c r="D459" s="89"/>
      <c r="E459" s="86" t="s">
        <v>12</v>
      </c>
      <c r="F459" s="86" t="s">
        <v>418</v>
      </c>
      <c r="H459" s="126" t="s">
        <v>50</v>
      </c>
      <c r="I459" s="89">
        <v>2</v>
      </c>
      <c r="J459" s="127">
        <v>39191.1299</v>
      </c>
      <c r="K459" s="127">
        <v>64750.12</v>
      </c>
      <c r="L459" s="127">
        <v>7730.71</v>
      </c>
      <c r="M459" s="127">
        <v>19165.129900000018</v>
      </c>
      <c r="N459" s="127">
        <v>54159.12000000001</v>
      </c>
      <c r="O459" s="127">
        <v>6863.71</v>
      </c>
      <c r="P459" s="128">
        <f t="shared" si="63"/>
        <v>0.48901702882518877</v>
      </c>
      <c r="Q459" s="128">
        <f t="shared" si="64"/>
        <v>0.83643273556867548</v>
      </c>
      <c r="R459" s="128">
        <f t="shared" si="65"/>
        <v>0.88784988700908452</v>
      </c>
      <c r="S459" s="129">
        <v>0</v>
      </c>
      <c r="T459" s="129">
        <v>0</v>
      </c>
      <c r="U459" s="129">
        <v>0</v>
      </c>
      <c r="V459" s="138">
        <f t="shared" si="66"/>
        <v>4</v>
      </c>
      <c r="W459" s="138">
        <f t="shared" si="67"/>
        <v>4</v>
      </c>
      <c r="X459" s="138">
        <f t="shared" si="68"/>
        <v>2</v>
      </c>
      <c r="Y459" s="138">
        <f t="shared" si="69"/>
        <v>0</v>
      </c>
      <c r="Z459" s="138">
        <f t="shared" si="70"/>
        <v>0</v>
      </c>
      <c r="AA459" s="138">
        <f t="shared" si="71"/>
        <v>0</v>
      </c>
      <c r="AB459" s="127" t="s">
        <v>32</v>
      </c>
      <c r="AC459" s="127"/>
      <c r="AD459" s="127"/>
      <c r="AE459" s="130"/>
      <c r="AF459" s="136">
        <v>0</v>
      </c>
      <c r="AG459" s="136">
        <v>0</v>
      </c>
      <c r="AH459" s="136">
        <v>0</v>
      </c>
      <c r="AI459" s="136">
        <v>0</v>
      </c>
      <c r="AJ459" s="136">
        <v>0</v>
      </c>
      <c r="AK459" s="136">
        <v>0</v>
      </c>
      <c r="AL459" s="136">
        <v>0</v>
      </c>
      <c r="AM459" s="136">
        <v>0</v>
      </c>
      <c r="AN459" s="131"/>
      <c r="AO459" s="131"/>
      <c r="AP459" s="131"/>
      <c r="AQ459" s="131"/>
      <c r="AR459" s="131"/>
      <c r="AS459" s="131"/>
      <c r="AT459" s="131"/>
      <c r="AU459" s="91"/>
      <c r="AV459" s="91"/>
      <c r="AW459" s="131"/>
      <c r="AX459" s="131"/>
      <c r="AY459" s="131"/>
    </row>
    <row r="460" spans="1:51" ht="15" x14ac:dyDescent="0.25">
      <c r="A460" s="123"/>
      <c r="B460" s="124"/>
      <c r="C460" s="125">
        <v>224972</v>
      </c>
      <c r="D460" s="89"/>
      <c r="E460" s="86" t="s">
        <v>12</v>
      </c>
      <c r="F460" s="86" t="s">
        <v>418</v>
      </c>
      <c r="H460" s="126" t="s">
        <v>51</v>
      </c>
      <c r="I460" s="89">
        <v>1</v>
      </c>
      <c r="J460" s="127">
        <v>39191.1299</v>
      </c>
      <c r="K460" s="127">
        <v>64750.12</v>
      </c>
      <c r="L460" s="127">
        <v>7730.71</v>
      </c>
      <c r="M460" s="127">
        <v>19165.129900000018</v>
      </c>
      <c r="N460" s="127">
        <v>54159.12000000001</v>
      </c>
      <c r="O460" s="127">
        <v>6863.71</v>
      </c>
      <c r="P460" s="128">
        <f t="shared" si="63"/>
        <v>0.48901702882518877</v>
      </c>
      <c r="Q460" s="128">
        <f t="shared" si="64"/>
        <v>0.83643273556867548</v>
      </c>
      <c r="R460" s="128">
        <f t="shared" si="65"/>
        <v>0.88784988700908452</v>
      </c>
      <c r="S460" s="129">
        <v>1</v>
      </c>
      <c r="T460" s="129">
        <v>1</v>
      </c>
      <c r="U460" s="129">
        <v>1</v>
      </c>
      <c r="V460" s="138">
        <f t="shared" si="66"/>
        <v>3</v>
      </c>
      <c r="W460" s="138">
        <f t="shared" si="67"/>
        <v>3</v>
      </c>
      <c r="X460" s="138">
        <f t="shared" si="68"/>
        <v>1</v>
      </c>
      <c r="Y460" s="138">
        <f t="shared" si="69"/>
        <v>3</v>
      </c>
      <c r="Z460" s="138">
        <f t="shared" si="70"/>
        <v>3</v>
      </c>
      <c r="AA460" s="138">
        <f t="shared" si="71"/>
        <v>1</v>
      </c>
      <c r="AB460" s="127" t="s">
        <v>32</v>
      </c>
      <c r="AC460" s="127"/>
      <c r="AD460" s="127"/>
      <c r="AE460" s="130"/>
      <c r="AF460" s="136">
        <v>10.84</v>
      </c>
      <c r="AG460" s="136">
        <v>11.33</v>
      </c>
      <c r="AH460" s="136">
        <v>30.63</v>
      </c>
      <c r="AI460" s="136">
        <v>5.99</v>
      </c>
      <c r="AJ460" s="136">
        <v>3.88</v>
      </c>
      <c r="AK460" s="136">
        <v>0.49</v>
      </c>
      <c r="AL460" s="136">
        <v>3.31</v>
      </c>
      <c r="AM460" s="136">
        <v>66.47</v>
      </c>
      <c r="AN460" s="131"/>
      <c r="AO460" s="131"/>
      <c r="AP460" s="131"/>
      <c r="AQ460" s="131"/>
      <c r="AR460" s="131"/>
      <c r="AS460" s="131"/>
      <c r="AT460" s="131"/>
      <c r="AU460" s="91"/>
      <c r="AV460" s="91"/>
      <c r="AW460" s="131"/>
      <c r="AX460" s="131"/>
      <c r="AY460" s="131"/>
    </row>
    <row r="461" spans="1:51" ht="15" x14ac:dyDescent="0.25">
      <c r="A461" s="123"/>
      <c r="B461" s="124"/>
      <c r="C461" s="125">
        <v>229805</v>
      </c>
      <c r="D461" s="89"/>
      <c r="E461" s="86" t="s">
        <v>12</v>
      </c>
      <c r="F461" s="86" t="s">
        <v>418</v>
      </c>
      <c r="H461" s="126" t="s">
        <v>51</v>
      </c>
      <c r="I461" s="89">
        <v>1</v>
      </c>
      <c r="J461" s="127">
        <v>39191.1299</v>
      </c>
      <c r="K461" s="127">
        <v>64750.12</v>
      </c>
      <c r="L461" s="127">
        <v>7730.71</v>
      </c>
      <c r="M461" s="127">
        <v>19165.129900000018</v>
      </c>
      <c r="N461" s="127">
        <v>54159.12000000001</v>
      </c>
      <c r="O461" s="127">
        <v>6863.71</v>
      </c>
      <c r="P461" s="128">
        <f t="shared" si="63"/>
        <v>0.48901702882518877</v>
      </c>
      <c r="Q461" s="128">
        <f t="shared" si="64"/>
        <v>0.83643273556867548</v>
      </c>
      <c r="R461" s="128">
        <f t="shared" si="65"/>
        <v>0.88784988700908452</v>
      </c>
      <c r="S461" s="129">
        <v>1</v>
      </c>
      <c r="T461" s="129">
        <v>1</v>
      </c>
      <c r="U461" s="129">
        <v>1</v>
      </c>
      <c r="V461" s="138">
        <f t="shared" si="66"/>
        <v>3</v>
      </c>
      <c r="W461" s="138">
        <f t="shared" si="67"/>
        <v>3</v>
      </c>
      <c r="X461" s="138">
        <f t="shared" si="68"/>
        <v>1</v>
      </c>
      <c r="Y461" s="138">
        <f t="shared" si="69"/>
        <v>3</v>
      </c>
      <c r="Z461" s="138">
        <f t="shared" si="70"/>
        <v>3</v>
      </c>
      <c r="AA461" s="138">
        <f t="shared" si="71"/>
        <v>1</v>
      </c>
      <c r="AB461" s="127" t="s">
        <v>32</v>
      </c>
      <c r="AC461" s="127"/>
      <c r="AD461" s="127"/>
      <c r="AE461" s="130"/>
      <c r="AF461" s="136">
        <v>10.84</v>
      </c>
      <c r="AG461" s="136">
        <v>11.33</v>
      </c>
      <c r="AH461" s="136">
        <v>30.63</v>
      </c>
      <c r="AI461" s="136">
        <v>5.99</v>
      </c>
      <c r="AJ461" s="136">
        <v>3.88</v>
      </c>
      <c r="AK461" s="136">
        <v>0.49</v>
      </c>
      <c r="AL461" s="136">
        <v>3.31</v>
      </c>
      <c r="AM461" s="136">
        <v>66.47</v>
      </c>
      <c r="AN461" s="131"/>
      <c r="AO461" s="131"/>
      <c r="AP461" s="131"/>
      <c r="AQ461" s="131"/>
      <c r="AR461" s="131"/>
      <c r="AS461" s="131"/>
      <c r="AT461" s="131"/>
      <c r="AU461" s="91"/>
      <c r="AV461" s="91"/>
      <c r="AW461" s="131"/>
      <c r="AX461" s="131"/>
      <c r="AY461" s="131"/>
    </row>
    <row r="462" spans="1:51" ht="15" x14ac:dyDescent="0.25">
      <c r="A462" s="123"/>
      <c r="B462" s="124"/>
      <c r="C462" s="125">
        <v>314960</v>
      </c>
      <c r="D462" s="89"/>
      <c r="E462" s="86" t="s">
        <v>12</v>
      </c>
      <c r="F462" s="86" t="s">
        <v>418</v>
      </c>
      <c r="H462" s="126" t="s">
        <v>51</v>
      </c>
      <c r="I462" s="89">
        <v>1</v>
      </c>
      <c r="J462" s="127">
        <v>39191.1299</v>
      </c>
      <c r="K462" s="127">
        <v>64750.12</v>
      </c>
      <c r="L462" s="127">
        <v>7730.71</v>
      </c>
      <c r="M462" s="127">
        <v>19165.129900000018</v>
      </c>
      <c r="N462" s="127">
        <v>54159.12000000001</v>
      </c>
      <c r="O462" s="127">
        <v>6863.71</v>
      </c>
      <c r="P462" s="128">
        <f t="shared" si="63"/>
        <v>0.48901702882518877</v>
      </c>
      <c r="Q462" s="128">
        <f t="shared" si="64"/>
        <v>0.83643273556867548</v>
      </c>
      <c r="R462" s="128">
        <f t="shared" si="65"/>
        <v>0.88784988700908452</v>
      </c>
      <c r="S462" s="129">
        <v>1</v>
      </c>
      <c r="T462" s="129">
        <v>1</v>
      </c>
      <c r="U462" s="129">
        <v>1</v>
      </c>
      <c r="V462" s="138">
        <f t="shared" si="66"/>
        <v>3</v>
      </c>
      <c r="W462" s="138">
        <f t="shared" si="67"/>
        <v>3</v>
      </c>
      <c r="X462" s="138">
        <f t="shared" si="68"/>
        <v>1</v>
      </c>
      <c r="Y462" s="138">
        <f t="shared" si="69"/>
        <v>3</v>
      </c>
      <c r="Z462" s="138">
        <f t="shared" si="70"/>
        <v>3</v>
      </c>
      <c r="AA462" s="138">
        <f t="shared" si="71"/>
        <v>1</v>
      </c>
      <c r="AB462" s="127" t="s">
        <v>32</v>
      </c>
      <c r="AC462" s="127"/>
      <c r="AD462" s="127"/>
      <c r="AE462" s="130"/>
      <c r="AF462" s="136">
        <v>10.84</v>
      </c>
      <c r="AG462" s="136">
        <v>11.33</v>
      </c>
      <c r="AH462" s="136">
        <v>30.63</v>
      </c>
      <c r="AI462" s="136">
        <v>5.99</v>
      </c>
      <c r="AJ462" s="136">
        <v>3.88</v>
      </c>
      <c r="AK462" s="136">
        <v>0.49</v>
      </c>
      <c r="AL462" s="136">
        <v>3.31</v>
      </c>
      <c r="AM462" s="136">
        <v>66.47</v>
      </c>
      <c r="AN462" s="131"/>
      <c r="AO462" s="131"/>
      <c r="AP462" s="131"/>
      <c r="AQ462" s="131"/>
      <c r="AR462" s="131"/>
      <c r="AS462" s="131"/>
      <c r="AT462" s="131"/>
      <c r="AU462" s="91"/>
      <c r="AV462" s="91"/>
      <c r="AW462" s="131"/>
      <c r="AX462" s="131"/>
      <c r="AY462" s="131"/>
    </row>
    <row r="463" spans="1:51" ht="15" x14ac:dyDescent="0.25">
      <c r="A463" s="123"/>
      <c r="B463" s="124"/>
      <c r="C463" s="125">
        <v>336788</v>
      </c>
      <c r="D463" s="89"/>
      <c r="E463" s="86" t="s">
        <v>12</v>
      </c>
      <c r="F463" s="86" t="s">
        <v>418</v>
      </c>
      <c r="H463" s="126" t="s">
        <v>51</v>
      </c>
      <c r="I463" s="89">
        <v>1</v>
      </c>
      <c r="J463" s="127">
        <v>39191.1299</v>
      </c>
      <c r="K463" s="127">
        <v>64750.12</v>
      </c>
      <c r="L463" s="127">
        <v>7730.71</v>
      </c>
      <c r="M463" s="127">
        <v>19165.129900000018</v>
      </c>
      <c r="N463" s="127">
        <v>54159.12000000001</v>
      </c>
      <c r="O463" s="127">
        <v>6863.71</v>
      </c>
      <c r="P463" s="128">
        <f t="shared" si="63"/>
        <v>0.48901702882518877</v>
      </c>
      <c r="Q463" s="128">
        <f t="shared" si="64"/>
        <v>0.83643273556867548</v>
      </c>
      <c r="R463" s="128">
        <f t="shared" si="65"/>
        <v>0.88784988700908452</v>
      </c>
      <c r="S463" s="129">
        <v>1</v>
      </c>
      <c r="T463" s="129">
        <v>1</v>
      </c>
      <c r="U463" s="129">
        <v>1</v>
      </c>
      <c r="V463" s="138">
        <f t="shared" si="66"/>
        <v>3</v>
      </c>
      <c r="W463" s="138">
        <f t="shared" si="67"/>
        <v>3</v>
      </c>
      <c r="X463" s="138">
        <f t="shared" si="68"/>
        <v>1</v>
      </c>
      <c r="Y463" s="138">
        <f t="shared" si="69"/>
        <v>3</v>
      </c>
      <c r="Z463" s="138">
        <f t="shared" si="70"/>
        <v>3</v>
      </c>
      <c r="AA463" s="138">
        <f t="shared" si="71"/>
        <v>1</v>
      </c>
      <c r="AB463" s="127" t="s">
        <v>32</v>
      </c>
      <c r="AC463" s="127"/>
      <c r="AD463" s="127"/>
      <c r="AE463" s="130"/>
      <c r="AF463" s="136">
        <v>10.84</v>
      </c>
      <c r="AG463" s="136">
        <v>11.33</v>
      </c>
      <c r="AH463" s="136">
        <v>30.63</v>
      </c>
      <c r="AI463" s="136">
        <v>5.99</v>
      </c>
      <c r="AJ463" s="136">
        <v>3.88</v>
      </c>
      <c r="AK463" s="136">
        <v>0.49</v>
      </c>
      <c r="AL463" s="136">
        <v>3.31</v>
      </c>
      <c r="AM463" s="136">
        <v>66.47</v>
      </c>
      <c r="AN463" s="131"/>
      <c r="AO463" s="131"/>
      <c r="AP463" s="131"/>
      <c r="AQ463" s="131"/>
      <c r="AR463" s="131"/>
      <c r="AS463" s="131"/>
      <c r="AT463" s="131"/>
      <c r="AU463" s="91"/>
      <c r="AV463" s="91"/>
      <c r="AW463" s="131"/>
      <c r="AX463" s="131"/>
      <c r="AY463" s="131"/>
    </row>
    <row r="464" spans="1:51" ht="15" x14ac:dyDescent="0.25">
      <c r="A464" s="123"/>
      <c r="B464" s="124"/>
      <c r="C464" s="125">
        <v>370492</v>
      </c>
      <c r="D464" s="89"/>
      <c r="E464" s="86" t="s">
        <v>12</v>
      </c>
      <c r="F464" s="86" t="s">
        <v>418</v>
      </c>
      <c r="H464" s="126" t="s">
        <v>51</v>
      </c>
      <c r="I464" s="89">
        <v>1</v>
      </c>
      <c r="J464" s="127">
        <v>39191.1299</v>
      </c>
      <c r="K464" s="127">
        <v>64750.12</v>
      </c>
      <c r="L464" s="127">
        <v>7730.71</v>
      </c>
      <c r="M464" s="127">
        <v>19165.129900000018</v>
      </c>
      <c r="N464" s="127">
        <v>54159.12000000001</v>
      </c>
      <c r="O464" s="127">
        <v>6863.71</v>
      </c>
      <c r="P464" s="128">
        <f t="shared" si="63"/>
        <v>0.48901702882518877</v>
      </c>
      <c r="Q464" s="128">
        <f t="shared" si="64"/>
        <v>0.83643273556867548</v>
      </c>
      <c r="R464" s="128">
        <f t="shared" si="65"/>
        <v>0.88784988700908452</v>
      </c>
      <c r="S464" s="129">
        <v>1</v>
      </c>
      <c r="T464" s="129">
        <v>1</v>
      </c>
      <c r="U464" s="129">
        <v>1</v>
      </c>
      <c r="V464" s="138">
        <f t="shared" si="66"/>
        <v>3</v>
      </c>
      <c r="W464" s="138">
        <f t="shared" si="67"/>
        <v>3</v>
      </c>
      <c r="X464" s="138">
        <f t="shared" si="68"/>
        <v>1</v>
      </c>
      <c r="Y464" s="138">
        <f t="shared" si="69"/>
        <v>3</v>
      </c>
      <c r="Z464" s="138">
        <f t="shared" si="70"/>
        <v>3</v>
      </c>
      <c r="AA464" s="138">
        <f t="shared" si="71"/>
        <v>1</v>
      </c>
      <c r="AB464" s="127" t="s">
        <v>32</v>
      </c>
      <c r="AC464" s="127"/>
      <c r="AD464" s="127"/>
      <c r="AE464" s="130"/>
      <c r="AF464" s="136">
        <v>10.84</v>
      </c>
      <c r="AG464" s="136">
        <v>11.33</v>
      </c>
      <c r="AH464" s="136">
        <v>30.63</v>
      </c>
      <c r="AI464" s="136">
        <v>5.99</v>
      </c>
      <c r="AJ464" s="136">
        <v>3.88</v>
      </c>
      <c r="AK464" s="136">
        <v>0.49</v>
      </c>
      <c r="AL464" s="136">
        <v>3.31</v>
      </c>
      <c r="AM464" s="136">
        <v>66.47</v>
      </c>
      <c r="AN464" s="131"/>
      <c r="AO464" s="131"/>
      <c r="AP464" s="131"/>
      <c r="AQ464" s="131"/>
      <c r="AR464" s="131"/>
      <c r="AS464" s="131"/>
      <c r="AT464" s="131"/>
      <c r="AU464" s="91"/>
      <c r="AV464" s="91"/>
      <c r="AW464" s="131"/>
      <c r="AX464" s="131"/>
      <c r="AY464" s="131"/>
    </row>
    <row r="465" spans="1:51" ht="15" x14ac:dyDescent="0.25">
      <c r="A465" s="123"/>
      <c r="B465" s="124"/>
      <c r="C465" s="125">
        <v>371855</v>
      </c>
      <c r="D465" s="89"/>
      <c r="E465" s="86" t="s">
        <v>12</v>
      </c>
      <c r="F465" s="86" t="s">
        <v>418</v>
      </c>
      <c r="H465" s="126" t="s">
        <v>51</v>
      </c>
      <c r="I465" s="89">
        <v>1</v>
      </c>
      <c r="J465" s="127">
        <v>39191.1299</v>
      </c>
      <c r="K465" s="127">
        <v>64750.12</v>
      </c>
      <c r="L465" s="127">
        <v>7730.71</v>
      </c>
      <c r="M465" s="127">
        <v>19165.129900000018</v>
      </c>
      <c r="N465" s="127">
        <v>54159.12000000001</v>
      </c>
      <c r="O465" s="127">
        <v>6863.71</v>
      </c>
      <c r="P465" s="128">
        <f t="shared" si="63"/>
        <v>0.48901702882518877</v>
      </c>
      <c r="Q465" s="128">
        <f t="shared" si="64"/>
        <v>0.83643273556867548</v>
      </c>
      <c r="R465" s="128">
        <f t="shared" si="65"/>
        <v>0.88784988700908452</v>
      </c>
      <c r="S465" s="129">
        <v>1</v>
      </c>
      <c r="T465" s="129">
        <v>1</v>
      </c>
      <c r="U465" s="129">
        <v>1</v>
      </c>
      <c r="V465" s="138">
        <f t="shared" si="66"/>
        <v>3</v>
      </c>
      <c r="W465" s="138">
        <f t="shared" si="67"/>
        <v>3</v>
      </c>
      <c r="X465" s="138">
        <f t="shared" si="68"/>
        <v>1</v>
      </c>
      <c r="Y465" s="138">
        <f t="shared" si="69"/>
        <v>3</v>
      </c>
      <c r="Z465" s="138">
        <f t="shared" si="70"/>
        <v>3</v>
      </c>
      <c r="AA465" s="138">
        <f t="shared" si="71"/>
        <v>1</v>
      </c>
      <c r="AB465" s="127" t="s">
        <v>32</v>
      </c>
      <c r="AC465" s="127"/>
      <c r="AD465" s="127"/>
      <c r="AE465" s="130"/>
      <c r="AF465" s="136">
        <v>10.84</v>
      </c>
      <c r="AG465" s="136">
        <v>11.33</v>
      </c>
      <c r="AH465" s="136">
        <v>30.63</v>
      </c>
      <c r="AI465" s="136">
        <v>5.99</v>
      </c>
      <c r="AJ465" s="136">
        <v>3.88</v>
      </c>
      <c r="AK465" s="136">
        <v>0.49</v>
      </c>
      <c r="AL465" s="136">
        <v>3.31</v>
      </c>
      <c r="AM465" s="136">
        <v>66.47</v>
      </c>
      <c r="AN465" s="131"/>
      <c r="AO465" s="131"/>
      <c r="AP465" s="131"/>
      <c r="AQ465" s="131"/>
      <c r="AR465" s="131"/>
      <c r="AS465" s="131"/>
      <c r="AT465" s="131"/>
      <c r="AU465" s="91"/>
      <c r="AV465" s="91"/>
      <c r="AW465" s="131"/>
      <c r="AX465" s="131"/>
      <c r="AY465" s="131"/>
    </row>
    <row r="466" spans="1:51" ht="15" x14ac:dyDescent="0.25">
      <c r="A466" s="123"/>
      <c r="B466" s="124"/>
      <c r="C466" s="125">
        <v>394137</v>
      </c>
      <c r="D466" s="89"/>
      <c r="E466" s="86" t="s">
        <v>12</v>
      </c>
      <c r="F466" s="86" t="s">
        <v>418</v>
      </c>
      <c r="H466" s="126" t="s">
        <v>51</v>
      </c>
      <c r="I466" s="89">
        <v>1</v>
      </c>
      <c r="J466" s="127">
        <v>39191.1299</v>
      </c>
      <c r="K466" s="127">
        <v>64750.12</v>
      </c>
      <c r="L466" s="127">
        <v>7730.71</v>
      </c>
      <c r="M466" s="127">
        <v>19165.129900000018</v>
      </c>
      <c r="N466" s="127">
        <v>54159.12000000001</v>
      </c>
      <c r="O466" s="127">
        <v>6863.71</v>
      </c>
      <c r="P466" s="128">
        <f t="shared" si="63"/>
        <v>0.48901702882518877</v>
      </c>
      <c r="Q466" s="128">
        <f t="shared" si="64"/>
        <v>0.83643273556867548</v>
      </c>
      <c r="R466" s="128">
        <f t="shared" si="65"/>
        <v>0.88784988700908452</v>
      </c>
      <c r="S466" s="129">
        <v>1</v>
      </c>
      <c r="T466" s="129">
        <v>1</v>
      </c>
      <c r="U466" s="129">
        <v>1</v>
      </c>
      <c r="V466" s="138">
        <f t="shared" si="66"/>
        <v>3</v>
      </c>
      <c r="W466" s="138">
        <f t="shared" si="67"/>
        <v>3</v>
      </c>
      <c r="X466" s="138">
        <f t="shared" si="68"/>
        <v>1</v>
      </c>
      <c r="Y466" s="138">
        <f t="shared" si="69"/>
        <v>3</v>
      </c>
      <c r="Z466" s="138">
        <f t="shared" si="70"/>
        <v>3</v>
      </c>
      <c r="AA466" s="138">
        <f t="shared" si="71"/>
        <v>1</v>
      </c>
      <c r="AB466" s="127" t="s">
        <v>32</v>
      </c>
      <c r="AC466" s="127"/>
      <c r="AD466" s="127"/>
      <c r="AE466" s="130"/>
      <c r="AF466" s="136">
        <v>10.84</v>
      </c>
      <c r="AG466" s="136">
        <v>11.33</v>
      </c>
      <c r="AH466" s="136">
        <v>30.63</v>
      </c>
      <c r="AI466" s="136">
        <v>5.99</v>
      </c>
      <c r="AJ466" s="136">
        <v>3.88</v>
      </c>
      <c r="AK466" s="136">
        <v>0.49</v>
      </c>
      <c r="AL466" s="136">
        <v>3.31</v>
      </c>
      <c r="AM466" s="136">
        <v>66.47</v>
      </c>
      <c r="AN466" s="131"/>
      <c r="AO466" s="131"/>
      <c r="AP466" s="131"/>
      <c r="AQ466" s="131"/>
      <c r="AR466" s="131"/>
      <c r="AS466" s="131"/>
      <c r="AT466" s="131"/>
      <c r="AU466" s="91"/>
      <c r="AV466" s="91"/>
      <c r="AW466" s="131"/>
      <c r="AX466" s="131"/>
      <c r="AY466" s="131"/>
    </row>
    <row r="467" spans="1:51" ht="15" x14ac:dyDescent="0.25">
      <c r="A467" s="123"/>
      <c r="B467" s="124"/>
      <c r="C467" s="125">
        <v>449168</v>
      </c>
      <c r="D467" s="89"/>
      <c r="E467" s="86" t="s">
        <v>12</v>
      </c>
      <c r="F467" s="86" t="s">
        <v>418</v>
      </c>
      <c r="H467" s="126" t="s">
        <v>51</v>
      </c>
      <c r="I467" s="89">
        <v>1</v>
      </c>
      <c r="J467" s="127">
        <v>39191.1299</v>
      </c>
      <c r="K467" s="127">
        <v>64750.12</v>
      </c>
      <c r="L467" s="127">
        <v>7730.71</v>
      </c>
      <c r="M467" s="127">
        <v>19165.129900000018</v>
      </c>
      <c r="N467" s="127">
        <v>54159.12000000001</v>
      </c>
      <c r="O467" s="127">
        <v>6863.71</v>
      </c>
      <c r="P467" s="128">
        <f t="shared" si="63"/>
        <v>0.48901702882518877</v>
      </c>
      <c r="Q467" s="128">
        <f t="shared" si="64"/>
        <v>0.83643273556867548</v>
      </c>
      <c r="R467" s="128">
        <f t="shared" si="65"/>
        <v>0.88784988700908452</v>
      </c>
      <c r="S467" s="129">
        <v>1</v>
      </c>
      <c r="T467" s="129">
        <v>1</v>
      </c>
      <c r="U467" s="129">
        <v>1</v>
      </c>
      <c r="V467" s="138">
        <f t="shared" si="66"/>
        <v>3</v>
      </c>
      <c r="W467" s="138">
        <f t="shared" si="67"/>
        <v>3</v>
      </c>
      <c r="X467" s="138">
        <f t="shared" si="68"/>
        <v>1</v>
      </c>
      <c r="Y467" s="138">
        <f t="shared" si="69"/>
        <v>3</v>
      </c>
      <c r="Z467" s="138">
        <f t="shared" si="70"/>
        <v>3</v>
      </c>
      <c r="AA467" s="138">
        <f t="shared" si="71"/>
        <v>1</v>
      </c>
      <c r="AB467" s="127" t="s">
        <v>32</v>
      </c>
      <c r="AC467" s="127"/>
      <c r="AD467" s="127"/>
      <c r="AE467" s="130"/>
      <c r="AF467" s="136">
        <v>10.84</v>
      </c>
      <c r="AG467" s="136">
        <v>11.33</v>
      </c>
      <c r="AH467" s="136">
        <v>30.63</v>
      </c>
      <c r="AI467" s="136">
        <v>5.99</v>
      </c>
      <c r="AJ467" s="136">
        <v>3.88</v>
      </c>
      <c r="AK467" s="136">
        <v>0.49</v>
      </c>
      <c r="AL467" s="136">
        <v>3.31</v>
      </c>
      <c r="AM467" s="136">
        <v>66.47</v>
      </c>
      <c r="AN467" s="131"/>
      <c r="AO467" s="131"/>
      <c r="AP467" s="131"/>
      <c r="AQ467" s="131"/>
      <c r="AR467" s="131"/>
      <c r="AS467" s="131"/>
      <c r="AT467" s="131"/>
      <c r="AU467" s="91"/>
      <c r="AV467" s="91"/>
      <c r="AW467" s="131"/>
      <c r="AX467" s="131"/>
      <c r="AY467" s="131"/>
    </row>
    <row r="468" spans="1:51" ht="15" x14ac:dyDescent="0.25">
      <c r="A468" s="123"/>
      <c r="B468" s="124"/>
      <c r="C468" s="125">
        <v>485099</v>
      </c>
      <c r="D468" s="89"/>
      <c r="E468" s="86" t="s">
        <v>12</v>
      </c>
      <c r="F468" s="86" t="s">
        <v>418</v>
      </c>
      <c r="H468" s="126" t="s">
        <v>51</v>
      </c>
      <c r="I468" s="89">
        <v>1</v>
      </c>
      <c r="J468" s="127">
        <v>39191.1299</v>
      </c>
      <c r="K468" s="127">
        <v>64750.12</v>
      </c>
      <c r="L468" s="127">
        <v>7730.71</v>
      </c>
      <c r="M468" s="127">
        <v>19165.129900000018</v>
      </c>
      <c r="N468" s="127">
        <v>54159.12000000001</v>
      </c>
      <c r="O468" s="127">
        <v>6863.71</v>
      </c>
      <c r="P468" s="128">
        <f t="shared" si="63"/>
        <v>0.48901702882518877</v>
      </c>
      <c r="Q468" s="128">
        <f t="shared" si="64"/>
        <v>0.83643273556867548</v>
      </c>
      <c r="R468" s="128">
        <f t="shared" si="65"/>
        <v>0.88784988700908452</v>
      </c>
      <c r="S468" s="129">
        <v>1</v>
      </c>
      <c r="T468" s="129">
        <v>1</v>
      </c>
      <c r="U468" s="129">
        <v>1</v>
      </c>
      <c r="V468" s="138">
        <f t="shared" si="66"/>
        <v>3</v>
      </c>
      <c r="W468" s="138">
        <f t="shared" si="67"/>
        <v>3</v>
      </c>
      <c r="X468" s="138">
        <f t="shared" si="68"/>
        <v>1</v>
      </c>
      <c r="Y468" s="138">
        <f t="shared" si="69"/>
        <v>3</v>
      </c>
      <c r="Z468" s="138">
        <f t="shared" si="70"/>
        <v>3</v>
      </c>
      <c r="AA468" s="138">
        <f t="shared" si="71"/>
        <v>1</v>
      </c>
      <c r="AB468" s="127" t="s">
        <v>32</v>
      </c>
      <c r="AC468" s="127"/>
      <c r="AD468" s="127"/>
      <c r="AE468" s="130"/>
      <c r="AF468" s="136">
        <v>10.84</v>
      </c>
      <c r="AG468" s="136">
        <v>11.33</v>
      </c>
      <c r="AH468" s="136">
        <v>30.63</v>
      </c>
      <c r="AI468" s="136">
        <v>5.99</v>
      </c>
      <c r="AJ468" s="136">
        <v>3.88</v>
      </c>
      <c r="AK468" s="136">
        <v>0.49</v>
      </c>
      <c r="AL468" s="136">
        <v>3.31</v>
      </c>
      <c r="AM468" s="136">
        <v>66.47</v>
      </c>
      <c r="AN468" s="131"/>
      <c r="AO468" s="131"/>
      <c r="AP468" s="131"/>
      <c r="AQ468" s="131"/>
      <c r="AR468" s="131"/>
      <c r="AS468" s="131"/>
      <c r="AT468" s="131"/>
      <c r="AU468" s="91"/>
      <c r="AV468" s="91"/>
      <c r="AW468" s="131"/>
      <c r="AX468" s="131"/>
      <c r="AY468" s="131"/>
    </row>
    <row r="469" spans="1:51" ht="15" x14ac:dyDescent="0.25">
      <c r="A469" s="123"/>
      <c r="B469" s="124"/>
      <c r="C469" s="125">
        <v>504132</v>
      </c>
      <c r="D469" s="89"/>
      <c r="E469" s="86" t="s">
        <v>12</v>
      </c>
      <c r="F469" s="86" t="s">
        <v>418</v>
      </c>
      <c r="H469" s="126" t="s">
        <v>51</v>
      </c>
      <c r="I469" s="89">
        <v>1</v>
      </c>
      <c r="J469" s="127">
        <v>39191.1299</v>
      </c>
      <c r="K469" s="127">
        <v>64750.12</v>
      </c>
      <c r="L469" s="127">
        <v>7730.71</v>
      </c>
      <c r="M469" s="127">
        <v>19165.129900000018</v>
      </c>
      <c r="N469" s="127">
        <v>54159.12000000001</v>
      </c>
      <c r="O469" s="127">
        <v>6863.71</v>
      </c>
      <c r="P469" s="128">
        <f t="shared" si="63"/>
        <v>0.48901702882518877</v>
      </c>
      <c r="Q469" s="128">
        <f t="shared" si="64"/>
        <v>0.83643273556867548</v>
      </c>
      <c r="R469" s="128">
        <f t="shared" si="65"/>
        <v>0.88784988700908452</v>
      </c>
      <c r="S469" s="129">
        <v>1</v>
      </c>
      <c r="T469" s="129">
        <v>1</v>
      </c>
      <c r="U469" s="129">
        <v>1</v>
      </c>
      <c r="V469" s="138">
        <f t="shared" si="66"/>
        <v>3</v>
      </c>
      <c r="W469" s="138">
        <f t="shared" si="67"/>
        <v>3</v>
      </c>
      <c r="X469" s="138">
        <f t="shared" si="68"/>
        <v>1</v>
      </c>
      <c r="Y469" s="138">
        <f t="shared" si="69"/>
        <v>3</v>
      </c>
      <c r="Z469" s="138">
        <f t="shared" si="70"/>
        <v>3</v>
      </c>
      <c r="AA469" s="138">
        <f t="shared" si="71"/>
        <v>1</v>
      </c>
      <c r="AB469" s="127" t="s">
        <v>32</v>
      </c>
      <c r="AC469" s="127"/>
      <c r="AD469" s="127"/>
      <c r="AE469" s="130"/>
      <c r="AF469" s="136">
        <v>10.84</v>
      </c>
      <c r="AG469" s="136">
        <v>11.33</v>
      </c>
      <c r="AH469" s="136">
        <v>30.63</v>
      </c>
      <c r="AI469" s="136">
        <v>5.99</v>
      </c>
      <c r="AJ469" s="136">
        <v>3.88</v>
      </c>
      <c r="AK469" s="136">
        <v>0.49</v>
      </c>
      <c r="AL469" s="136">
        <v>3.31</v>
      </c>
      <c r="AM469" s="136">
        <v>66.47</v>
      </c>
      <c r="AN469" s="131"/>
      <c r="AO469" s="131"/>
      <c r="AP469" s="131"/>
      <c r="AQ469" s="131"/>
      <c r="AR469" s="131"/>
      <c r="AS469" s="131"/>
      <c r="AT469" s="131"/>
      <c r="AU469" s="91"/>
      <c r="AV469" s="91"/>
      <c r="AW469" s="131"/>
      <c r="AX469" s="131"/>
      <c r="AY469" s="131"/>
    </row>
    <row r="470" spans="1:51" ht="15" x14ac:dyDescent="0.25">
      <c r="A470" s="123"/>
      <c r="B470" s="124"/>
      <c r="C470" s="125">
        <v>525882</v>
      </c>
      <c r="D470" s="89"/>
      <c r="E470" s="86" t="s">
        <v>12</v>
      </c>
      <c r="F470" s="86" t="s">
        <v>418</v>
      </c>
      <c r="H470" s="126" t="s">
        <v>51</v>
      </c>
      <c r="I470" s="89">
        <v>1</v>
      </c>
      <c r="J470" s="127">
        <v>39191.1299</v>
      </c>
      <c r="K470" s="127">
        <v>64750.12</v>
      </c>
      <c r="L470" s="127">
        <v>7730.71</v>
      </c>
      <c r="M470" s="127">
        <v>19165.129900000018</v>
      </c>
      <c r="N470" s="127">
        <v>54159.12000000001</v>
      </c>
      <c r="O470" s="127">
        <v>6863.71</v>
      </c>
      <c r="P470" s="128">
        <f t="shared" si="63"/>
        <v>0.48901702882518877</v>
      </c>
      <c r="Q470" s="128">
        <f t="shared" si="64"/>
        <v>0.83643273556867548</v>
      </c>
      <c r="R470" s="128">
        <f t="shared" si="65"/>
        <v>0.88784988700908452</v>
      </c>
      <c r="S470" s="129">
        <v>1</v>
      </c>
      <c r="T470" s="129">
        <v>1</v>
      </c>
      <c r="U470" s="129">
        <v>1</v>
      </c>
      <c r="V470" s="138">
        <f t="shared" si="66"/>
        <v>3</v>
      </c>
      <c r="W470" s="138">
        <f t="shared" si="67"/>
        <v>3</v>
      </c>
      <c r="X470" s="138">
        <f t="shared" si="68"/>
        <v>1</v>
      </c>
      <c r="Y470" s="138">
        <f t="shared" si="69"/>
        <v>3</v>
      </c>
      <c r="Z470" s="138">
        <f t="shared" si="70"/>
        <v>3</v>
      </c>
      <c r="AA470" s="138">
        <f t="shared" si="71"/>
        <v>1</v>
      </c>
      <c r="AB470" s="127" t="s">
        <v>32</v>
      </c>
      <c r="AC470" s="127"/>
      <c r="AD470" s="127"/>
      <c r="AE470" s="130"/>
      <c r="AF470" s="136">
        <v>10.84</v>
      </c>
      <c r="AG470" s="136">
        <v>11.33</v>
      </c>
      <c r="AH470" s="136">
        <v>30.63</v>
      </c>
      <c r="AI470" s="136">
        <v>5.99</v>
      </c>
      <c r="AJ470" s="136">
        <v>3.88</v>
      </c>
      <c r="AK470" s="136">
        <v>0.49</v>
      </c>
      <c r="AL470" s="136">
        <v>3.31</v>
      </c>
      <c r="AM470" s="136">
        <v>66.47</v>
      </c>
      <c r="AN470" s="131"/>
      <c r="AO470" s="131"/>
      <c r="AP470" s="131"/>
      <c r="AQ470" s="131"/>
      <c r="AR470" s="131"/>
      <c r="AS470" s="131"/>
      <c r="AT470" s="131"/>
      <c r="AU470" s="91"/>
      <c r="AV470" s="91"/>
      <c r="AW470" s="131"/>
      <c r="AX470" s="131"/>
      <c r="AY470" s="131"/>
    </row>
    <row r="471" spans="1:51" ht="15" x14ac:dyDescent="0.25">
      <c r="A471" s="123"/>
      <c r="B471" s="124"/>
      <c r="C471" s="125">
        <v>531506</v>
      </c>
      <c r="D471" s="89"/>
      <c r="E471" s="86" t="s">
        <v>12</v>
      </c>
      <c r="F471" s="86" t="s">
        <v>418</v>
      </c>
      <c r="H471" s="126" t="s">
        <v>51</v>
      </c>
      <c r="I471" s="89">
        <v>1</v>
      </c>
      <c r="J471" s="127">
        <v>39191.1299</v>
      </c>
      <c r="K471" s="127">
        <v>64750.12</v>
      </c>
      <c r="L471" s="127">
        <v>7730.71</v>
      </c>
      <c r="M471" s="127">
        <v>19165.129900000018</v>
      </c>
      <c r="N471" s="127">
        <v>54159.12000000001</v>
      </c>
      <c r="O471" s="127">
        <v>6863.71</v>
      </c>
      <c r="P471" s="128">
        <f t="shared" si="63"/>
        <v>0.48901702882518877</v>
      </c>
      <c r="Q471" s="128">
        <f t="shared" si="64"/>
        <v>0.83643273556867548</v>
      </c>
      <c r="R471" s="128">
        <f t="shared" si="65"/>
        <v>0.88784988700908452</v>
      </c>
      <c r="S471" s="129">
        <v>1</v>
      </c>
      <c r="T471" s="129">
        <v>1</v>
      </c>
      <c r="U471" s="129">
        <v>1</v>
      </c>
      <c r="V471" s="138">
        <f t="shared" si="66"/>
        <v>3</v>
      </c>
      <c r="W471" s="138">
        <f t="shared" si="67"/>
        <v>3</v>
      </c>
      <c r="X471" s="138">
        <f t="shared" si="68"/>
        <v>1</v>
      </c>
      <c r="Y471" s="138">
        <f t="shared" si="69"/>
        <v>3</v>
      </c>
      <c r="Z471" s="138">
        <f t="shared" si="70"/>
        <v>3</v>
      </c>
      <c r="AA471" s="138">
        <f t="shared" si="71"/>
        <v>1</v>
      </c>
      <c r="AB471" s="127" t="s">
        <v>32</v>
      </c>
      <c r="AC471" s="127"/>
      <c r="AD471" s="127"/>
      <c r="AE471" s="130"/>
      <c r="AF471" s="136">
        <v>10.84</v>
      </c>
      <c r="AG471" s="136">
        <v>11.33</v>
      </c>
      <c r="AH471" s="136">
        <v>30.63</v>
      </c>
      <c r="AI471" s="136">
        <v>5.99</v>
      </c>
      <c r="AJ471" s="136">
        <v>3.88</v>
      </c>
      <c r="AK471" s="136">
        <v>0.49</v>
      </c>
      <c r="AL471" s="136">
        <v>3.31</v>
      </c>
      <c r="AM471" s="136">
        <v>66.47</v>
      </c>
      <c r="AN471" s="131"/>
      <c r="AO471" s="131"/>
      <c r="AP471" s="131"/>
      <c r="AQ471" s="131"/>
      <c r="AR471" s="131"/>
      <c r="AS471" s="131"/>
      <c r="AT471" s="131"/>
      <c r="AU471" s="91"/>
      <c r="AV471" s="91"/>
      <c r="AW471" s="131"/>
      <c r="AX471" s="131"/>
      <c r="AY471" s="131"/>
    </row>
    <row r="472" spans="1:51" ht="15" x14ac:dyDescent="0.25">
      <c r="A472" s="123"/>
      <c r="B472" s="124"/>
      <c r="C472" s="125">
        <v>594495</v>
      </c>
      <c r="D472" s="89"/>
      <c r="E472" s="86" t="s">
        <v>12</v>
      </c>
      <c r="F472" s="86" t="s">
        <v>418</v>
      </c>
      <c r="H472" s="126" t="s">
        <v>51</v>
      </c>
      <c r="I472" s="89">
        <v>1</v>
      </c>
      <c r="J472" s="127">
        <v>39191.1299</v>
      </c>
      <c r="K472" s="127">
        <v>64750.12</v>
      </c>
      <c r="L472" s="127">
        <v>7730.71</v>
      </c>
      <c r="M472" s="127">
        <v>19165.129900000018</v>
      </c>
      <c r="N472" s="127">
        <v>54159.12000000001</v>
      </c>
      <c r="O472" s="127">
        <v>6863.71</v>
      </c>
      <c r="P472" s="128">
        <f t="shared" si="63"/>
        <v>0.48901702882518877</v>
      </c>
      <c r="Q472" s="128">
        <f t="shared" si="64"/>
        <v>0.83643273556867548</v>
      </c>
      <c r="R472" s="128">
        <f t="shared" si="65"/>
        <v>0.88784988700908452</v>
      </c>
      <c r="S472" s="129">
        <v>1</v>
      </c>
      <c r="T472" s="129">
        <v>1</v>
      </c>
      <c r="U472" s="129">
        <v>1</v>
      </c>
      <c r="V472" s="138">
        <f t="shared" si="66"/>
        <v>3</v>
      </c>
      <c r="W472" s="138">
        <f t="shared" si="67"/>
        <v>3</v>
      </c>
      <c r="X472" s="138">
        <f t="shared" si="68"/>
        <v>1</v>
      </c>
      <c r="Y472" s="138">
        <f t="shared" si="69"/>
        <v>3</v>
      </c>
      <c r="Z472" s="138">
        <f t="shared" si="70"/>
        <v>3</v>
      </c>
      <c r="AA472" s="138">
        <f t="shared" si="71"/>
        <v>1</v>
      </c>
      <c r="AB472" s="127" t="s">
        <v>32</v>
      </c>
      <c r="AC472" s="127"/>
      <c r="AD472" s="127"/>
      <c r="AE472" s="130"/>
      <c r="AF472" s="136">
        <v>10.84</v>
      </c>
      <c r="AG472" s="136">
        <v>11.33</v>
      </c>
      <c r="AH472" s="136">
        <v>30.63</v>
      </c>
      <c r="AI472" s="136">
        <v>5.99</v>
      </c>
      <c r="AJ472" s="136">
        <v>3.88</v>
      </c>
      <c r="AK472" s="136">
        <v>0.49</v>
      </c>
      <c r="AL472" s="136">
        <v>3.31</v>
      </c>
      <c r="AM472" s="136">
        <v>66.47</v>
      </c>
      <c r="AN472" s="131"/>
      <c r="AO472" s="131"/>
      <c r="AP472" s="131"/>
      <c r="AQ472" s="131"/>
      <c r="AR472" s="131"/>
      <c r="AS472" s="131"/>
      <c r="AT472" s="131"/>
      <c r="AU472" s="91"/>
      <c r="AV472" s="91"/>
      <c r="AW472" s="131"/>
      <c r="AX472" s="131"/>
      <c r="AY472" s="131"/>
    </row>
    <row r="473" spans="1:51" ht="15" x14ac:dyDescent="0.25">
      <c r="A473" s="123"/>
      <c r="B473" s="124"/>
      <c r="C473" s="125">
        <v>605875</v>
      </c>
      <c r="D473" s="89"/>
      <c r="E473" s="86" t="s">
        <v>12</v>
      </c>
      <c r="F473" s="86" t="s">
        <v>418</v>
      </c>
      <c r="H473" s="126" t="s">
        <v>51</v>
      </c>
      <c r="I473" s="89">
        <v>1</v>
      </c>
      <c r="J473" s="127">
        <v>39191.1299</v>
      </c>
      <c r="K473" s="127">
        <v>64750.12</v>
      </c>
      <c r="L473" s="127">
        <v>7730.71</v>
      </c>
      <c r="M473" s="127">
        <v>19165.129900000018</v>
      </c>
      <c r="N473" s="127">
        <v>54159.12000000001</v>
      </c>
      <c r="O473" s="127">
        <v>6863.71</v>
      </c>
      <c r="P473" s="128">
        <f t="shared" si="63"/>
        <v>0.48901702882518877</v>
      </c>
      <c r="Q473" s="128">
        <f t="shared" si="64"/>
        <v>0.83643273556867548</v>
      </c>
      <c r="R473" s="128">
        <f t="shared" si="65"/>
        <v>0.88784988700908452</v>
      </c>
      <c r="S473" s="129">
        <v>1</v>
      </c>
      <c r="T473" s="129">
        <v>1</v>
      </c>
      <c r="U473" s="129">
        <v>1</v>
      </c>
      <c r="V473" s="138">
        <f t="shared" si="66"/>
        <v>3</v>
      </c>
      <c r="W473" s="138">
        <f t="shared" si="67"/>
        <v>3</v>
      </c>
      <c r="X473" s="138">
        <f t="shared" si="68"/>
        <v>1</v>
      </c>
      <c r="Y473" s="138">
        <f t="shared" si="69"/>
        <v>3</v>
      </c>
      <c r="Z473" s="138">
        <f t="shared" si="70"/>
        <v>3</v>
      </c>
      <c r="AA473" s="138">
        <f t="shared" si="71"/>
        <v>1</v>
      </c>
      <c r="AB473" s="127" t="s">
        <v>32</v>
      </c>
      <c r="AC473" s="127"/>
      <c r="AD473" s="127"/>
      <c r="AE473" s="130"/>
      <c r="AF473" s="136">
        <v>10.84</v>
      </c>
      <c r="AG473" s="136">
        <v>11.33</v>
      </c>
      <c r="AH473" s="136">
        <v>30.63</v>
      </c>
      <c r="AI473" s="136">
        <v>5.99</v>
      </c>
      <c r="AJ473" s="136">
        <v>3.88</v>
      </c>
      <c r="AK473" s="136">
        <v>0.49</v>
      </c>
      <c r="AL473" s="136">
        <v>3.31</v>
      </c>
      <c r="AM473" s="136">
        <v>66.47</v>
      </c>
      <c r="AN473" s="131"/>
      <c r="AO473" s="131"/>
      <c r="AP473" s="131"/>
      <c r="AQ473" s="131"/>
      <c r="AR473" s="131"/>
      <c r="AS473" s="131"/>
      <c r="AT473" s="131"/>
      <c r="AU473" s="91"/>
      <c r="AV473" s="91"/>
      <c r="AW473" s="131"/>
      <c r="AX473" s="131"/>
      <c r="AY473" s="131"/>
    </row>
    <row r="474" spans="1:51" ht="15" x14ac:dyDescent="0.25">
      <c r="A474" s="123"/>
      <c r="B474" s="124"/>
      <c r="C474" s="125">
        <v>611160</v>
      </c>
      <c r="D474" s="89"/>
      <c r="E474" s="86" t="s">
        <v>12</v>
      </c>
      <c r="F474" s="86" t="s">
        <v>418</v>
      </c>
      <c r="H474" s="126" t="s">
        <v>51</v>
      </c>
      <c r="I474" s="89">
        <v>1</v>
      </c>
      <c r="J474" s="127">
        <v>39191.1299</v>
      </c>
      <c r="K474" s="127">
        <v>64750.12</v>
      </c>
      <c r="L474" s="127">
        <v>7730.71</v>
      </c>
      <c r="M474" s="127">
        <v>19165.129900000018</v>
      </c>
      <c r="N474" s="127">
        <v>54159.12000000001</v>
      </c>
      <c r="O474" s="127">
        <v>6863.71</v>
      </c>
      <c r="P474" s="128">
        <f t="shared" si="63"/>
        <v>0.48901702882518877</v>
      </c>
      <c r="Q474" s="128">
        <f t="shared" si="64"/>
        <v>0.83643273556867548</v>
      </c>
      <c r="R474" s="128">
        <f t="shared" si="65"/>
        <v>0.88784988700908452</v>
      </c>
      <c r="S474" s="129">
        <v>1</v>
      </c>
      <c r="T474" s="129">
        <v>1</v>
      </c>
      <c r="U474" s="129">
        <v>1</v>
      </c>
      <c r="V474" s="138">
        <f t="shared" si="66"/>
        <v>3</v>
      </c>
      <c r="W474" s="138">
        <f t="shared" si="67"/>
        <v>3</v>
      </c>
      <c r="X474" s="138">
        <f t="shared" si="68"/>
        <v>1</v>
      </c>
      <c r="Y474" s="138">
        <f t="shared" si="69"/>
        <v>3</v>
      </c>
      <c r="Z474" s="138">
        <f t="shared" si="70"/>
        <v>3</v>
      </c>
      <c r="AA474" s="138">
        <f t="shared" si="71"/>
        <v>1</v>
      </c>
      <c r="AB474" s="127" t="s">
        <v>32</v>
      </c>
      <c r="AC474" s="127"/>
      <c r="AD474" s="127"/>
      <c r="AE474" s="130"/>
      <c r="AF474" s="136">
        <v>10.84</v>
      </c>
      <c r="AG474" s="136">
        <v>11.33</v>
      </c>
      <c r="AH474" s="136">
        <v>30.63</v>
      </c>
      <c r="AI474" s="136">
        <v>5.99</v>
      </c>
      <c r="AJ474" s="136">
        <v>3.88</v>
      </c>
      <c r="AK474" s="136">
        <v>0.49</v>
      </c>
      <c r="AL474" s="136">
        <v>3.31</v>
      </c>
      <c r="AM474" s="136">
        <v>66.47</v>
      </c>
      <c r="AN474" s="131"/>
      <c r="AO474" s="131"/>
      <c r="AP474" s="131"/>
      <c r="AQ474" s="131"/>
      <c r="AR474" s="131"/>
      <c r="AS474" s="131"/>
      <c r="AT474" s="131"/>
      <c r="AU474" s="91"/>
      <c r="AV474" s="91"/>
      <c r="AW474" s="131"/>
      <c r="AX474" s="131"/>
      <c r="AY474" s="131"/>
    </row>
    <row r="475" spans="1:51" ht="15" x14ac:dyDescent="0.25">
      <c r="A475" s="123"/>
      <c r="B475" s="124"/>
      <c r="C475" s="125">
        <v>618875</v>
      </c>
      <c r="D475" s="89"/>
      <c r="E475" s="86" t="s">
        <v>12</v>
      </c>
      <c r="F475" s="86" t="s">
        <v>418</v>
      </c>
      <c r="H475" s="126" t="s">
        <v>51</v>
      </c>
      <c r="I475" s="89">
        <v>1</v>
      </c>
      <c r="J475" s="127">
        <v>39191.1299</v>
      </c>
      <c r="K475" s="127">
        <v>64750.12</v>
      </c>
      <c r="L475" s="127">
        <v>7730.71</v>
      </c>
      <c r="M475" s="127">
        <v>19165.129900000018</v>
      </c>
      <c r="N475" s="127">
        <v>54159.12000000001</v>
      </c>
      <c r="O475" s="127">
        <v>6863.71</v>
      </c>
      <c r="P475" s="128">
        <f t="shared" si="63"/>
        <v>0.48901702882518877</v>
      </c>
      <c r="Q475" s="128">
        <f t="shared" si="64"/>
        <v>0.83643273556867548</v>
      </c>
      <c r="R475" s="128">
        <f t="shared" si="65"/>
        <v>0.88784988700908452</v>
      </c>
      <c r="S475" s="129">
        <v>1</v>
      </c>
      <c r="T475" s="129">
        <v>1</v>
      </c>
      <c r="U475" s="129">
        <v>1</v>
      </c>
      <c r="V475" s="138">
        <f t="shared" si="66"/>
        <v>3</v>
      </c>
      <c r="W475" s="138">
        <f t="shared" si="67"/>
        <v>3</v>
      </c>
      <c r="X475" s="138">
        <f t="shared" si="68"/>
        <v>1</v>
      </c>
      <c r="Y475" s="138">
        <f t="shared" si="69"/>
        <v>3</v>
      </c>
      <c r="Z475" s="138">
        <f t="shared" si="70"/>
        <v>3</v>
      </c>
      <c r="AA475" s="138">
        <f t="shared" si="71"/>
        <v>1</v>
      </c>
      <c r="AB475" s="127" t="s">
        <v>32</v>
      </c>
      <c r="AC475" s="127"/>
      <c r="AD475" s="127"/>
      <c r="AE475" s="130"/>
      <c r="AF475" s="136">
        <v>10.84</v>
      </c>
      <c r="AG475" s="136">
        <v>11.33</v>
      </c>
      <c r="AH475" s="136">
        <v>30.63</v>
      </c>
      <c r="AI475" s="136">
        <v>5.99</v>
      </c>
      <c r="AJ475" s="136">
        <v>3.88</v>
      </c>
      <c r="AK475" s="136">
        <v>0.49</v>
      </c>
      <c r="AL475" s="136">
        <v>3.31</v>
      </c>
      <c r="AM475" s="136">
        <v>66.47</v>
      </c>
      <c r="AN475" s="131"/>
      <c r="AO475" s="131"/>
      <c r="AP475" s="131"/>
      <c r="AQ475" s="131"/>
      <c r="AR475" s="131"/>
      <c r="AS475" s="131"/>
      <c r="AT475" s="131"/>
      <c r="AU475" s="91"/>
      <c r="AV475" s="91"/>
      <c r="AW475" s="131"/>
      <c r="AX475" s="131"/>
      <c r="AY475" s="131"/>
    </row>
    <row r="476" spans="1:51" ht="15" x14ac:dyDescent="0.25">
      <c r="A476" s="123"/>
      <c r="B476" s="124"/>
      <c r="C476" s="125">
        <v>632638</v>
      </c>
      <c r="D476" s="89"/>
      <c r="E476" s="86" t="s">
        <v>12</v>
      </c>
      <c r="F476" s="86" t="s">
        <v>418</v>
      </c>
      <c r="H476" s="126" t="s">
        <v>51</v>
      </c>
      <c r="I476" s="89">
        <v>1</v>
      </c>
      <c r="J476" s="127">
        <v>39191.1299</v>
      </c>
      <c r="K476" s="127">
        <v>64750.12</v>
      </c>
      <c r="L476" s="127">
        <v>7730.71</v>
      </c>
      <c r="M476" s="127">
        <v>19165.129900000018</v>
      </c>
      <c r="N476" s="127">
        <v>54159.12000000001</v>
      </c>
      <c r="O476" s="127">
        <v>6863.71</v>
      </c>
      <c r="P476" s="128">
        <f t="shared" si="63"/>
        <v>0.48901702882518877</v>
      </c>
      <c r="Q476" s="128">
        <f t="shared" si="64"/>
        <v>0.83643273556867548</v>
      </c>
      <c r="R476" s="128">
        <f t="shared" si="65"/>
        <v>0.88784988700908452</v>
      </c>
      <c r="S476" s="129">
        <v>1</v>
      </c>
      <c r="T476" s="129">
        <v>1</v>
      </c>
      <c r="U476" s="129">
        <v>1</v>
      </c>
      <c r="V476" s="138">
        <f t="shared" si="66"/>
        <v>3</v>
      </c>
      <c r="W476" s="138">
        <f t="shared" si="67"/>
        <v>3</v>
      </c>
      <c r="X476" s="138">
        <f t="shared" si="68"/>
        <v>1</v>
      </c>
      <c r="Y476" s="138">
        <f t="shared" si="69"/>
        <v>3</v>
      </c>
      <c r="Z476" s="138">
        <f t="shared" si="70"/>
        <v>3</v>
      </c>
      <c r="AA476" s="138">
        <f t="shared" si="71"/>
        <v>1</v>
      </c>
      <c r="AB476" s="127" t="s">
        <v>32</v>
      </c>
      <c r="AC476" s="127"/>
      <c r="AD476" s="127"/>
      <c r="AE476" s="130"/>
      <c r="AF476" s="136">
        <v>10.84</v>
      </c>
      <c r="AG476" s="136">
        <v>11.33</v>
      </c>
      <c r="AH476" s="136">
        <v>30.63</v>
      </c>
      <c r="AI476" s="136">
        <v>5.99</v>
      </c>
      <c r="AJ476" s="136">
        <v>3.88</v>
      </c>
      <c r="AK476" s="136">
        <v>0.49</v>
      </c>
      <c r="AL476" s="136">
        <v>3.31</v>
      </c>
      <c r="AM476" s="136">
        <v>66.47</v>
      </c>
      <c r="AN476" s="131"/>
      <c r="AO476" s="131"/>
      <c r="AP476" s="131"/>
      <c r="AQ476" s="131"/>
      <c r="AR476" s="131"/>
      <c r="AS476" s="131"/>
      <c r="AT476" s="131"/>
      <c r="AU476" s="91"/>
      <c r="AV476" s="91"/>
      <c r="AW476" s="131"/>
      <c r="AX476" s="131"/>
      <c r="AY476" s="131"/>
    </row>
    <row r="477" spans="1:51" ht="15" x14ac:dyDescent="0.25">
      <c r="A477" s="123"/>
      <c r="B477" s="124"/>
      <c r="C477" s="125">
        <v>656133</v>
      </c>
      <c r="D477" s="89"/>
      <c r="E477" s="86" t="s">
        <v>12</v>
      </c>
      <c r="F477" s="86" t="s">
        <v>418</v>
      </c>
      <c r="H477" s="126" t="s">
        <v>51</v>
      </c>
      <c r="I477" s="89">
        <v>1</v>
      </c>
      <c r="J477" s="127">
        <v>39191.1299</v>
      </c>
      <c r="K477" s="127">
        <v>64750.12</v>
      </c>
      <c r="L477" s="127">
        <v>7730.71</v>
      </c>
      <c r="M477" s="127">
        <v>19165.129900000018</v>
      </c>
      <c r="N477" s="127">
        <v>54159.12000000001</v>
      </c>
      <c r="O477" s="127">
        <v>6863.71</v>
      </c>
      <c r="P477" s="128">
        <f t="shared" si="63"/>
        <v>0.48901702882518877</v>
      </c>
      <c r="Q477" s="128">
        <f t="shared" si="64"/>
        <v>0.83643273556867548</v>
      </c>
      <c r="R477" s="128">
        <f t="shared" si="65"/>
        <v>0.88784988700908452</v>
      </c>
      <c r="S477" s="129">
        <v>1</v>
      </c>
      <c r="T477" s="129">
        <v>1</v>
      </c>
      <c r="U477" s="129">
        <v>1</v>
      </c>
      <c r="V477" s="138">
        <f t="shared" si="66"/>
        <v>3</v>
      </c>
      <c r="W477" s="138">
        <f t="shared" si="67"/>
        <v>3</v>
      </c>
      <c r="X477" s="138">
        <f t="shared" si="68"/>
        <v>1</v>
      </c>
      <c r="Y477" s="138">
        <f t="shared" si="69"/>
        <v>3</v>
      </c>
      <c r="Z477" s="138">
        <f t="shared" si="70"/>
        <v>3</v>
      </c>
      <c r="AA477" s="138">
        <f t="shared" si="71"/>
        <v>1</v>
      </c>
      <c r="AB477" s="127" t="s">
        <v>32</v>
      </c>
      <c r="AC477" s="127"/>
      <c r="AD477" s="127"/>
      <c r="AE477" s="130"/>
      <c r="AF477" s="136">
        <v>10.84</v>
      </c>
      <c r="AG477" s="136">
        <v>11.33</v>
      </c>
      <c r="AH477" s="136">
        <v>30.63</v>
      </c>
      <c r="AI477" s="136">
        <v>5.99</v>
      </c>
      <c r="AJ477" s="136">
        <v>3.88</v>
      </c>
      <c r="AK477" s="136">
        <v>0.49</v>
      </c>
      <c r="AL477" s="136">
        <v>3.31</v>
      </c>
      <c r="AM477" s="136">
        <v>66.47</v>
      </c>
      <c r="AN477" s="131"/>
      <c r="AO477" s="131"/>
      <c r="AP477" s="131"/>
      <c r="AQ477" s="131"/>
      <c r="AR477" s="131"/>
      <c r="AS477" s="131"/>
      <c r="AT477" s="131"/>
      <c r="AU477" s="91"/>
      <c r="AV477" s="91"/>
      <c r="AW477" s="131"/>
      <c r="AX477" s="131"/>
      <c r="AY477" s="131"/>
    </row>
    <row r="478" spans="1:51" ht="15" x14ac:dyDescent="0.25">
      <c r="A478" s="123"/>
      <c r="B478" s="124"/>
      <c r="C478" s="125">
        <v>694112</v>
      </c>
      <c r="D478" s="89"/>
      <c r="E478" s="86" t="s">
        <v>12</v>
      </c>
      <c r="F478" s="86" t="s">
        <v>418</v>
      </c>
      <c r="H478" s="126" t="s">
        <v>51</v>
      </c>
      <c r="I478" s="89">
        <v>1</v>
      </c>
      <c r="J478" s="127">
        <v>39191.1299</v>
      </c>
      <c r="K478" s="127">
        <v>64750.12</v>
      </c>
      <c r="L478" s="127">
        <v>7730.71</v>
      </c>
      <c r="M478" s="127">
        <v>19165.129900000018</v>
      </c>
      <c r="N478" s="127">
        <v>54159.12000000001</v>
      </c>
      <c r="O478" s="127">
        <v>6863.71</v>
      </c>
      <c r="P478" s="128">
        <f t="shared" si="63"/>
        <v>0.48901702882518877</v>
      </c>
      <c r="Q478" s="128">
        <f t="shared" si="64"/>
        <v>0.83643273556867548</v>
      </c>
      <c r="R478" s="128">
        <f t="shared" si="65"/>
        <v>0.88784988700908452</v>
      </c>
      <c r="S478" s="129">
        <v>1</v>
      </c>
      <c r="T478" s="129">
        <v>1</v>
      </c>
      <c r="U478" s="129">
        <v>1</v>
      </c>
      <c r="V478" s="138">
        <f t="shared" si="66"/>
        <v>3</v>
      </c>
      <c r="W478" s="138">
        <f t="shared" si="67"/>
        <v>3</v>
      </c>
      <c r="X478" s="138">
        <f t="shared" si="68"/>
        <v>1</v>
      </c>
      <c r="Y478" s="138">
        <f t="shared" si="69"/>
        <v>3</v>
      </c>
      <c r="Z478" s="138">
        <f t="shared" si="70"/>
        <v>3</v>
      </c>
      <c r="AA478" s="138">
        <f t="shared" si="71"/>
        <v>1</v>
      </c>
      <c r="AB478" s="127" t="s">
        <v>32</v>
      </c>
      <c r="AC478" s="127"/>
      <c r="AD478" s="127"/>
      <c r="AE478" s="130"/>
      <c r="AF478" s="136">
        <v>10.84</v>
      </c>
      <c r="AG478" s="136">
        <v>11.33</v>
      </c>
      <c r="AH478" s="136">
        <v>30.63</v>
      </c>
      <c r="AI478" s="136">
        <v>5.99</v>
      </c>
      <c r="AJ478" s="136">
        <v>3.88</v>
      </c>
      <c r="AK478" s="136">
        <v>0.49</v>
      </c>
      <c r="AL478" s="136">
        <v>3.31</v>
      </c>
      <c r="AM478" s="136">
        <v>66.47</v>
      </c>
      <c r="AN478" s="131"/>
      <c r="AO478" s="131"/>
      <c r="AP478" s="131"/>
      <c r="AQ478" s="131"/>
      <c r="AR478" s="131"/>
      <c r="AS478" s="131"/>
      <c r="AT478" s="131"/>
      <c r="AU478" s="91"/>
      <c r="AV478" s="91"/>
      <c r="AW478" s="131"/>
      <c r="AX478" s="131"/>
      <c r="AY478" s="131"/>
    </row>
    <row r="479" spans="1:51" ht="15" x14ac:dyDescent="0.25">
      <c r="A479" s="123"/>
      <c r="B479" s="124"/>
      <c r="C479" s="125">
        <v>708198</v>
      </c>
      <c r="D479" s="89"/>
      <c r="E479" s="86" t="s">
        <v>12</v>
      </c>
      <c r="F479" s="86" t="s">
        <v>418</v>
      </c>
      <c r="H479" s="126" t="s">
        <v>50</v>
      </c>
      <c r="I479" s="89">
        <v>2</v>
      </c>
      <c r="J479" s="127">
        <v>39191.1299</v>
      </c>
      <c r="K479" s="127">
        <v>64750.12</v>
      </c>
      <c r="L479" s="127">
        <v>7730.71</v>
      </c>
      <c r="M479" s="127">
        <v>19165.129900000018</v>
      </c>
      <c r="N479" s="127">
        <v>54159.12000000001</v>
      </c>
      <c r="O479" s="127">
        <v>6863.71</v>
      </c>
      <c r="P479" s="128">
        <f t="shared" si="63"/>
        <v>0.48901702882518877</v>
      </c>
      <c r="Q479" s="128">
        <f t="shared" si="64"/>
        <v>0.83643273556867548</v>
      </c>
      <c r="R479" s="128">
        <f t="shared" si="65"/>
        <v>0.88784988700908452</v>
      </c>
      <c r="S479" s="129">
        <v>0</v>
      </c>
      <c r="T479" s="129">
        <v>0</v>
      </c>
      <c r="U479" s="129">
        <v>0</v>
      </c>
      <c r="V479" s="138">
        <f t="shared" si="66"/>
        <v>4</v>
      </c>
      <c r="W479" s="138">
        <f t="shared" si="67"/>
        <v>4</v>
      </c>
      <c r="X479" s="138">
        <f t="shared" si="68"/>
        <v>2</v>
      </c>
      <c r="Y479" s="138">
        <f t="shared" si="69"/>
        <v>0</v>
      </c>
      <c r="Z479" s="138">
        <f t="shared" si="70"/>
        <v>0</v>
      </c>
      <c r="AA479" s="138">
        <f t="shared" si="71"/>
        <v>0</v>
      </c>
      <c r="AB479" s="127" t="s">
        <v>32</v>
      </c>
      <c r="AC479" s="127"/>
      <c r="AD479" s="127"/>
      <c r="AE479" s="130"/>
      <c r="AF479" s="136">
        <v>0</v>
      </c>
      <c r="AG479" s="136">
        <v>0</v>
      </c>
      <c r="AH479" s="136">
        <v>0</v>
      </c>
      <c r="AI479" s="136">
        <v>0</v>
      </c>
      <c r="AJ479" s="136">
        <v>0</v>
      </c>
      <c r="AK479" s="136">
        <v>0</v>
      </c>
      <c r="AL479" s="136">
        <v>0</v>
      </c>
      <c r="AM479" s="136">
        <v>0</v>
      </c>
      <c r="AN479" s="131"/>
      <c r="AO479" s="131"/>
      <c r="AP479" s="131"/>
      <c r="AQ479" s="131"/>
      <c r="AR479" s="131"/>
      <c r="AS479" s="131"/>
      <c r="AT479" s="131"/>
      <c r="AU479" s="91"/>
      <c r="AV479" s="91"/>
      <c r="AW479" s="131"/>
      <c r="AX479" s="131"/>
      <c r="AY479" s="131"/>
    </row>
    <row r="480" spans="1:51" ht="15" x14ac:dyDescent="0.25">
      <c r="A480" s="123"/>
      <c r="B480" s="124"/>
      <c r="C480" s="125">
        <v>740640</v>
      </c>
      <c r="D480" s="89"/>
      <c r="E480" s="86" t="s">
        <v>12</v>
      </c>
      <c r="F480" s="86" t="s">
        <v>418</v>
      </c>
      <c r="H480" s="126" t="s">
        <v>50</v>
      </c>
      <c r="I480" s="89">
        <v>2</v>
      </c>
      <c r="J480" s="127">
        <v>39191.1299</v>
      </c>
      <c r="K480" s="127">
        <v>64750.12</v>
      </c>
      <c r="L480" s="127">
        <v>7730.71</v>
      </c>
      <c r="M480" s="127">
        <v>19165.129900000018</v>
      </c>
      <c r="N480" s="127">
        <v>54159.12000000001</v>
      </c>
      <c r="O480" s="127">
        <v>6863.71</v>
      </c>
      <c r="P480" s="128">
        <f t="shared" si="63"/>
        <v>0.48901702882518877</v>
      </c>
      <c r="Q480" s="128">
        <f t="shared" si="64"/>
        <v>0.83643273556867548</v>
      </c>
      <c r="R480" s="128">
        <f t="shared" si="65"/>
        <v>0.88784988700908452</v>
      </c>
      <c r="S480" s="129">
        <v>0</v>
      </c>
      <c r="T480" s="129">
        <v>0</v>
      </c>
      <c r="U480" s="129">
        <v>0</v>
      </c>
      <c r="V480" s="138">
        <f t="shared" si="66"/>
        <v>4</v>
      </c>
      <c r="W480" s="138">
        <f t="shared" si="67"/>
        <v>4</v>
      </c>
      <c r="X480" s="138">
        <f t="shared" si="68"/>
        <v>2</v>
      </c>
      <c r="Y480" s="138">
        <f t="shared" si="69"/>
        <v>0</v>
      </c>
      <c r="Z480" s="138">
        <f t="shared" si="70"/>
        <v>0</v>
      </c>
      <c r="AA480" s="138">
        <f t="shared" si="71"/>
        <v>0</v>
      </c>
      <c r="AB480" s="127" t="s">
        <v>32</v>
      </c>
      <c r="AC480" s="127"/>
      <c r="AD480" s="127"/>
      <c r="AE480" s="130"/>
      <c r="AF480" s="136">
        <v>0</v>
      </c>
      <c r="AG480" s="136">
        <v>0</v>
      </c>
      <c r="AH480" s="136">
        <v>0</v>
      </c>
      <c r="AI480" s="136">
        <v>0</v>
      </c>
      <c r="AJ480" s="136">
        <v>0</v>
      </c>
      <c r="AK480" s="136">
        <v>0</v>
      </c>
      <c r="AL480" s="136">
        <v>0</v>
      </c>
      <c r="AM480" s="136">
        <v>0</v>
      </c>
      <c r="AN480" s="131"/>
      <c r="AO480" s="131"/>
      <c r="AP480" s="131"/>
      <c r="AQ480" s="131"/>
      <c r="AR480" s="131"/>
      <c r="AS480" s="131"/>
      <c r="AT480" s="131"/>
      <c r="AU480" s="91"/>
      <c r="AV480" s="91"/>
      <c r="AW480" s="131"/>
      <c r="AX480" s="131"/>
      <c r="AY480" s="131"/>
    </row>
    <row r="481" spans="1:51" ht="15" x14ac:dyDescent="0.25">
      <c r="A481" s="123"/>
      <c r="B481" s="124"/>
      <c r="C481" s="125">
        <v>741122</v>
      </c>
      <c r="D481" s="89"/>
      <c r="E481" s="86" t="s">
        <v>12</v>
      </c>
      <c r="F481" s="86" t="s">
        <v>418</v>
      </c>
      <c r="H481" s="126" t="s">
        <v>51</v>
      </c>
      <c r="I481" s="89">
        <v>1</v>
      </c>
      <c r="J481" s="127">
        <v>39191.1299</v>
      </c>
      <c r="K481" s="127">
        <v>64750.12</v>
      </c>
      <c r="L481" s="127">
        <v>7730.71</v>
      </c>
      <c r="M481" s="127">
        <v>19165.129900000018</v>
      </c>
      <c r="N481" s="127">
        <v>54159.12000000001</v>
      </c>
      <c r="O481" s="127">
        <v>6863.71</v>
      </c>
      <c r="P481" s="128">
        <f t="shared" si="63"/>
        <v>0.48901702882518877</v>
      </c>
      <c r="Q481" s="128">
        <f t="shared" si="64"/>
        <v>0.83643273556867548</v>
      </c>
      <c r="R481" s="128">
        <f t="shared" si="65"/>
        <v>0.88784988700908452</v>
      </c>
      <c r="S481" s="129">
        <v>1</v>
      </c>
      <c r="T481" s="129">
        <v>1</v>
      </c>
      <c r="U481" s="129">
        <v>1</v>
      </c>
      <c r="V481" s="138">
        <f t="shared" si="66"/>
        <v>3</v>
      </c>
      <c r="W481" s="138">
        <f t="shared" si="67"/>
        <v>3</v>
      </c>
      <c r="X481" s="138">
        <f t="shared" si="68"/>
        <v>1</v>
      </c>
      <c r="Y481" s="138">
        <f t="shared" si="69"/>
        <v>3</v>
      </c>
      <c r="Z481" s="138">
        <f t="shared" si="70"/>
        <v>3</v>
      </c>
      <c r="AA481" s="138">
        <f t="shared" si="71"/>
        <v>1</v>
      </c>
      <c r="AB481" s="127" t="s">
        <v>32</v>
      </c>
      <c r="AC481" s="127"/>
      <c r="AD481" s="127"/>
      <c r="AE481" s="130"/>
      <c r="AF481" s="136">
        <v>10.84</v>
      </c>
      <c r="AG481" s="136">
        <v>11.33</v>
      </c>
      <c r="AH481" s="136">
        <v>30.63</v>
      </c>
      <c r="AI481" s="136">
        <v>5.99</v>
      </c>
      <c r="AJ481" s="136">
        <v>3.88</v>
      </c>
      <c r="AK481" s="136">
        <v>0.49</v>
      </c>
      <c r="AL481" s="136">
        <v>3.31</v>
      </c>
      <c r="AM481" s="136">
        <v>66.47</v>
      </c>
      <c r="AN481" s="131"/>
      <c r="AO481" s="131"/>
      <c r="AP481" s="131"/>
      <c r="AQ481" s="131"/>
      <c r="AR481" s="131"/>
      <c r="AS481" s="131"/>
      <c r="AT481" s="131"/>
      <c r="AU481" s="91"/>
      <c r="AV481" s="91"/>
      <c r="AW481" s="131"/>
      <c r="AX481" s="131"/>
      <c r="AY481" s="131"/>
    </row>
    <row r="482" spans="1:51" ht="15" x14ac:dyDescent="0.25">
      <c r="A482" s="123"/>
      <c r="B482" s="124"/>
      <c r="C482" s="125">
        <v>749897</v>
      </c>
      <c r="D482" s="89"/>
      <c r="E482" s="86" t="s">
        <v>12</v>
      </c>
      <c r="F482" s="86" t="s">
        <v>418</v>
      </c>
      <c r="H482" s="126" t="s">
        <v>50</v>
      </c>
      <c r="I482" s="89">
        <v>2</v>
      </c>
      <c r="J482" s="127">
        <v>39191.1299</v>
      </c>
      <c r="K482" s="127">
        <v>64750.12</v>
      </c>
      <c r="L482" s="127">
        <v>7730.71</v>
      </c>
      <c r="M482" s="127">
        <v>19165.129900000018</v>
      </c>
      <c r="N482" s="127">
        <v>54159.12000000001</v>
      </c>
      <c r="O482" s="127">
        <v>6863.71</v>
      </c>
      <c r="P482" s="128">
        <f t="shared" si="63"/>
        <v>0.48901702882518877</v>
      </c>
      <c r="Q482" s="128">
        <f t="shared" si="64"/>
        <v>0.83643273556867548</v>
      </c>
      <c r="R482" s="128">
        <f t="shared" si="65"/>
        <v>0.88784988700908452</v>
      </c>
      <c r="S482" s="129">
        <v>0</v>
      </c>
      <c r="T482" s="129">
        <v>0</v>
      </c>
      <c r="U482" s="129">
        <v>0</v>
      </c>
      <c r="V482" s="138">
        <f t="shared" si="66"/>
        <v>4</v>
      </c>
      <c r="W482" s="138">
        <f t="shared" si="67"/>
        <v>4</v>
      </c>
      <c r="X482" s="138">
        <f t="shared" si="68"/>
        <v>2</v>
      </c>
      <c r="Y482" s="138">
        <f t="shared" si="69"/>
        <v>0</v>
      </c>
      <c r="Z482" s="138">
        <f t="shared" si="70"/>
        <v>0</v>
      </c>
      <c r="AA482" s="138">
        <f t="shared" si="71"/>
        <v>0</v>
      </c>
      <c r="AB482" s="127" t="s">
        <v>32</v>
      </c>
      <c r="AC482" s="127"/>
      <c r="AD482" s="127"/>
      <c r="AE482" s="130"/>
      <c r="AF482" s="136">
        <v>0</v>
      </c>
      <c r="AG482" s="136">
        <v>0</v>
      </c>
      <c r="AH482" s="136">
        <v>0</v>
      </c>
      <c r="AI482" s="136">
        <v>0</v>
      </c>
      <c r="AJ482" s="136">
        <v>0</v>
      </c>
      <c r="AK482" s="136">
        <v>0</v>
      </c>
      <c r="AL482" s="136">
        <v>0</v>
      </c>
      <c r="AM482" s="136">
        <v>0</v>
      </c>
      <c r="AN482" s="131"/>
      <c r="AO482" s="131"/>
      <c r="AP482" s="131"/>
      <c r="AQ482" s="131"/>
      <c r="AR482" s="131"/>
      <c r="AS482" s="131"/>
      <c r="AT482" s="131"/>
      <c r="AU482" s="91"/>
      <c r="AV482" s="91"/>
      <c r="AW482" s="131"/>
      <c r="AX482" s="131"/>
      <c r="AY482" s="131"/>
    </row>
    <row r="483" spans="1:51" ht="15" x14ac:dyDescent="0.25">
      <c r="A483" s="123"/>
      <c r="B483" s="124"/>
      <c r="C483" s="125">
        <v>758281</v>
      </c>
      <c r="D483" s="89"/>
      <c r="E483" s="86" t="s">
        <v>12</v>
      </c>
      <c r="F483" s="86" t="s">
        <v>418</v>
      </c>
      <c r="H483" s="126" t="s">
        <v>51</v>
      </c>
      <c r="I483" s="89">
        <v>1</v>
      </c>
      <c r="J483" s="127">
        <v>39191.1299</v>
      </c>
      <c r="K483" s="127">
        <v>64750.12</v>
      </c>
      <c r="L483" s="127">
        <v>7730.71</v>
      </c>
      <c r="M483" s="127">
        <v>19165.129900000018</v>
      </c>
      <c r="N483" s="127">
        <v>54159.12000000001</v>
      </c>
      <c r="O483" s="127">
        <v>6863.71</v>
      </c>
      <c r="P483" s="128">
        <f t="shared" si="63"/>
        <v>0.48901702882518877</v>
      </c>
      <c r="Q483" s="128">
        <f t="shared" si="64"/>
        <v>0.83643273556867548</v>
      </c>
      <c r="R483" s="128">
        <f t="shared" si="65"/>
        <v>0.88784988700908452</v>
      </c>
      <c r="S483" s="129">
        <v>1</v>
      </c>
      <c r="T483" s="129">
        <v>1</v>
      </c>
      <c r="U483" s="129">
        <v>1</v>
      </c>
      <c r="V483" s="138">
        <f t="shared" si="66"/>
        <v>3</v>
      </c>
      <c r="W483" s="138">
        <f t="shared" si="67"/>
        <v>3</v>
      </c>
      <c r="X483" s="138">
        <f t="shared" si="68"/>
        <v>1</v>
      </c>
      <c r="Y483" s="138">
        <f t="shared" si="69"/>
        <v>3</v>
      </c>
      <c r="Z483" s="138">
        <f t="shared" si="70"/>
        <v>3</v>
      </c>
      <c r="AA483" s="138">
        <f t="shared" si="71"/>
        <v>1</v>
      </c>
      <c r="AB483" s="127" t="s">
        <v>32</v>
      </c>
      <c r="AC483" s="127"/>
      <c r="AD483" s="127"/>
      <c r="AE483" s="130"/>
      <c r="AF483" s="136">
        <v>10.84</v>
      </c>
      <c r="AG483" s="136">
        <v>11.33</v>
      </c>
      <c r="AH483" s="136">
        <v>30.63</v>
      </c>
      <c r="AI483" s="136">
        <v>5.99</v>
      </c>
      <c r="AJ483" s="136">
        <v>3.88</v>
      </c>
      <c r="AK483" s="136">
        <v>0.49</v>
      </c>
      <c r="AL483" s="136">
        <v>3.31</v>
      </c>
      <c r="AM483" s="136">
        <v>66.47</v>
      </c>
      <c r="AN483" s="131"/>
      <c r="AO483" s="131"/>
      <c r="AP483" s="131"/>
      <c r="AQ483" s="131"/>
      <c r="AR483" s="131"/>
      <c r="AS483" s="131"/>
      <c r="AT483" s="131"/>
      <c r="AU483" s="91"/>
      <c r="AV483" s="91"/>
      <c r="AW483" s="131"/>
      <c r="AX483" s="131"/>
      <c r="AY483" s="131"/>
    </row>
    <row r="484" spans="1:51" ht="15" x14ac:dyDescent="0.25">
      <c r="A484" s="123"/>
      <c r="B484" s="124"/>
      <c r="C484" s="125">
        <v>764210</v>
      </c>
      <c r="D484" s="89"/>
      <c r="E484" s="86" t="s">
        <v>12</v>
      </c>
      <c r="F484" s="86" t="s">
        <v>418</v>
      </c>
      <c r="H484" s="126" t="s">
        <v>50</v>
      </c>
      <c r="I484" s="89">
        <v>2</v>
      </c>
      <c r="J484" s="127">
        <v>39191.1299</v>
      </c>
      <c r="K484" s="127">
        <v>64750.12</v>
      </c>
      <c r="L484" s="127">
        <v>7730.71</v>
      </c>
      <c r="M484" s="127">
        <v>19165.129900000018</v>
      </c>
      <c r="N484" s="127">
        <v>54159.12000000001</v>
      </c>
      <c r="O484" s="127">
        <v>6863.71</v>
      </c>
      <c r="P484" s="128">
        <f t="shared" si="63"/>
        <v>0.48901702882518877</v>
      </c>
      <c r="Q484" s="128">
        <f t="shared" si="64"/>
        <v>0.83643273556867548</v>
      </c>
      <c r="R484" s="128">
        <f t="shared" si="65"/>
        <v>0.88784988700908452</v>
      </c>
      <c r="S484" s="129">
        <v>0</v>
      </c>
      <c r="T484" s="129">
        <v>0</v>
      </c>
      <c r="U484" s="129">
        <v>0</v>
      </c>
      <c r="V484" s="138">
        <f t="shared" si="66"/>
        <v>4</v>
      </c>
      <c r="W484" s="138">
        <f t="shared" si="67"/>
        <v>4</v>
      </c>
      <c r="X484" s="138">
        <f t="shared" si="68"/>
        <v>2</v>
      </c>
      <c r="Y484" s="138">
        <f t="shared" si="69"/>
        <v>0</v>
      </c>
      <c r="Z484" s="138">
        <f t="shared" si="70"/>
        <v>0</v>
      </c>
      <c r="AA484" s="138">
        <f t="shared" si="71"/>
        <v>0</v>
      </c>
      <c r="AB484" s="127" t="s">
        <v>32</v>
      </c>
      <c r="AC484" s="127"/>
      <c r="AD484" s="127"/>
      <c r="AE484" s="130"/>
      <c r="AF484" s="136">
        <v>0</v>
      </c>
      <c r="AG484" s="136">
        <v>0</v>
      </c>
      <c r="AH484" s="136">
        <v>0</v>
      </c>
      <c r="AI484" s="136">
        <v>0</v>
      </c>
      <c r="AJ484" s="136">
        <v>0</v>
      </c>
      <c r="AK484" s="136">
        <v>0</v>
      </c>
      <c r="AL484" s="136">
        <v>0</v>
      </c>
      <c r="AM484" s="136">
        <v>0</v>
      </c>
      <c r="AN484" s="131"/>
      <c r="AO484" s="131"/>
      <c r="AP484" s="131"/>
      <c r="AQ484" s="131"/>
      <c r="AR484" s="131"/>
      <c r="AS484" s="131"/>
      <c r="AT484" s="131"/>
      <c r="AU484" s="91"/>
      <c r="AV484" s="91"/>
      <c r="AW484" s="131"/>
      <c r="AX484" s="131"/>
      <c r="AY484" s="131"/>
    </row>
    <row r="485" spans="1:51" ht="15" x14ac:dyDescent="0.25">
      <c r="A485" s="123"/>
      <c r="B485" s="124"/>
      <c r="C485" s="125">
        <v>778110</v>
      </c>
      <c r="D485" s="89"/>
      <c r="E485" s="86" t="s">
        <v>12</v>
      </c>
      <c r="F485" s="86" t="s">
        <v>418</v>
      </c>
      <c r="H485" s="126" t="s">
        <v>51</v>
      </c>
      <c r="I485" s="89">
        <v>1</v>
      </c>
      <c r="J485" s="127">
        <v>39191.1299</v>
      </c>
      <c r="K485" s="127">
        <v>64750.12</v>
      </c>
      <c r="L485" s="127">
        <v>7730.71</v>
      </c>
      <c r="M485" s="127">
        <v>19165.129900000018</v>
      </c>
      <c r="N485" s="127">
        <v>54159.12000000001</v>
      </c>
      <c r="O485" s="127">
        <v>6863.71</v>
      </c>
      <c r="P485" s="128">
        <f t="shared" si="63"/>
        <v>0.48901702882518877</v>
      </c>
      <c r="Q485" s="128">
        <f t="shared" si="64"/>
        <v>0.83643273556867548</v>
      </c>
      <c r="R485" s="128">
        <f t="shared" si="65"/>
        <v>0.88784988700908452</v>
      </c>
      <c r="S485" s="129">
        <v>1</v>
      </c>
      <c r="T485" s="129">
        <v>1</v>
      </c>
      <c r="U485" s="129">
        <v>1</v>
      </c>
      <c r="V485" s="138">
        <f t="shared" si="66"/>
        <v>3</v>
      </c>
      <c r="W485" s="138">
        <f t="shared" si="67"/>
        <v>3</v>
      </c>
      <c r="X485" s="138">
        <f t="shared" si="68"/>
        <v>1</v>
      </c>
      <c r="Y485" s="138">
        <f t="shared" si="69"/>
        <v>3</v>
      </c>
      <c r="Z485" s="138">
        <f t="shared" si="70"/>
        <v>3</v>
      </c>
      <c r="AA485" s="138">
        <f t="shared" si="71"/>
        <v>1</v>
      </c>
      <c r="AB485" s="127" t="s">
        <v>32</v>
      </c>
      <c r="AC485" s="127"/>
      <c r="AD485" s="127"/>
      <c r="AE485" s="130"/>
      <c r="AF485" s="136">
        <v>10.84</v>
      </c>
      <c r="AG485" s="136">
        <v>11.33</v>
      </c>
      <c r="AH485" s="136">
        <v>30.63</v>
      </c>
      <c r="AI485" s="136">
        <v>5.99</v>
      </c>
      <c r="AJ485" s="136">
        <v>3.88</v>
      </c>
      <c r="AK485" s="136">
        <v>0.49</v>
      </c>
      <c r="AL485" s="136">
        <v>3.31</v>
      </c>
      <c r="AM485" s="136">
        <v>66.47</v>
      </c>
      <c r="AN485" s="131"/>
      <c r="AO485" s="131"/>
      <c r="AP485" s="131"/>
      <c r="AQ485" s="131"/>
      <c r="AR485" s="131"/>
      <c r="AS485" s="131"/>
      <c r="AT485" s="131"/>
      <c r="AU485" s="91"/>
      <c r="AV485" s="91"/>
      <c r="AW485" s="131"/>
      <c r="AX485" s="131"/>
      <c r="AY485" s="131"/>
    </row>
    <row r="486" spans="1:51" ht="15" x14ac:dyDescent="0.25">
      <c r="A486" s="123"/>
      <c r="B486" s="124"/>
      <c r="C486" s="125">
        <v>788813</v>
      </c>
      <c r="D486" s="89"/>
      <c r="E486" s="86" t="s">
        <v>12</v>
      </c>
      <c r="F486" s="86" t="s">
        <v>418</v>
      </c>
      <c r="H486" s="126" t="s">
        <v>50</v>
      </c>
      <c r="I486" s="89">
        <v>2</v>
      </c>
      <c r="J486" s="127">
        <v>39191.1299</v>
      </c>
      <c r="K486" s="127">
        <v>64750.12</v>
      </c>
      <c r="L486" s="127">
        <v>7730.71</v>
      </c>
      <c r="M486" s="127">
        <v>19165.129900000018</v>
      </c>
      <c r="N486" s="127">
        <v>54159.12000000001</v>
      </c>
      <c r="O486" s="127">
        <v>6863.71</v>
      </c>
      <c r="P486" s="128">
        <f t="shared" si="63"/>
        <v>0.48901702882518877</v>
      </c>
      <c r="Q486" s="128">
        <f t="shared" si="64"/>
        <v>0.83643273556867548</v>
      </c>
      <c r="R486" s="128">
        <f t="shared" si="65"/>
        <v>0.88784988700908452</v>
      </c>
      <c r="S486" s="129">
        <v>0</v>
      </c>
      <c r="T486" s="129">
        <v>0</v>
      </c>
      <c r="U486" s="129">
        <v>0</v>
      </c>
      <c r="V486" s="138">
        <f t="shared" si="66"/>
        <v>4</v>
      </c>
      <c r="W486" s="138">
        <f t="shared" si="67"/>
        <v>4</v>
      </c>
      <c r="X486" s="138">
        <f t="shared" si="68"/>
        <v>2</v>
      </c>
      <c r="Y486" s="138">
        <f t="shared" si="69"/>
        <v>0</v>
      </c>
      <c r="Z486" s="138">
        <f t="shared" si="70"/>
        <v>0</v>
      </c>
      <c r="AA486" s="138">
        <f t="shared" si="71"/>
        <v>0</v>
      </c>
      <c r="AB486" s="127" t="s">
        <v>32</v>
      </c>
      <c r="AC486" s="127"/>
      <c r="AD486" s="127"/>
      <c r="AE486" s="130"/>
      <c r="AF486" s="136">
        <v>0</v>
      </c>
      <c r="AG486" s="136">
        <v>0</v>
      </c>
      <c r="AH486" s="136">
        <v>0</v>
      </c>
      <c r="AI486" s="136">
        <v>0</v>
      </c>
      <c r="AJ486" s="136">
        <v>0</v>
      </c>
      <c r="AK486" s="136">
        <v>0</v>
      </c>
      <c r="AL486" s="136">
        <v>0</v>
      </c>
      <c r="AM486" s="136">
        <v>0</v>
      </c>
      <c r="AN486" s="131"/>
      <c r="AO486" s="131"/>
      <c r="AP486" s="131"/>
      <c r="AQ486" s="131"/>
      <c r="AR486" s="131"/>
      <c r="AS486" s="131"/>
      <c r="AT486" s="131"/>
      <c r="AU486" s="91"/>
      <c r="AV486" s="91"/>
      <c r="AW486" s="131"/>
      <c r="AX486" s="131"/>
      <c r="AY486" s="131"/>
    </row>
    <row r="487" spans="1:51" ht="15" x14ac:dyDescent="0.25">
      <c r="A487" s="123"/>
      <c r="B487" s="124"/>
      <c r="C487" s="125">
        <v>816432</v>
      </c>
      <c r="D487" s="89"/>
      <c r="E487" s="86" t="s">
        <v>12</v>
      </c>
      <c r="F487" s="86" t="s">
        <v>418</v>
      </c>
      <c r="H487" s="126" t="s">
        <v>51</v>
      </c>
      <c r="I487" s="89">
        <v>1</v>
      </c>
      <c r="J487" s="127">
        <v>39191.1299</v>
      </c>
      <c r="K487" s="127">
        <v>64750.12</v>
      </c>
      <c r="L487" s="127">
        <v>7730.71</v>
      </c>
      <c r="M487" s="127">
        <v>19165.129900000018</v>
      </c>
      <c r="N487" s="127">
        <v>54159.12000000001</v>
      </c>
      <c r="O487" s="127">
        <v>6863.71</v>
      </c>
      <c r="P487" s="128">
        <f t="shared" si="63"/>
        <v>0.48901702882518877</v>
      </c>
      <c r="Q487" s="128">
        <f t="shared" si="64"/>
        <v>0.83643273556867548</v>
      </c>
      <c r="R487" s="128">
        <f t="shared" si="65"/>
        <v>0.88784988700908452</v>
      </c>
      <c r="S487" s="129">
        <v>1</v>
      </c>
      <c r="T487" s="129">
        <v>1</v>
      </c>
      <c r="U487" s="129">
        <v>1</v>
      </c>
      <c r="V487" s="138">
        <f t="shared" si="66"/>
        <v>3</v>
      </c>
      <c r="W487" s="138">
        <f t="shared" si="67"/>
        <v>3</v>
      </c>
      <c r="X487" s="138">
        <f t="shared" si="68"/>
        <v>1</v>
      </c>
      <c r="Y487" s="138">
        <f t="shared" si="69"/>
        <v>3</v>
      </c>
      <c r="Z487" s="138">
        <f t="shared" si="70"/>
        <v>3</v>
      </c>
      <c r="AA487" s="138">
        <f t="shared" si="71"/>
        <v>1</v>
      </c>
      <c r="AB487" s="127" t="s">
        <v>32</v>
      </c>
      <c r="AC487" s="127"/>
      <c r="AD487" s="127"/>
      <c r="AE487" s="130"/>
      <c r="AF487" s="136">
        <v>10.84</v>
      </c>
      <c r="AG487" s="136">
        <v>11.33</v>
      </c>
      <c r="AH487" s="136">
        <v>30.63</v>
      </c>
      <c r="AI487" s="136">
        <v>5.99</v>
      </c>
      <c r="AJ487" s="136">
        <v>3.88</v>
      </c>
      <c r="AK487" s="136">
        <v>0.49</v>
      </c>
      <c r="AL487" s="136">
        <v>3.31</v>
      </c>
      <c r="AM487" s="136">
        <v>66.47</v>
      </c>
      <c r="AN487" s="131"/>
      <c r="AO487" s="131"/>
      <c r="AP487" s="131"/>
      <c r="AQ487" s="131"/>
      <c r="AR487" s="131"/>
      <c r="AS487" s="131"/>
      <c r="AT487" s="131"/>
      <c r="AU487" s="91"/>
      <c r="AV487" s="91"/>
      <c r="AW487" s="131"/>
      <c r="AX487" s="131"/>
      <c r="AY487" s="131"/>
    </row>
    <row r="488" spans="1:51" ht="15" x14ac:dyDescent="0.25">
      <c r="A488" s="123"/>
      <c r="B488" s="124"/>
      <c r="C488" s="125">
        <v>875415</v>
      </c>
      <c r="D488" s="89"/>
      <c r="E488" s="86" t="s">
        <v>12</v>
      </c>
      <c r="F488" s="86" t="s">
        <v>418</v>
      </c>
      <c r="H488" s="126" t="s">
        <v>51</v>
      </c>
      <c r="I488" s="89">
        <v>1</v>
      </c>
      <c r="J488" s="127">
        <v>39191.1299</v>
      </c>
      <c r="K488" s="127">
        <v>64750.12</v>
      </c>
      <c r="L488" s="127">
        <v>7730.71</v>
      </c>
      <c r="M488" s="127">
        <v>19165.129900000018</v>
      </c>
      <c r="N488" s="127">
        <v>54159.12000000001</v>
      </c>
      <c r="O488" s="127">
        <v>6863.71</v>
      </c>
      <c r="P488" s="128">
        <f t="shared" si="63"/>
        <v>0.48901702882518877</v>
      </c>
      <c r="Q488" s="128">
        <f t="shared" si="64"/>
        <v>0.83643273556867548</v>
      </c>
      <c r="R488" s="128">
        <f t="shared" si="65"/>
        <v>0.88784988700908452</v>
      </c>
      <c r="S488" s="129">
        <v>1</v>
      </c>
      <c r="T488" s="129">
        <v>1</v>
      </c>
      <c r="U488" s="129">
        <v>1</v>
      </c>
      <c r="V488" s="138">
        <f t="shared" si="66"/>
        <v>3</v>
      </c>
      <c r="W488" s="138">
        <f t="shared" si="67"/>
        <v>3</v>
      </c>
      <c r="X488" s="138">
        <f t="shared" si="68"/>
        <v>1</v>
      </c>
      <c r="Y488" s="138">
        <f t="shared" si="69"/>
        <v>3</v>
      </c>
      <c r="Z488" s="138">
        <f t="shared" si="70"/>
        <v>3</v>
      </c>
      <c r="AA488" s="138">
        <f t="shared" si="71"/>
        <v>1</v>
      </c>
      <c r="AB488" s="127" t="s">
        <v>32</v>
      </c>
      <c r="AC488" s="127"/>
      <c r="AD488" s="127"/>
      <c r="AE488" s="130"/>
      <c r="AF488" s="136">
        <v>10.84</v>
      </c>
      <c r="AG488" s="136">
        <v>11.33</v>
      </c>
      <c r="AH488" s="136">
        <v>30.63</v>
      </c>
      <c r="AI488" s="136">
        <v>5.99</v>
      </c>
      <c r="AJ488" s="136">
        <v>3.88</v>
      </c>
      <c r="AK488" s="136">
        <v>0.49</v>
      </c>
      <c r="AL488" s="136">
        <v>3.31</v>
      </c>
      <c r="AM488" s="136">
        <v>66.47</v>
      </c>
      <c r="AN488" s="131"/>
      <c r="AO488" s="131"/>
      <c r="AP488" s="131"/>
      <c r="AQ488" s="131"/>
      <c r="AR488" s="131"/>
      <c r="AS488" s="131"/>
      <c r="AT488" s="131"/>
      <c r="AU488" s="91"/>
      <c r="AV488" s="91"/>
      <c r="AW488" s="131"/>
      <c r="AX488" s="131"/>
      <c r="AY488" s="131"/>
    </row>
    <row r="489" spans="1:51" ht="15" x14ac:dyDescent="0.25">
      <c r="A489" s="123"/>
      <c r="B489" s="124"/>
      <c r="C489" s="125">
        <v>882255</v>
      </c>
      <c r="D489" s="89"/>
      <c r="E489" s="86" t="s">
        <v>12</v>
      </c>
      <c r="F489" s="86" t="s">
        <v>418</v>
      </c>
      <c r="H489" s="126" t="s">
        <v>51</v>
      </c>
      <c r="I489" s="89">
        <v>1</v>
      </c>
      <c r="J489" s="127">
        <v>39191.1299</v>
      </c>
      <c r="K489" s="127">
        <v>64750.12</v>
      </c>
      <c r="L489" s="127">
        <v>7730.71</v>
      </c>
      <c r="M489" s="127">
        <v>19165.129900000018</v>
      </c>
      <c r="N489" s="127">
        <v>54159.12000000001</v>
      </c>
      <c r="O489" s="127">
        <v>6863.71</v>
      </c>
      <c r="P489" s="128">
        <f t="shared" si="63"/>
        <v>0.48901702882518877</v>
      </c>
      <c r="Q489" s="128">
        <f t="shared" si="64"/>
        <v>0.83643273556867548</v>
      </c>
      <c r="R489" s="128">
        <f t="shared" si="65"/>
        <v>0.88784988700908452</v>
      </c>
      <c r="S489" s="129">
        <v>1</v>
      </c>
      <c r="T489" s="129">
        <v>1</v>
      </c>
      <c r="U489" s="129">
        <v>1</v>
      </c>
      <c r="V489" s="138">
        <f t="shared" si="66"/>
        <v>3</v>
      </c>
      <c r="W489" s="138">
        <f t="shared" si="67"/>
        <v>3</v>
      </c>
      <c r="X489" s="138">
        <f t="shared" si="68"/>
        <v>1</v>
      </c>
      <c r="Y489" s="138">
        <f t="shared" si="69"/>
        <v>3</v>
      </c>
      <c r="Z489" s="138">
        <f t="shared" si="70"/>
        <v>3</v>
      </c>
      <c r="AA489" s="138">
        <f t="shared" si="71"/>
        <v>1</v>
      </c>
      <c r="AB489" s="127" t="s">
        <v>32</v>
      </c>
      <c r="AC489" s="127"/>
      <c r="AD489" s="127"/>
      <c r="AE489" s="130"/>
      <c r="AF489" s="136">
        <v>10.84</v>
      </c>
      <c r="AG489" s="136">
        <v>11.33</v>
      </c>
      <c r="AH489" s="136">
        <v>30.63</v>
      </c>
      <c r="AI489" s="136">
        <v>5.99</v>
      </c>
      <c r="AJ489" s="136">
        <v>3.88</v>
      </c>
      <c r="AK489" s="136">
        <v>0.49</v>
      </c>
      <c r="AL489" s="136">
        <v>3.31</v>
      </c>
      <c r="AM489" s="136">
        <v>66.47</v>
      </c>
      <c r="AN489" s="131"/>
      <c r="AO489" s="131"/>
      <c r="AP489" s="131"/>
      <c r="AQ489" s="131"/>
      <c r="AR489" s="131"/>
      <c r="AS489" s="131"/>
      <c r="AT489" s="131"/>
      <c r="AU489" s="91"/>
      <c r="AV489" s="91"/>
      <c r="AW489" s="131"/>
      <c r="AX489" s="131"/>
      <c r="AY489" s="131"/>
    </row>
    <row r="490" spans="1:51" ht="15" x14ac:dyDescent="0.25">
      <c r="A490" s="123"/>
      <c r="B490" s="124"/>
      <c r="C490" s="125">
        <v>888555</v>
      </c>
      <c r="D490" s="89"/>
      <c r="E490" s="86" t="s">
        <v>12</v>
      </c>
      <c r="F490" s="86" t="s">
        <v>418</v>
      </c>
      <c r="H490" s="126" t="s">
        <v>51</v>
      </c>
      <c r="I490" s="89">
        <v>1</v>
      </c>
      <c r="J490" s="127">
        <v>39191.1299</v>
      </c>
      <c r="K490" s="127">
        <v>64750.12</v>
      </c>
      <c r="L490" s="127">
        <v>7730.71</v>
      </c>
      <c r="M490" s="127">
        <v>19165.129900000018</v>
      </c>
      <c r="N490" s="127">
        <v>54159.12000000001</v>
      </c>
      <c r="O490" s="127">
        <v>6863.71</v>
      </c>
      <c r="P490" s="128">
        <f t="shared" si="63"/>
        <v>0.48901702882518877</v>
      </c>
      <c r="Q490" s="128">
        <f t="shared" si="64"/>
        <v>0.83643273556867548</v>
      </c>
      <c r="R490" s="128">
        <f t="shared" si="65"/>
        <v>0.88784988700908452</v>
      </c>
      <c r="S490" s="129">
        <v>1</v>
      </c>
      <c r="T490" s="129">
        <v>1</v>
      </c>
      <c r="U490" s="129">
        <v>1</v>
      </c>
      <c r="V490" s="138">
        <f t="shared" si="66"/>
        <v>3</v>
      </c>
      <c r="W490" s="138">
        <f t="shared" si="67"/>
        <v>3</v>
      </c>
      <c r="X490" s="138">
        <f t="shared" si="68"/>
        <v>1</v>
      </c>
      <c r="Y490" s="138">
        <f t="shared" si="69"/>
        <v>3</v>
      </c>
      <c r="Z490" s="138">
        <f t="shared" si="70"/>
        <v>3</v>
      </c>
      <c r="AA490" s="138">
        <f t="shared" si="71"/>
        <v>1</v>
      </c>
      <c r="AB490" s="127" t="s">
        <v>32</v>
      </c>
      <c r="AC490" s="127"/>
      <c r="AD490" s="127"/>
      <c r="AE490" s="130"/>
      <c r="AF490" s="136">
        <v>10.84</v>
      </c>
      <c r="AG490" s="136">
        <v>11.33</v>
      </c>
      <c r="AH490" s="136">
        <v>30.63</v>
      </c>
      <c r="AI490" s="136">
        <v>5.99</v>
      </c>
      <c r="AJ490" s="136">
        <v>3.88</v>
      </c>
      <c r="AK490" s="136">
        <v>0.49</v>
      </c>
      <c r="AL490" s="136">
        <v>3.31</v>
      </c>
      <c r="AM490" s="136">
        <v>66.47</v>
      </c>
      <c r="AN490" s="131"/>
      <c r="AO490" s="131"/>
      <c r="AP490" s="131"/>
      <c r="AQ490" s="131"/>
      <c r="AR490" s="131"/>
      <c r="AS490" s="131"/>
      <c r="AT490" s="131"/>
      <c r="AU490" s="91"/>
      <c r="AV490" s="91"/>
      <c r="AW490" s="131"/>
      <c r="AX490" s="131"/>
      <c r="AY490" s="131"/>
    </row>
    <row r="491" spans="1:51" ht="15" x14ac:dyDescent="0.25">
      <c r="A491" s="123"/>
      <c r="B491" s="124"/>
      <c r="C491" s="125">
        <v>918093</v>
      </c>
      <c r="D491" s="89"/>
      <c r="E491" s="86" t="s">
        <v>12</v>
      </c>
      <c r="F491" s="86" t="s">
        <v>418</v>
      </c>
      <c r="H491" s="126" t="s">
        <v>50</v>
      </c>
      <c r="I491" s="89">
        <v>2</v>
      </c>
      <c r="J491" s="127">
        <v>39191.1299</v>
      </c>
      <c r="K491" s="127">
        <v>64750.12</v>
      </c>
      <c r="L491" s="127">
        <v>7730.71</v>
      </c>
      <c r="M491" s="127">
        <v>19165.129900000018</v>
      </c>
      <c r="N491" s="127">
        <v>54159.12000000001</v>
      </c>
      <c r="O491" s="127">
        <v>6863.71</v>
      </c>
      <c r="P491" s="128">
        <f t="shared" si="63"/>
        <v>0.48901702882518877</v>
      </c>
      <c r="Q491" s="128">
        <f t="shared" si="64"/>
        <v>0.83643273556867548</v>
      </c>
      <c r="R491" s="128">
        <f t="shared" si="65"/>
        <v>0.88784988700908452</v>
      </c>
      <c r="S491" s="129">
        <v>0</v>
      </c>
      <c r="T491" s="129">
        <v>0</v>
      </c>
      <c r="U491" s="129">
        <v>0</v>
      </c>
      <c r="V491" s="138">
        <f t="shared" si="66"/>
        <v>4</v>
      </c>
      <c r="W491" s="138">
        <f t="shared" si="67"/>
        <v>4</v>
      </c>
      <c r="X491" s="138">
        <f t="shared" si="68"/>
        <v>2</v>
      </c>
      <c r="Y491" s="138">
        <f t="shared" si="69"/>
        <v>0</v>
      </c>
      <c r="Z491" s="138">
        <f t="shared" si="70"/>
        <v>0</v>
      </c>
      <c r="AA491" s="138">
        <f t="shared" si="71"/>
        <v>0</v>
      </c>
      <c r="AB491" s="127" t="s">
        <v>32</v>
      </c>
      <c r="AC491" s="127"/>
      <c r="AD491" s="127"/>
      <c r="AE491" s="130"/>
      <c r="AF491" s="136">
        <v>0</v>
      </c>
      <c r="AG491" s="136">
        <v>0</v>
      </c>
      <c r="AH491" s="136">
        <v>0</v>
      </c>
      <c r="AI491" s="136">
        <v>0</v>
      </c>
      <c r="AJ491" s="136">
        <v>0</v>
      </c>
      <c r="AK491" s="136">
        <v>0</v>
      </c>
      <c r="AL491" s="136">
        <v>0</v>
      </c>
      <c r="AM491" s="136">
        <v>0</v>
      </c>
      <c r="AN491" s="131"/>
      <c r="AO491" s="131"/>
      <c r="AP491" s="131"/>
      <c r="AQ491" s="131"/>
      <c r="AR491" s="131"/>
      <c r="AS491" s="131"/>
      <c r="AT491" s="131"/>
      <c r="AU491" s="91"/>
      <c r="AV491" s="91"/>
      <c r="AW491" s="131"/>
      <c r="AX491" s="131"/>
      <c r="AY491" s="131"/>
    </row>
    <row r="492" spans="1:51" ht="15" x14ac:dyDescent="0.25">
      <c r="A492" s="123"/>
      <c r="B492" s="124"/>
      <c r="C492" s="125">
        <v>921047</v>
      </c>
      <c r="D492" s="89"/>
      <c r="E492" s="86" t="s">
        <v>12</v>
      </c>
      <c r="F492" s="86" t="s">
        <v>418</v>
      </c>
      <c r="H492" s="126" t="s">
        <v>51</v>
      </c>
      <c r="I492" s="89">
        <v>1</v>
      </c>
      <c r="J492" s="127">
        <v>39191.1299</v>
      </c>
      <c r="K492" s="127">
        <v>64750.12</v>
      </c>
      <c r="L492" s="127">
        <v>7730.71</v>
      </c>
      <c r="M492" s="127">
        <v>19165.129900000018</v>
      </c>
      <c r="N492" s="127">
        <v>54159.12000000001</v>
      </c>
      <c r="O492" s="127">
        <v>6863.71</v>
      </c>
      <c r="P492" s="128">
        <f t="shared" si="63"/>
        <v>0.48901702882518877</v>
      </c>
      <c r="Q492" s="128">
        <f t="shared" si="64"/>
        <v>0.83643273556867548</v>
      </c>
      <c r="R492" s="128">
        <f t="shared" si="65"/>
        <v>0.88784988700908452</v>
      </c>
      <c r="S492" s="129">
        <v>1</v>
      </c>
      <c r="T492" s="129">
        <v>1</v>
      </c>
      <c r="U492" s="129">
        <v>1</v>
      </c>
      <c r="V492" s="138">
        <f t="shared" si="66"/>
        <v>3</v>
      </c>
      <c r="W492" s="138">
        <f t="shared" si="67"/>
        <v>3</v>
      </c>
      <c r="X492" s="138">
        <f t="shared" si="68"/>
        <v>1</v>
      </c>
      <c r="Y492" s="138">
        <f t="shared" si="69"/>
        <v>3</v>
      </c>
      <c r="Z492" s="138">
        <f t="shared" si="70"/>
        <v>3</v>
      </c>
      <c r="AA492" s="138">
        <f t="shared" si="71"/>
        <v>1</v>
      </c>
      <c r="AB492" s="127" t="s">
        <v>32</v>
      </c>
      <c r="AC492" s="127"/>
      <c r="AD492" s="127"/>
      <c r="AE492" s="130"/>
      <c r="AF492" s="136">
        <v>10.84</v>
      </c>
      <c r="AG492" s="136">
        <v>11.33</v>
      </c>
      <c r="AH492" s="136">
        <v>30.63</v>
      </c>
      <c r="AI492" s="136">
        <v>5.99</v>
      </c>
      <c r="AJ492" s="136">
        <v>3.88</v>
      </c>
      <c r="AK492" s="136">
        <v>0.49</v>
      </c>
      <c r="AL492" s="136">
        <v>3.31</v>
      </c>
      <c r="AM492" s="136">
        <v>66.47</v>
      </c>
      <c r="AN492" s="131"/>
      <c r="AO492" s="131"/>
      <c r="AP492" s="131"/>
      <c r="AQ492" s="131"/>
      <c r="AR492" s="131"/>
      <c r="AS492" s="131"/>
      <c r="AT492" s="131"/>
      <c r="AU492" s="91"/>
      <c r="AV492" s="91"/>
      <c r="AW492" s="131"/>
      <c r="AX492" s="131"/>
      <c r="AY492" s="131"/>
    </row>
    <row r="493" spans="1:51" ht="15" x14ac:dyDescent="0.25">
      <c r="A493" s="123"/>
      <c r="B493" s="124"/>
      <c r="C493" s="125">
        <v>933049</v>
      </c>
      <c r="D493" s="89"/>
      <c r="E493" s="86" t="s">
        <v>12</v>
      </c>
      <c r="F493" s="86" t="s">
        <v>418</v>
      </c>
      <c r="H493" s="126" t="s">
        <v>50</v>
      </c>
      <c r="I493" s="89">
        <v>2</v>
      </c>
      <c r="J493" s="127">
        <v>39191.1299</v>
      </c>
      <c r="K493" s="127">
        <v>64750.12</v>
      </c>
      <c r="L493" s="127">
        <v>7730.71</v>
      </c>
      <c r="M493" s="127">
        <v>19165.129900000018</v>
      </c>
      <c r="N493" s="127">
        <v>54159.12000000001</v>
      </c>
      <c r="O493" s="127">
        <v>6863.71</v>
      </c>
      <c r="P493" s="128">
        <f t="shared" si="63"/>
        <v>0.48901702882518877</v>
      </c>
      <c r="Q493" s="128">
        <f t="shared" si="64"/>
        <v>0.83643273556867548</v>
      </c>
      <c r="R493" s="128">
        <f t="shared" si="65"/>
        <v>0.88784988700908452</v>
      </c>
      <c r="S493" s="129">
        <v>0</v>
      </c>
      <c r="T493" s="129">
        <v>0</v>
      </c>
      <c r="U493" s="129">
        <v>0</v>
      </c>
      <c r="V493" s="138">
        <f t="shared" si="66"/>
        <v>4</v>
      </c>
      <c r="W493" s="138">
        <f t="shared" si="67"/>
        <v>4</v>
      </c>
      <c r="X493" s="138">
        <f t="shared" si="68"/>
        <v>2</v>
      </c>
      <c r="Y493" s="138">
        <f t="shared" si="69"/>
        <v>0</v>
      </c>
      <c r="Z493" s="138">
        <f t="shared" si="70"/>
        <v>0</v>
      </c>
      <c r="AA493" s="138">
        <f t="shared" si="71"/>
        <v>0</v>
      </c>
      <c r="AB493" s="127" t="s">
        <v>32</v>
      </c>
      <c r="AC493" s="127"/>
      <c r="AD493" s="127"/>
      <c r="AE493" s="130"/>
      <c r="AF493" s="136">
        <v>0</v>
      </c>
      <c r="AG493" s="136">
        <v>0</v>
      </c>
      <c r="AH493" s="136">
        <v>0</v>
      </c>
      <c r="AI493" s="136">
        <v>0</v>
      </c>
      <c r="AJ493" s="136">
        <v>0</v>
      </c>
      <c r="AK493" s="136">
        <v>0</v>
      </c>
      <c r="AL493" s="136">
        <v>0</v>
      </c>
      <c r="AM493" s="136">
        <v>0</v>
      </c>
      <c r="AN493" s="131"/>
      <c r="AO493" s="131"/>
      <c r="AP493" s="131"/>
      <c r="AQ493" s="131"/>
      <c r="AR493" s="131"/>
      <c r="AS493" s="131"/>
      <c r="AT493" s="131"/>
      <c r="AU493" s="91"/>
      <c r="AV493" s="91"/>
      <c r="AW493" s="131"/>
      <c r="AX493" s="131"/>
      <c r="AY493" s="131"/>
    </row>
    <row r="494" spans="1:51" ht="15" x14ac:dyDescent="0.25">
      <c r="A494" s="123"/>
      <c r="B494" s="124"/>
      <c r="C494" s="125">
        <v>968247</v>
      </c>
      <c r="D494" s="89"/>
      <c r="E494" s="86" t="s">
        <v>12</v>
      </c>
      <c r="F494" s="86" t="s">
        <v>418</v>
      </c>
      <c r="H494" s="126" t="s">
        <v>51</v>
      </c>
      <c r="I494" s="89">
        <v>1</v>
      </c>
      <c r="J494" s="127">
        <v>39191.1299</v>
      </c>
      <c r="K494" s="127">
        <v>64750.12</v>
      </c>
      <c r="L494" s="127">
        <v>7730.71</v>
      </c>
      <c r="M494" s="127">
        <v>19165.129900000018</v>
      </c>
      <c r="N494" s="127">
        <v>54159.12000000001</v>
      </c>
      <c r="O494" s="127">
        <v>6863.71</v>
      </c>
      <c r="P494" s="128">
        <f t="shared" si="63"/>
        <v>0.48901702882518877</v>
      </c>
      <c r="Q494" s="128">
        <f t="shared" si="64"/>
        <v>0.83643273556867548</v>
      </c>
      <c r="R494" s="128">
        <f t="shared" si="65"/>
        <v>0.88784988700908452</v>
      </c>
      <c r="S494" s="129">
        <v>1</v>
      </c>
      <c r="T494" s="129">
        <v>1</v>
      </c>
      <c r="U494" s="129">
        <v>1</v>
      </c>
      <c r="V494" s="138">
        <f t="shared" si="66"/>
        <v>3</v>
      </c>
      <c r="W494" s="138">
        <f t="shared" si="67"/>
        <v>3</v>
      </c>
      <c r="X494" s="138">
        <f t="shared" si="68"/>
        <v>1</v>
      </c>
      <c r="Y494" s="138">
        <f t="shared" si="69"/>
        <v>3</v>
      </c>
      <c r="Z494" s="138">
        <f t="shared" si="70"/>
        <v>3</v>
      </c>
      <c r="AA494" s="138">
        <f t="shared" si="71"/>
        <v>1</v>
      </c>
      <c r="AB494" s="127" t="s">
        <v>32</v>
      </c>
      <c r="AC494" s="127"/>
      <c r="AD494" s="127"/>
      <c r="AE494" s="130"/>
      <c r="AF494" s="136">
        <v>10.84</v>
      </c>
      <c r="AG494" s="136">
        <v>11.33</v>
      </c>
      <c r="AH494" s="136">
        <v>30.63</v>
      </c>
      <c r="AI494" s="136">
        <v>5.99</v>
      </c>
      <c r="AJ494" s="136">
        <v>3.88</v>
      </c>
      <c r="AK494" s="136">
        <v>0.49</v>
      </c>
      <c r="AL494" s="136">
        <v>3.31</v>
      </c>
      <c r="AM494" s="136">
        <v>66.47</v>
      </c>
      <c r="AN494" s="131"/>
      <c r="AO494" s="131"/>
      <c r="AP494" s="131"/>
      <c r="AQ494" s="131"/>
      <c r="AR494" s="131"/>
      <c r="AS494" s="131"/>
      <c r="AT494" s="131"/>
      <c r="AU494" s="91"/>
      <c r="AV494" s="91"/>
      <c r="AW494" s="131"/>
      <c r="AX494" s="131"/>
      <c r="AY494" s="131"/>
    </row>
    <row r="495" spans="1:51" ht="15" x14ac:dyDescent="0.25">
      <c r="A495" s="123"/>
      <c r="B495" s="124"/>
      <c r="C495" s="125">
        <v>968789</v>
      </c>
      <c r="D495" s="89"/>
      <c r="E495" s="86" t="s">
        <v>12</v>
      </c>
      <c r="F495" s="86" t="s">
        <v>418</v>
      </c>
      <c r="H495" s="126" t="s">
        <v>51</v>
      </c>
      <c r="I495" s="89">
        <v>1</v>
      </c>
      <c r="J495" s="127">
        <v>39191.1299</v>
      </c>
      <c r="K495" s="127">
        <v>64750.12</v>
      </c>
      <c r="L495" s="127">
        <v>7730.71</v>
      </c>
      <c r="M495" s="127">
        <v>19165.129900000018</v>
      </c>
      <c r="N495" s="127">
        <v>54159.12000000001</v>
      </c>
      <c r="O495" s="127">
        <v>6863.71</v>
      </c>
      <c r="P495" s="128">
        <f t="shared" si="63"/>
        <v>0.48901702882518877</v>
      </c>
      <c r="Q495" s="128">
        <f t="shared" si="64"/>
        <v>0.83643273556867548</v>
      </c>
      <c r="R495" s="128">
        <f t="shared" si="65"/>
        <v>0.88784988700908452</v>
      </c>
      <c r="S495" s="129">
        <v>1</v>
      </c>
      <c r="T495" s="129">
        <v>1</v>
      </c>
      <c r="U495" s="129">
        <v>1</v>
      </c>
      <c r="V495" s="138">
        <f t="shared" si="66"/>
        <v>3</v>
      </c>
      <c r="W495" s="138">
        <f t="shared" si="67"/>
        <v>3</v>
      </c>
      <c r="X495" s="138">
        <f t="shared" si="68"/>
        <v>1</v>
      </c>
      <c r="Y495" s="138">
        <f t="shared" si="69"/>
        <v>3</v>
      </c>
      <c r="Z495" s="138">
        <f t="shared" si="70"/>
        <v>3</v>
      </c>
      <c r="AA495" s="138">
        <f t="shared" si="71"/>
        <v>1</v>
      </c>
      <c r="AB495" s="127" t="s">
        <v>32</v>
      </c>
      <c r="AC495" s="127"/>
      <c r="AD495" s="127"/>
      <c r="AE495" s="130"/>
      <c r="AF495" s="136">
        <v>10.84</v>
      </c>
      <c r="AG495" s="136">
        <v>11.33</v>
      </c>
      <c r="AH495" s="136">
        <v>30.63</v>
      </c>
      <c r="AI495" s="136">
        <v>5.99</v>
      </c>
      <c r="AJ495" s="136">
        <v>3.88</v>
      </c>
      <c r="AK495" s="136">
        <v>0.49</v>
      </c>
      <c r="AL495" s="136">
        <v>3.31</v>
      </c>
      <c r="AM495" s="136">
        <v>66.47</v>
      </c>
      <c r="AN495" s="131"/>
      <c r="AO495" s="131"/>
      <c r="AP495" s="131"/>
      <c r="AQ495" s="131"/>
      <c r="AR495" s="131"/>
      <c r="AS495" s="131"/>
      <c r="AT495" s="131"/>
      <c r="AU495" s="91"/>
      <c r="AV495" s="91"/>
      <c r="AW495" s="131"/>
      <c r="AX495" s="131"/>
      <c r="AY495" s="131"/>
    </row>
    <row r="496" spans="1:51" ht="15" x14ac:dyDescent="0.25">
      <c r="A496" s="123"/>
      <c r="B496" s="124"/>
      <c r="C496" s="125">
        <v>974713</v>
      </c>
      <c r="D496" s="89"/>
      <c r="E496" s="86" t="s">
        <v>12</v>
      </c>
      <c r="F496" s="86" t="s">
        <v>418</v>
      </c>
      <c r="H496" s="126" t="s">
        <v>50</v>
      </c>
      <c r="I496" s="89">
        <v>2</v>
      </c>
      <c r="J496" s="127">
        <v>39191.1299</v>
      </c>
      <c r="K496" s="127">
        <v>64750.12</v>
      </c>
      <c r="L496" s="127">
        <v>7730.71</v>
      </c>
      <c r="M496" s="127">
        <v>19165.129900000018</v>
      </c>
      <c r="N496" s="127">
        <v>54159.12000000001</v>
      </c>
      <c r="O496" s="127">
        <v>6863.71</v>
      </c>
      <c r="P496" s="128">
        <f t="shared" si="63"/>
        <v>0.48901702882518877</v>
      </c>
      <c r="Q496" s="128">
        <f t="shared" si="64"/>
        <v>0.83643273556867548</v>
      </c>
      <c r="R496" s="128">
        <f t="shared" si="65"/>
        <v>0.88784988700908452</v>
      </c>
      <c r="S496" s="129">
        <v>0</v>
      </c>
      <c r="T496" s="129">
        <v>0</v>
      </c>
      <c r="U496" s="129">
        <v>0</v>
      </c>
      <c r="V496" s="138">
        <f t="shared" si="66"/>
        <v>4</v>
      </c>
      <c r="W496" s="138">
        <f t="shared" si="67"/>
        <v>4</v>
      </c>
      <c r="X496" s="138">
        <f t="shared" si="68"/>
        <v>2</v>
      </c>
      <c r="Y496" s="138">
        <f t="shared" si="69"/>
        <v>0</v>
      </c>
      <c r="Z496" s="138">
        <f t="shared" si="70"/>
        <v>0</v>
      </c>
      <c r="AA496" s="138">
        <f t="shared" si="71"/>
        <v>0</v>
      </c>
      <c r="AB496" s="127" t="s">
        <v>32</v>
      </c>
      <c r="AC496" s="127"/>
      <c r="AD496" s="127"/>
      <c r="AE496" s="130"/>
      <c r="AF496" s="136">
        <v>0</v>
      </c>
      <c r="AG496" s="136">
        <v>0</v>
      </c>
      <c r="AH496" s="136">
        <v>0</v>
      </c>
      <c r="AI496" s="136">
        <v>0</v>
      </c>
      <c r="AJ496" s="136">
        <v>0</v>
      </c>
      <c r="AK496" s="136">
        <v>0</v>
      </c>
      <c r="AL496" s="136">
        <v>0</v>
      </c>
      <c r="AM496" s="136">
        <v>0</v>
      </c>
      <c r="AN496" s="131"/>
      <c r="AO496" s="131"/>
      <c r="AP496" s="131"/>
      <c r="AQ496" s="131"/>
      <c r="AR496" s="131"/>
      <c r="AS496" s="131"/>
      <c r="AT496" s="131"/>
      <c r="AU496" s="91"/>
      <c r="AV496" s="91"/>
      <c r="AW496" s="131"/>
      <c r="AX496" s="131"/>
      <c r="AY496" s="131"/>
    </row>
    <row r="497" spans="1:51" ht="15" x14ac:dyDescent="0.25">
      <c r="A497" s="123"/>
      <c r="B497" s="124"/>
      <c r="C497" s="125">
        <v>994075</v>
      </c>
      <c r="D497" s="89"/>
      <c r="E497" s="86" t="s">
        <v>12</v>
      </c>
      <c r="F497" s="86" t="s">
        <v>418</v>
      </c>
      <c r="H497" s="126" t="s">
        <v>51</v>
      </c>
      <c r="I497" s="89">
        <v>1</v>
      </c>
      <c r="J497" s="127">
        <v>39191.1299</v>
      </c>
      <c r="K497" s="127">
        <v>64750.12</v>
      </c>
      <c r="L497" s="127">
        <v>7730.71</v>
      </c>
      <c r="M497" s="127">
        <v>19165.129900000018</v>
      </c>
      <c r="N497" s="127">
        <v>54159.12000000001</v>
      </c>
      <c r="O497" s="127">
        <v>6863.71</v>
      </c>
      <c r="P497" s="128">
        <f t="shared" si="63"/>
        <v>0.48901702882518877</v>
      </c>
      <c r="Q497" s="128">
        <f t="shared" si="64"/>
        <v>0.83643273556867548</v>
      </c>
      <c r="R497" s="128">
        <f t="shared" si="65"/>
        <v>0.88784988700908452</v>
      </c>
      <c r="S497" s="129">
        <v>1</v>
      </c>
      <c r="T497" s="129">
        <v>1</v>
      </c>
      <c r="U497" s="129">
        <v>1</v>
      </c>
      <c r="V497" s="138">
        <f t="shared" si="66"/>
        <v>3</v>
      </c>
      <c r="W497" s="138">
        <f t="shared" si="67"/>
        <v>3</v>
      </c>
      <c r="X497" s="138">
        <f t="shared" si="68"/>
        <v>1</v>
      </c>
      <c r="Y497" s="138">
        <f t="shared" si="69"/>
        <v>3</v>
      </c>
      <c r="Z497" s="138">
        <f t="shared" si="70"/>
        <v>3</v>
      </c>
      <c r="AA497" s="138">
        <f t="shared" si="71"/>
        <v>1</v>
      </c>
      <c r="AB497" s="127" t="s">
        <v>32</v>
      </c>
      <c r="AC497" s="127"/>
      <c r="AD497" s="127"/>
      <c r="AE497" s="130"/>
      <c r="AF497" s="136">
        <v>10.84</v>
      </c>
      <c r="AG497" s="136">
        <v>11.33</v>
      </c>
      <c r="AH497" s="136">
        <v>30.63</v>
      </c>
      <c r="AI497" s="136">
        <v>5.99</v>
      </c>
      <c r="AJ497" s="136">
        <v>3.88</v>
      </c>
      <c r="AK497" s="136">
        <v>0.49</v>
      </c>
      <c r="AL497" s="136">
        <v>3.31</v>
      </c>
      <c r="AM497" s="136">
        <v>66.47</v>
      </c>
      <c r="AN497" s="131"/>
      <c r="AO497" s="131"/>
      <c r="AP497" s="131"/>
      <c r="AQ497" s="131"/>
      <c r="AR497" s="131"/>
      <c r="AS497" s="131"/>
      <c r="AT497" s="131"/>
      <c r="AU497" s="91"/>
      <c r="AV497" s="91"/>
      <c r="AW497" s="131"/>
      <c r="AX497" s="131"/>
      <c r="AY497" s="131"/>
    </row>
    <row r="498" spans="1:51" ht="15" x14ac:dyDescent="0.25">
      <c r="A498" s="123"/>
      <c r="B498" s="124"/>
      <c r="C498" s="125">
        <v>35244</v>
      </c>
      <c r="D498" s="89"/>
      <c r="E498" s="86" t="s">
        <v>29</v>
      </c>
      <c r="F498" s="86" t="s">
        <v>418</v>
      </c>
      <c r="H498" s="126" t="s">
        <v>51</v>
      </c>
      <c r="I498" s="89">
        <v>1</v>
      </c>
      <c r="J498" s="127">
        <v>60739.289900000003</v>
      </c>
      <c r="K498" s="127">
        <v>66432.75</v>
      </c>
      <c r="L498" s="127">
        <v>9409.2039999999997</v>
      </c>
      <c r="M498" s="127">
        <v>37179.289900000033</v>
      </c>
      <c r="N498" s="127">
        <v>53972.750000000007</v>
      </c>
      <c r="O498" s="127">
        <v>8389.2039999999997</v>
      </c>
      <c r="P498" s="128">
        <f t="shared" si="63"/>
        <v>0.61211268622355153</v>
      </c>
      <c r="Q498" s="128">
        <f t="shared" si="64"/>
        <v>0.81244190553604967</v>
      </c>
      <c r="R498" s="128">
        <f t="shared" si="65"/>
        <v>0.89159550584725333</v>
      </c>
      <c r="S498" s="129">
        <v>1</v>
      </c>
      <c r="T498" s="129">
        <v>1</v>
      </c>
      <c r="U498" s="129">
        <v>1</v>
      </c>
      <c r="V498" s="138">
        <f t="shared" si="66"/>
        <v>3</v>
      </c>
      <c r="W498" s="138">
        <f t="shared" si="67"/>
        <v>3</v>
      </c>
      <c r="X498" s="138">
        <f t="shared" si="68"/>
        <v>1</v>
      </c>
      <c r="Y498" s="138">
        <f t="shared" si="69"/>
        <v>3</v>
      </c>
      <c r="Z498" s="138">
        <f t="shared" si="70"/>
        <v>3</v>
      </c>
      <c r="AA498" s="138">
        <f t="shared" si="71"/>
        <v>1</v>
      </c>
      <c r="AB498" s="127" t="s">
        <v>32</v>
      </c>
      <c r="AC498" s="127"/>
      <c r="AD498" s="127"/>
      <c r="AE498" s="130"/>
      <c r="AF498" s="136">
        <v>17.16</v>
      </c>
      <c r="AG498" s="136">
        <v>11.33</v>
      </c>
      <c r="AH498" s="136">
        <v>24.91</v>
      </c>
      <c r="AI498" s="136">
        <v>5.99</v>
      </c>
      <c r="AJ498" s="136">
        <v>4.03</v>
      </c>
      <c r="AK498" s="136">
        <v>0.49</v>
      </c>
      <c r="AL498" s="136">
        <v>3.31</v>
      </c>
      <c r="AM498" s="136">
        <v>67.220000000000013</v>
      </c>
      <c r="AN498" s="131"/>
      <c r="AO498" s="131"/>
      <c r="AP498" s="131"/>
      <c r="AQ498" s="131"/>
      <c r="AR498" s="131"/>
      <c r="AS498" s="131"/>
      <c r="AT498" s="131"/>
      <c r="AU498" s="91"/>
      <c r="AV498" s="91"/>
      <c r="AW498" s="131"/>
      <c r="AX498" s="131"/>
      <c r="AY498" s="131"/>
    </row>
    <row r="499" spans="1:51" ht="15" x14ac:dyDescent="0.25">
      <c r="A499" s="123"/>
      <c r="B499" s="124"/>
      <c r="C499" s="125">
        <v>87039</v>
      </c>
      <c r="D499" s="89"/>
      <c r="E499" s="86" t="s">
        <v>29</v>
      </c>
      <c r="F499" s="86" t="s">
        <v>418</v>
      </c>
      <c r="H499" s="126" t="s">
        <v>51</v>
      </c>
      <c r="I499" s="89">
        <v>1</v>
      </c>
      <c r="J499" s="127">
        <v>60739.289900000003</v>
      </c>
      <c r="K499" s="127">
        <v>66432.75</v>
      </c>
      <c r="L499" s="127">
        <v>9409.2039999999997</v>
      </c>
      <c r="M499" s="127">
        <v>37179.289900000033</v>
      </c>
      <c r="N499" s="127">
        <v>53972.750000000007</v>
      </c>
      <c r="O499" s="127">
        <v>8389.2039999999997</v>
      </c>
      <c r="P499" s="128">
        <f t="shared" si="63"/>
        <v>0.61211268622355153</v>
      </c>
      <c r="Q499" s="128">
        <f t="shared" si="64"/>
        <v>0.81244190553604967</v>
      </c>
      <c r="R499" s="128">
        <f t="shared" si="65"/>
        <v>0.89159550584725333</v>
      </c>
      <c r="S499" s="129">
        <v>1</v>
      </c>
      <c r="T499" s="129">
        <v>1</v>
      </c>
      <c r="U499" s="129">
        <v>1</v>
      </c>
      <c r="V499" s="138">
        <f t="shared" si="66"/>
        <v>3</v>
      </c>
      <c r="W499" s="138">
        <f t="shared" si="67"/>
        <v>3</v>
      </c>
      <c r="X499" s="138">
        <f t="shared" si="68"/>
        <v>1</v>
      </c>
      <c r="Y499" s="138">
        <f t="shared" si="69"/>
        <v>3</v>
      </c>
      <c r="Z499" s="138">
        <f t="shared" si="70"/>
        <v>3</v>
      </c>
      <c r="AA499" s="138">
        <f t="shared" si="71"/>
        <v>1</v>
      </c>
      <c r="AB499" s="127" t="s">
        <v>32</v>
      </c>
      <c r="AC499" s="127"/>
      <c r="AD499" s="127"/>
      <c r="AE499" s="130"/>
      <c r="AF499" s="136">
        <v>17.16</v>
      </c>
      <c r="AG499" s="136">
        <v>11.33</v>
      </c>
      <c r="AH499" s="136">
        <v>24.91</v>
      </c>
      <c r="AI499" s="136">
        <v>5.99</v>
      </c>
      <c r="AJ499" s="136">
        <v>4.03</v>
      </c>
      <c r="AK499" s="136">
        <v>0.49</v>
      </c>
      <c r="AL499" s="136">
        <v>3.31</v>
      </c>
      <c r="AM499" s="136">
        <v>67.220000000000013</v>
      </c>
      <c r="AN499" s="131"/>
      <c r="AO499" s="131"/>
      <c r="AP499" s="131"/>
      <c r="AQ499" s="131"/>
      <c r="AR499" s="131"/>
      <c r="AS499" s="131"/>
      <c r="AT499" s="131"/>
      <c r="AU499" s="91"/>
      <c r="AV499" s="91"/>
      <c r="AW499" s="131"/>
      <c r="AX499" s="131"/>
      <c r="AY499" s="131"/>
    </row>
    <row r="500" spans="1:51" ht="15" x14ac:dyDescent="0.25">
      <c r="A500" s="123"/>
      <c r="B500" s="124"/>
      <c r="C500" s="125">
        <v>123636</v>
      </c>
      <c r="D500" s="89"/>
      <c r="E500" s="86" t="s">
        <v>29</v>
      </c>
      <c r="F500" s="86" t="s">
        <v>418</v>
      </c>
      <c r="H500" s="126" t="s">
        <v>51</v>
      </c>
      <c r="I500" s="89">
        <v>1</v>
      </c>
      <c r="J500" s="127">
        <v>60739.289900000003</v>
      </c>
      <c r="K500" s="127">
        <v>66432.75</v>
      </c>
      <c r="L500" s="127">
        <v>9409.2039999999997</v>
      </c>
      <c r="M500" s="127">
        <v>37179.289900000033</v>
      </c>
      <c r="N500" s="127">
        <v>53972.750000000007</v>
      </c>
      <c r="O500" s="127">
        <v>8389.2039999999997</v>
      </c>
      <c r="P500" s="128">
        <f t="shared" si="63"/>
        <v>0.61211268622355153</v>
      </c>
      <c r="Q500" s="128">
        <f t="shared" si="64"/>
        <v>0.81244190553604967</v>
      </c>
      <c r="R500" s="128">
        <f t="shared" si="65"/>
        <v>0.89159550584725333</v>
      </c>
      <c r="S500" s="129">
        <v>1</v>
      </c>
      <c r="T500" s="129">
        <v>1</v>
      </c>
      <c r="U500" s="129">
        <v>1</v>
      </c>
      <c r="V500" s="138">
        <f t="shared" si="66"/>
        <v>3</v>
      </c>
      <c r="W500" s="138">
        <f t="shared" si="67"/>
        <v>3</v>
      </c>
      <c r="X500" s="138">
        <f t="shared" si="68"/>
        <v>1</v>
      </c>
      <c r="Y500" s="138">
        <f t="shared" si="69"/>
        <v>3</v>
      </c>
      <c r="Z500" s="138">
        <f t="shared" si="70"/>
        <v>3</v>
      </c>
      <c r="AA500" s="138">
        <f t="shared" si="71"/>
        <v>1</v>
      </c>
      <c r="AB500" s="127" t="s">
        <v>32</v>
      </c>
      <c r="AC500" s="127"/>
      <c r="AD500" s="127"/>
      <c r="AE500" s="130"/>
      <c r="AF500" s="136">
        <v>17.16</v>
      </c>
      <c r="AG500" s="136">
        <v>11.33</v>
      </c>
      <c r="AH500" s="136">
        <v>24.91</v>
      </c>
      <c r="AI500" s="136">
        <v>5.99</v>
      </c>
      <c r="AJ500" s="136">
        <v>4.03</v>
      </c>
      <c r="AK500" s="136">
        <v>0.49</v>
      </c>
      <c r="AL500" s="136">
        <v>3.31</v>
      </c>
      <c r="AM500" s="136">
        <v>67.220000000000013</v>
      </c>
      <c r="AN500" s="131"/>
      <c r="AO500" s="131"/>
      <c r="AP500" s="131"/>
      <c r="AQ500" s="131"/>
      <c r="AR500" s="131"/>
      <c r="AS500" s="131"/>
      <c r="AT500" s="131"/>
      <c r="AU500" s="91"/>
      <c r="AV500" s="91"/>
      <c r="AW500" s="131"/>
      <c r="AX500" s="131"/>
      <c r="AY500" s="131"/>
    </row>
    <row r="501" spans="1:51" ht="15" x14ac:dyDescent="0.25">
      <c r="A501" s="123"/>
      <c r="B501" s="124"/>
      <c r="C501" s="125">
        <v>153649</v>
      </c>
      <c r="D501" s="89"/>
      <c r="E501" s="86" t="s">
        <v>29</v>
      </c>
      <c r="F501" s="86" t="s">
        <v>418</v>
      </c>
      <c r="H501" s="126" t="s">
        <v>51</v>
      </c>
      <c r="I501" s="89">
        <v>1</v>
      </c>
      <c r="J501" s="127">
        <v>60739.289900000003</v>
      </c>
      <c r="K501" s="127">
        <v>66432.75</v>
      </c>
      <c r="L501" s="127">
        <v>9409.2039999999997</v>
      </c>
      <c r="M501" s="127">
        <v>37179.289900000033</v>
      </c>
      <c r="N501" s="127">
        <v>53972.750000000007</v>
      </c>
      <c r="O501" s="127">
        <v>8389.2039999999997</v>
      </c>
      <c r="P501" s="128">
        <f t="shared" si="63"/>
        <v>0.61211268622355153</v>
      </c>
      <c r="Q501" s="128">
        <f t="shared" si="64"/>
        <v>0.81244190553604967</v>
      </c>
      <c r="R501" s="128">
        <f t="shared" si="65"/>
        <v>0.89159550584725333</v>
      </c>
      <c r="S501" s="129">
        <v>1</v>
      </c>
      <c r="T501" s="129">
        <v>1</v>
      </c>
      <c r="U501" s="129">
        <v>1</v>
      </c>
      <c r="V501" s="138">
        <f t="shared" si="66"/>
        <v>3</v>
      </c>
      <c r="W501" s="138">
        <f t="shared" si="67"/>
        <v>3</v>
      </c>
      <c r="X501" s="138">
        <f t="shared" si="68"/>
        <v>1</v>
      </c>
      <c r="Y501" s="138">
        <f t="shared" si="69"/>
        <v>3</v>
      </c>
      <c r="Z501" s="138">
        <f t="shared" si="70"/>
        <v>3</v>
      </c>
      <c r="AA501" s="138">
        <f t="shared" si="71"/>
        <v>1</v>
      </c>
      <c r="AB501" s="127" t="s">
        <v>32</v>
      </c>
      <c r="AC501" s="127"/>
      <c r="AD501" s="127"/>
      <c r="AE501" s="130"/>
      <c r="AF501" s="136">
        <v>17.16</v>
      </c>
      <c r="AG501" s="136">
        <v>11.33</v>
      </c>
      <c r="AH501" s="136">
        <v>24.91</v>
      </c>
      <c r="AI501" s="136">
        <v>5.99</v>
      </c>
      <c r="AJ501" s="136">
        <v>4.03</v>
      </c>
      <c r="AK501" s="136">
        <v>0.49</v>
      </c>
      <c r="AL501" s="136">
        <v>3.31</v>
      </c>
      <c r="AM501" s="136">
        <v>67.220000000000013</v>
      </c>
      <c r="AN501" s="131"/>
      <c r="AO501" s="131"/>
      <c r="AP501" s="131"/>
      <c r="AQ501" s="131"/>
      <c r="AR501" s="131"/>
      <c r="AS501" s="131"/>
      <c r="AT501" s="131"/>
      <c r="AU501" s="91"/>
      <c r="AV501" s="91"/>
      <c r="AW501" s="131"/>
      <c r="AX501" s="131"/>
      <c r="AY501" s="131"/>
    </row>
    <row r="502" spans="1:51" ht="15" x14ac:dyDescent="0.25">
      <c r="A502" s="123"/>
      <c r="B502" s="124"/>
      <c r="C502" s="125">
        <v>169761</v>
      </c>
      <c r="D502" s="89"/>
      <c r="E502" s="86" t="s">
        <v>29</v>
      </c>
      <c r="F502" s="86" t="s">
        <v>418</v>
      </c>
      <c r="H502" s="126" t="s">
        <v>51</v>
      </c>
      <c r="I502" s="89">
        <v>2</v>
      </c>
      <c r="J502" s="127">
        <v>60739.289900000003</v>
      </c>
      <c r="K502" s="127">
        <v>66432.75</v>
      </c>
      <c r="L502" s="127">
        <v>9409.2039999999997</v>
      </c>
      <c r="M502" s="127">
        <v>37179.289900000033</v>
      </c>
      <c r="N502" s="127">
        <v>53972.750000000007</v>
      </c>
      <c r="O502" s="127">
        <v>8389.2039999999997</v>
      </c>
      <c r="P502" s="128">
        <f t="shared" si="63"/>
        <v>0.61211268622355153</v>
      </c>
      <c r="Q502" s="128">
        <f t="shared" si="64"/>
        <v>0.81244190553604967</v>
      </c>
      <c r="R502" s="128">
        <f t="shared" si="65"/>
        <v>0.89159550584725333</v>
      </c>
      <c r="S502" s="129">
        <v>1</v>
      </c>
      <c r="T502" s="129">
        <v>1</v>
      </c>
      <c r="U502" s="129">
        <v>1</v>
      </c>
      <c r="V502" s="138">
        <f t="shared" si="66"/>
        <v>4</v>
      </c>
      <c r="W502" s="138">
        <f t="shared" si="67"/>
        <v>4</v>
      </c>
      <c r="X502" s="138">
        <f t="shared" si="68"/>
        <v>2</v>
      </c>
      <c r="Y502" s="138">
        <f t="shared" si="69"/>
        <v>4</v>
      </c>
      <c r="Z502" s="138">
        <f t="shared" si="70"/>
        <v>4</v>
      </c>
      <c r="AA502" s="138">
        <f t="shared" si="71"/>
        <v>1</v>
      </c>
      <c r="AB502" s="127" t="s">
        <v>32</v>
      </c>
      <c r="AC502" s="127"/>
      <c r="AD502" s="127"/>
      <c r="AE502" s="130"/>
      <c r="AF502" s="136">
        <v>22.88</v>
      </c>
      <c r="AG502" s="136">
        <v>11.33</v>
      </c>
      <c r="AH502" s="136">
        <v>33.21</v>
      </c>
      <c r="AI502" s="136">
        <v>5.99</v>
      </c>
      <c r="AJ502" s="136">
        <v>4.03</v>
      </c>
      <c r="AK502" s="136">
        <v>0.49</v>
      </c>
      <c r="AL502" s="136">
        <v>3.31</v>
      </c>
      <c r="AM502" s="136">
        <v>81.239999999999995</v>
      </c>
      <c r="AN502" s="131"/>
      <c r="AO502" s="131"/>
      <c r="AP502" s="131"/>
      <c r="AQ502" s="131"/>
      <c r="AR502" s="131"/>
      <c r="AS502" s="131"/>
      <c r="AT502" s="131"/>
      <c r="AU502" s="91"/>
      <c r="AV502" s="91"/>
      <c r="AW502" s="131"/>
      <c r="AX502" s="131"/>
      <c r="AY502" s="131"/>
    </row>
    <row r="503" spans="1:51" ht="15" x14ac:dyDescent="0.25">
      <c r="A503" s="123"/>
      <c r="B503" s="124"/>
      <c r="C503" s="125">
        <v>177288</v>
      </c>
      <c r="D503" s="89"/>
      <c r="E503" s="86" t="s">
        <v>29</v>
      </c>
      <c r="F503" s="86" t="s">
        <v>418</v>
      </c>
      <c r="H503" s="126" t="s">
        <v>51</v>
      </c>
      <c r="I503" s="89">
        <v>1</v>
      </c>
      <c r="J503" s="127">
        <v>60739.289900000003</v>
      </c>
      <c r="K503" s="127">
        <v>66432.75</v>
      </c>
      <c r="L503" s="127">
        <v>9409.2039999999997</v>
      </c>
      <c r="M503" s="127">
        <v>37179.289900000033</v>
      </c>
      <c r="N503" s="127">
        <v>53972.750000000007</v>
      </c>
      <c r="O503" s="127">
        <v>8389.2039999999997</v>
      </c>
      <c r="P503" s="128">
        <f t="shared" si="63"/>
        <v>0.61211268622355153</v>
      </c>
      <c r="Q503" s="128">
        <f t="shared" si="64"/>
        <v>0.81244190553604967</v>
      </c>
      <c r="R503" s="128">
        <f t="shared" si="65"/>
        <v>0.89159550584725333</v>
      </c>
      <c r="S503" s="129">
        <v>1</v>
      </c>
      <c r="T503" s="129">
        <v>1</v>
      </c>
      <c r="U503" s="129">
        <v>1</v>
      </c>
      <c r="V503" s="138">
        <f t="shared" si="66"/>
        <v>3</v>
      </c>
      <c r="W503" s="138">
        <f t="shared" si="67"/>
        <v>3</v>
      </c>
      <c r="X503" s="138">
        <f t="shared" si="68"/>
        <v>1</v>
      </c>
      <c r="Y503" s="138">
        <f t="shared" si="69"/>
        <v>3</v>
      </c>
      <c r="Z503" s="138">
        <f t="shared" si="70"/>
        <v>3</v>
      </c>
      <c r="AA503" s="138">
        <f t="shared" si="71"/>
        <v>1</v>
      </c>
      <c r="AB503" s="127" t="s">
        <v>32</v>
      </c>
      <c r="AC503" s="127"/>
      <c r="AD503" s="127"/>
      <c r="AE503" s="130"/>
      <c r="AF503" s="136">
        <v>17.16</v>
      </c>
      <c r="AG503" s="136">
        <v>11.33</v>
      </c>
      <c r="AH503" s="136">
        <v>24.91</v>
      </c>
      <c r="AI503" s="136">
        <v>5.99</v>
      </c>
      <c r="AJ503" s="136">
        <v>4.03</v>
      </c>
      <c r="AK503" s="136">
        <v>0.49</v>
      </c>
      <c r="AL503" s="136">
        <v>3.31</v>
      </c>
      <c r="AM503" s="136">
        <v>67.220000000000013</v>
      </c>
      <c r="AN503" s="131"/>
      <c r="AO503" s="131"/>
      <c r="AP503" s="131"/>
      <c r="AQ503" s="131"/>
      <c r="AR503" s="131"/>
      <c r="AS503" s="131"/>
      <c r="AT503" s="131"/>
      <c r="AU503" s="91"/>
      <c r="AV503" s="91"/>
      <c r="AW503" s="131"/>
      <c r="AX503" s="131"/>
      <c r="AY503" s="131"/>
    </row>
    <row r="504" spans="1:51" ht="15" x14ac:dyDescent="0.25">
      <c r="A504" s="123"/>
      <c r="B504" s="124"/>
      <c r="C504" s="125">
        <v>182942</v>
      </c>
      <c r="D504" s="89"/>
      <c r="E504" s="86" t="s">
        <v>29</v>
      </c>
      <c r="F504" s="86" t="s">
        <v>418</v>
      </c>
      <c r="H504" s="126" t="s">
        <v>51</v>
      </c>
      <c r="I504" s="89">
        <v>1</v>
      </c>
      <c r="J504" s="127">
        <v>60739.289900000003</v>
      </c>
      <c r="K504" s="127">
        <v>66432.75</v>
      </c>
      <c r="L504" s="127">
        <v>9409.2039999999997</v>
      </c>
      <c r="M504" s="127">
        <v>37179.289900000033</v>
      </c>
      <c r="N504" s="127">
        <v>53972.750000000007</v>
      </c>
      <c r="O504" s="127">
        <v>8389.2039999999997</v>
      </c>
      <c r="P504" s="128">
        <f t="shared" si="63"/>
        <v>0.61211268622355153</v>
      </c>
      <c r="Q504" s="128">
        <f t="shared" si="64"/>
        <v>0.81244190553604967</v>
      </c>
      <c r="R504" s="128">
        <f t="shared" si="65"/>
        <v>0.89159550584725333</v>
      </c>
      <c r="S504" s="129">
        <v>1</v>
      </c>
      <c r="T504" s="129">
        <v>1</v>
      </c>
      <c r="U504" s="129">
        <v>1</v>
      </c>
      <c r="V504" s="138">
        <f t="shared" si="66"/>
        <v>3</v>
      </c>
      <c r="W504" s="138">
        <f t="shared" si="67"/>
        <v>3</v>
      </c>
      <c r="X504" s="138">
        <f t="shared" si="68"/>
        <v>1</v>
      </c>
      <c r="Y504" s="138">
        <f t="shared" si="69"/>
        <v>3</v>
      </c>
      <c r="Z504" s="138">
        <f t="shared" si="70"/>
        <v>3</v>
      </c>
      <c r="AA504" s="138">
        <f t="shared" si="71"/>
        <v>1</v>
      </c>
      <c r="AB504" s="127" t="s">
        <v>32</v>
      </c>
      <c r="AC504" s="127"/>
      <c r="AD504" s="127"/>
      <c r="AE504" s="130"/>
      <c r="AF504" s="136">
        <v>17.16</v>
      </c>
      <c r="AG504" s="136">
        <v>11.33</v>
      </c>
      <c r="AH504" s="136">
        <v>24.91</v>
      </c>
      <c r="AI504" s="136">
        <v>5.99</v>
      </c>
      <c r="AJ504" s="136">
        <v>4.03</v>
      </c>
      <c r="AK504" s="136">
        <v>0.49</v>
      </c>
      <c r="AL504" s="136">
        <v>3.31</v>
      </c>
      <c r="AM504" s="136">
        <v>67.220000000000013</v>
      </c>
      <c r="AN504" s="131"/>
      <c r="AO504" s="131"/>
      <c r="AP504" s="131"/>
      <c r="AQ504" s="131"/>
      <c r="AR504" s="131"/>
      <c r="AS504" s="131"/>
      <c r="AT504" s="131"/>
      <c r="AU504" s="91"/>
      <c r="AV504" s="91"/>
      <c r="AW504" s="131"/>
      <c r="AX504" s="131"/>
      <c r="AY504" s="131"/>
    </row>
    <row r="505" spans="1:51" ht="15" x14ac:dyDescent="0.25">
      <c r="A505" s="123"/>
      <c r="B505" s="124"/>
      <c r="C505" s="125">
        <v>183510</v>
      </c>
      <c r="D505" s="89"/>
      <c r="E505" s="86" t="s">
        <v>29</v>
      </c>
      <c r="F505" s="86" t="s">
        <v>418</v>
      </c>
      <c r="H505" s="126" t="s">
        <v>51</v>
      </c>
      <c r="I505" s="89">
        <v>1</v>
      </c>
      <c r="J505" s="127">
        <v>60739.289900000003</v>
      </c>
      <c r="K505" s="127">
        <v>66432.75</v>
      </c>
      <c r="L505" s="127">
        <v>9409.2039999999997</v>
      </c>
      <c r="M505" s="127">
        <v>37179.289900000033</v>
      </c>
      <c r="N505" s="127">
        <v>53972.750000000007</v>
      </c>
      <c r="O505" s="127">
        <v>8389.2039999999997</v>
      </c>
      <c r="P505" s="128">
        <f t="shared" si="63"/>
        <v>0.61211268622355153</v>
      </c>
      <c r="Q505" s="128">
        <f t="shared" si="64"/>
        <v>0.81244190553604967</v>
      </c>
      <c r="R505" s="128">
        <f t="shared" si="65"/>
        <v>0.89159550584725333</v>
      </c>
      <c r="S505" s="129">
        <v>1</v>
      </c>
      <c r="T505" s="129">
        <v>1</v>
      </c>
      <c r="U505" s="129">
        <v>1</v>
      </c>
      <c r="V505" s="138">
        <f t="shared" si="66"/>
        <v>3</v>
      </c>
      <c r="W505" s="138">
        <f t="shared" si="67"/>
        <v>3</v>
      </c>
      <c r="X505" s="138">
        <f t="shared" si="68"/>
        <v>1</v>
      </c>
      <c r="Y505" s="138">
        <f t="shared" si="69"/>
        <v>3</v>
      </c>
      <c r="Z505" s="138">
        <f t="shared" si="70"/>
        <v>3</v>
      </c>
      <c r="AA505" s="138">
        <f t="shared" si="71"/>
        <v>1</v>
      </c>
      <c r="AB505" s="127" t="s">
        <v>32</v>
      </c>
      <c r="AC505" s="127"/>
      <c r="AD505" s="127"/>
      <c r="AE505" s="130"/>
      <c r="AF505" s="136">
        <v>17.16</v>
      </c>
      <c r="AG505" s="136">
        <v>11.33</v>
      </c>
      <c r="AH505" s="136">
        <v>24.91</v>
      </c>
      <c r="AI505" s="136">
        <v>5.99</v>
      </c>
      <c r="AJ505" s="136">
        <v>4.03</v>
      </c>
      <c r="AK505" s="136">
        <v>0.49</v>
      </c>
      <c r="AL505" s="136">
        <v>3.31</v>
      </c>
      <c r="AM505" s="136">
        <v>67.220000000000013</v>
      </c>
      <c r="AN505" s="131"/>
      <c r="AO505" s="131"/>
      <c r="AP505" s="131"/>
      <c r="AQ505" s="131"/>
      <c r="AR505" s="131"/>
      <c r="AS505" s="131"/>
      <c r="AT505" s="131"/>
      <c r="AU505" s="91"/>
      <c r="AV505" s="91"/>
      <c r="AW505" s="131"/>
      <c r="AX505" s="131"/>
      <c r="AY505" s="131"/>
    </row>
    <row r="506" spans="1:51" ht="15" x14ac:dyDescent="0.25">
      <c r="A506" s="123"/>
      <c r="B506" s="124"/>
      <c r="C506" s="125">
        <v>237531</v>
      </c>
      <c r="D506" s="89"/>
      <c r="E506" s="86" t="s">
        <v>29</v>
      </c>
      <c r="F506" s="86" t="s">
        <v>418</v>
      </c>
      <c r="H506" s="126" t="s">
        <v>51</v>
      </c>
      <c r="I506" s="89">
        <v>2</v>
      </c>
      <c r="J506" s="127">
        <v>60739.289900000003</v>
      </c>
      <c r="K506" s="127">
        <v>66432.75</v>
      </c>
      <c r="L506" s="127">
        <v>9409.2039999999997</v>
      </c>
      <c r="M506" s="127">
        <v>37179.289900000033</v>
      </c>
      <c r="N506" s="127">
        <v>53972.750000000007</v>
      </c>
      <c r="O506" s="127">
        <v>8389.2039999999997</v>
      </c>
      <c r="P506" s="128">
        <f t="shared" si="63"/>
        <v>0.61211268622355153</v>
      </c>
      <c r="Q506" s="128">
        <f t="shared" si="64"/>
        <v>0.81244190553604967</v>
      </c>
      <c r="R506" s="128">
        <f t="shared" si="65"/>
        <v>0.89159550584725333</v>
      </c>
      <c r="S506" s="129">
        <v>1</v>
      </c>
      <c r="T506" s="129">
        <v>1</v>
      </c>
      <c r="U506" s="129">
        <v>1</v>
      </c>
      <c r="V506" s="138">
        <f t="shared" si="66"/>
        <v>4</v>
      </c>
      <c r="W506" s="138">
        <f t="shared" si="67"/>
        <v>4</v>
      </c>
      <c r="X506" s="138">
        <f t="shared" si="68"/>
        <v>2</v>
      </c>
      <c r="Y506" s="138">
        <f t="shared" si="69"/>
        <v>4</v>
      </c>
      <c r="Z506" s="138">
        <f t="shared" si="70"/>
        <v>4</v>
      </c>
      <c r="AA506" s="138">
        <f t="shared" si="71"/>
        <v>1</v>
      </c>
      <c r="AB506" s="127" t="s">
        <v>32</v>
      </c>
      <c r="AC506" s="127"/>
      <c r="AD506" s="127"/>
      <c r="AE506" s="130"/>
      <c r="AF506" s="136">
        <v>22.88</v>
      </c>
      <c r="AG506" s="136">
        <v>11.33</v>
      </c>
      <c r="AH506" s="136">
        <v>33.21</v>
      </c>
      <c r="AI506" s="136">
        <v>5.99</v>
      </c>
      <c r="AJ506" s="136">
        <v>4.03</v>
      </c>
      <c r="AK506" s="136">
        <v>0.49</v>
      </c>
      <c r="AL506" s="136">
        <v>3.31</v>
      </c>
      <c r="AM506" s="136">
        <v>81.239999999999995</v>
      </c>
      <c r="AN506" s="131"/>
      <c r="AO506" s="131"/>
      <c r="AP506" s="131"/>
      <c r="AQ506" s="131"/>
      <c r="AR506" s="131"/>
      <c r="AS506" s="131"/>
      <c r="AT506" s="131"/>
      <c r="AU506" s="91"/>
      <c r="AV506" s="91"/>
      <c r="AW506" s="131"/>
      <c r="AX506" s="131"/>
      <c r="AY506" s="131"/>
    </row>
    <row r="507" spans="1:51" ht="15" x14ac:dyDescent="0.25">
      <c r="A507" s="123"/>
      <c r="B507" s="124"/>
      <c r="C507" s="125">
        <v>247479</v>
      </c>
      <c r="D507" s="89"/>
      <c r="E507" s="86" t="s">
        <v>29</v>
      </c>
      <c r="F507" s="86" t="s">
        <v>418</v>
      </c>
      <c r="H507" s="126" t="s">
        <v>51</v>
      </c>
      <c r="I507" s="89">
        <v>1</v>
      </c>
      <c r="J507" s="127">
        <v>60739.289900000003</v>
      </c>
      <c r="K507" s="127">
        <v>66432.75</v>
      </c>
      <c r="L507" s="127">
        <v>9409.2039999999997</v>
      </c>
      <c r="M507" s="127">
        <v>37179.289900000033</v>
      </c>
      <c r="N507" s="127">
        <v>53972.750000000007</v>
      </c>
      <c r="O507" s="127">
        <v>8389.2039999999997</v>
      </c>
      <c r="P507" s="128">
        <f t="shared" si="63"/>
        <v>0.61211268622355153</v>
      </c>
      <c r="Q507" s="128">
        <f t="shared" si="64"/>
        <v>0.81244190553604967</v>
      </c>
      <c r="R507" s="128">
        <f t="shared" si="65"/>
        <v>0.89159550584725333</v>
      </c>
      <c r="S507" s="129">
        <v>1</v>
      </c>
      <c r="T507" s="129">
        <v>1</v>
      </c>
      <c r="U507" s="129">
        <v>1</v>
      </c>
      <c r="V507" s="138">
        <f t="shared" si="66"/>
        <v>3</v>
      </c>
      <c r="W507" s="138">
        <f t="shared" si="67"/>
        <v>3</v>
      </c>
      <c r="X507" s="138">
        <f t="shared" si="68"/>
        <v>1</v>
      </c>
      <c r="Y507" s="138">
        <f t="shared" si="69"/>
        <v>3</v>
      </c>
      <c r="Z507" s="138">
        <f t="shared" si="70"/>
        <v>3</v>
      </c>
      <c r="AA507" s="138">
        <f t="shared" si="71"/>
        <v>1</v>
      </c>
      <c r="AB507" s="127" t="s">
        <v>32</v>
      </c>
      <c r="AC507" s="127"/>
      <c r="AD507" s="127"/>
      <c r="AE507" s="130"/>
      <c r="AF507" s="136">
        <v>17.16</v>
      </c>
      <c r="AG507" s="136">
        <v>11.33</v>
      </c>
      <c r="AH507" s="136">
        <v>24.91</v>
      </c>
      <c r="AI507" s="136">
        <v>5.99</v>
      </c>
      <c r="AJ507" s="136">
        <v>4.03</v>
      </c>
      <c r="AK507" s="136">
        <v>0.49</v>
      </c>
      <c r="AL507" s="136">
        <v>3.31</v>
      </c>
      <c r="AM507" s="136">
        <v>67.220000000000013</v>
      </c>
      <c r="AN507" s="131"/>
      <c r="AO507" s="131"/>
      <c r="AP507" s="131"/>
      <c r="AQ507" s="131"/>
      <c r="AR507" s="131"/>
      <c r="AS507" s="131"/>
      <c r="AT507" s="131"/>
      <c r="AU507" s="91"/>
      <c r="AV507" s="91"/>
      <c r="AW507" s="131"/>
      <c r="AX507" s="131"/>
      <c r="AY507" s="131"/>
    </row>
    <row r="508" spans="1:51" ht="15" x14ac:dyDescent="0.25">
      <c r="A508" s="123"/>
      <c r="B508" s="124"/>
      <c r="C508" s="125">
        <v>259583.99999999997</v>
      </c>
      <c r="D508" s="89"/>
      <c r="E508" s="86" t="s">
        <v>29</v>
      </c>
      <c r="F508" s="86" t="s">
        <v>418</v>
      </c>
      <c r="H508" s="126" t="s">
        <v>51</v>
      </c>
      <c r="I508" s="89">
        <v>1</v>
      </c>
      <c r="J508" s="127">
        <v>60739.289900000003</v>
      </c>
      <c r="K508" s="127">
        <v>66432.75</v>
      </c>
      <c r="L508" s="127">
        <v>9409.2039999999997</v>
      </c>
      <c r="M508" s="127">
        <v>37179.289900000033</v>
      </c>
      <c r="N508" s="127">
        <v>53972.750000000007</v>
      </c>
      <c r="O508" s="127">
        <v>8389.2039999999997</v>
      </c>
      <c r="P508" s="128">
        <f t="shared" si="63"/>
        <v>0.61211268622355153</v>
      </c>
      <c r="Q508" s="128">
        <f t="shared" si="64"/>
        <v>0.81244190553604967</v>
      </c>
      <c r="R508" s="128">
        <f t="shared" si="65"/>
        <v>0.89159550584725333</v>
      </c>
      <c r="S508" s="129">
        <v>1</v>
      </c>
      <c r="T508" s="129">
        <v>1</v>
      </c>
      <c r="U508" s="129">
        <v>1</v>
      </c>
      <c r="V508" s="138">
        <f t="shared" si="66"/>
        <v>3</v>
      </c>
      <c r="W508" s="138">
        <f t="shared" si="67"/>
        <v>3</v>
      </c>
      <c r="X508" s="138">
        <f t="shared" si="68"/>
        <v>1</v>
      </c>
      <c r="Y508" s="138">
        <f t="shared" si="69"/>
        <v>3</v>
      </c>
      <c r="Z508" s="138">
        <f t="shared" si="70"/>
        <v>3</v>
      </c>
      <c r="AA508" s="138">
        <f t="shared" si="71"/>
        <v>1</v>
      </c>
      <c r="AB508" s="127" t="s">
        <v>32</v>
      </c>
      <c r="AC508" s="127"/>
      <c r="AD508" s="127"/>
      <c r="AE508" s="130"/>
      <c r="AF508" s="136">
        <v>17.16</v>
      </c>
      <c r="AG508" s="136">
        <v>11.33</v>
      </c>
      <c r="AH508" s="136">
        <v>24.91</v>
      </c>
      <c r="AI508" s="136">
        <v>5.99</v>
      </c>
      <c r="AJ508" s="136">
        <v>4.03</v>
      </c>
      <c r="AK508" s="136">
        <v>0.49</v>
      </c>
      <c r="AL508" s="136">
        <v>3.31</v>
      </c>
      <c r="AM508" s="136">
        <v>67.220000000000013</v>
      </c>
      <c r="AN508" s="131"/>
      <c r="AO508" s="131"/>
      <c r="AP508" s="131"/>
      <c r="AQ508" s="131"/>
      <c r="AR508" s="131"/>
      <c r="AS508" s="131"/>
      <c r="AT508" s="131"/>
      <c r="AU508" s="91"/>
      <c r="AV508" s="91"/>
      <c r="AW508" s="131"/>
      <c r="AX508" s="131"/>
      <c r="AY508" s="131"/>
    </row>
    <row r="509" spans="1:51" ht="15" x14ac:dyDescent="0.25">
      <c r="A509" s="123"/>
      <c r="B509" s="124"/>
      <c r="C509" s="125">
        <v>272010</v>
      </c>
      <c r="D509" s="89"/>
      <c r="E509" s="86" t="s">
        <v>29</v>
      </c>
      <c r="F509" s="86" t="s">
        <v>418</v>
      </c>
      <c r="H509" s="126" t="s">
        <v>51</v>
      </c>
      <c r="I509" s="89">
        <v>2</v>
      </c>
      <c r="J509" s="127">
        <v>60739.289900000003</v>
      </c>
      <c r="K509" s="127">
        <v>66432.75</v>
      </c>
      <c r="L509" s="127">
        <v>9409.2039999999997</v>
      </c>
      <c r="M509" s="127">
        <v>37179.289900000033</v>
      </c>
      <c r="N509" s="127">
        <v>53972.750000000007</v>
      </c>
      <c r="O509" s="127">
        <v>8389.2039999999997</v>
      </c>
      <c r="P509" s="128">
        <f t="shared" si="63"/>
        <v>0.61211268622355153</v>
      </c>
      <c r="Q509" s="128">
        <f t="shared" si="64"/>
        <v>0.81244190553604967</v>
      </c>
      <c r="R509" s="128">
        <f t="shared" si="65"/>
        <v>0.89159550584725333</v>
      </c>
      <c r="S509" s="129">
        <v>1</v>
      </c>
      <c r="T509" s="129">
        <v>1</v>
      </c>
      <c r="U509" s="129">
        <v>1</v>
      </c>
      <c r="V509" s="138">
        <f t="shared" si="66"/>
        <v>4</v>
      </c>
      <c r="W509" s="138">
        <f t="shared" si="67"/>
        <v>4</v>
      </c>
      <c r="X509" s="138">
        <f t="shared" si="68"/>
        <v>2</v>
      </c>
      <c r="Y509" s="138">
        <f t="shared" si="69"/>
        <v>4</v>
      </c>
      <c r="Z509" s="138">
        <f t="shared" si="70"/>
        <v>4</v>
      </c>
      <c r="AA509" s="138">
        <f t="shared" si="71"/>
        <v>1</v>
      </c>
      <c r="AB509" s="127" t="s">
        <v>32</v>
      </c>
      <c r="AC509" s="127"/>
      <c r="AD509" s="127"/>
      <c r="AE509" s="130"/>
      <c r="AF509" s="136">
        <v>22.88</v>
      </c>
      <c r="AG509" s="136">
        <v>11.33</v>
      </c>
      <c r="AH509" s="136">
        <v>33.21</v>
      </c>
      <c r="AI509" s="136">
        <v>5.99</v>
      </c>
      <c r="AJ509" s="136">
        <v>4.03</v>
      </c>
      <c r="AK509" s="136">
        <v>0.49</v>
      </c>
      <c r="AL509" s="136">
        <v>3.31</v>
      </c>
      <c r="AM509" s="136">
        <v>81.239999999999995</v>
      </c>
      <c r="AN509" s="131"/>
      <c r="AO509" s="131"/>
      <c r="AP509" s="131"/>
      <c r="AQ509" s="131"/>
      <c r="AR509" s="131"/>
      <c r="AS509" s="131"/>
      <c r="AT509" s="131"/>
      <c r="AU509" s="91"/>
      <c r="AV509" s="91"/>
      <c r="AW509" s="131"/>
      <c r="AX509" s="131"/>
      <c r="AY509" s="131"/>
    </row>
    <row r="510" spans="1:51" ht="15" x14ac:dyDescent="0.25">
      <c r="A510" s="123"/>
      <c r="B510" s="124"/>
      <c r="C510" s="125">
        <v>345049</v>
      </c>
      <c r="D510" s="89"/>
      <c r="E510" s="86" t="s">
        <v>29</v>
      </c>
      <c r="F510" s="86" t="s">
        <v>418</v>
      </c>
      <c r="H510" s="126" t="s">
        <v>51</v>
      </c>
      <c r="I510" s="89">
        <v>1</v>
      </c>
      <c r="J510" s="127">
        <v>60739.289900000003</v>
      </c>
      <c r="K510" s="127">
        <v>66432.75</v>
      </c>
      <c r="L510" s="127">
        <v>9409.2039999999997</v>
      </c>
      <c r="M510" s="127">
        <v>37179.289900000033</v>
      </c>
      <c r="N510" s="127">
        <v>53972.750000000007</v>
      </c>
      <c r="O510" s="127">
        <v>8389.2039999999997</v>
      </c>
      <c r="P510" s="128">
        <f t="shared" si="63"/>
        <v>0.61211268622355153</v>
      </c>
      <c r="Q510" s="128">
        <f t="shared" si="64"/>
        <v>0.81244190553604967</v>
      </c>
      <c r="R510" s="128">
        <f t="shared" si="65"/>
        <v>0.89159550584725333</v>
      </c>
      <c r="S510" s="129">
        <v>1</v>
      </c>
      <c r="T510" s="129">
        <v>1</v>
      </c>
      <c r="U510" s="129">
        <v>1</v>
      </c>
      <c r="V510" s="138">
        <f t="shared" si="66"/>
        <v>3</v>
      </c>
      <c r="W510" s="138">
        <f t="shared" si="67"/>
        <v>3</v>
      </c>
      <c r="X510" s="138">
        <f t="shared" si="68"/>
        <v>1</v>
      </c>
      <c r="Y510" s="138">
        <f t="shared" si="69"/>
        <v>3</v>
      </c>
      <c r="Z510" s="138">
        <f t="shared" si="70"/>
        <v>3</v>
      </c>
      <c r="AA510" s="138">
        <f t="shared" si="71"/>
        <v>1</v>
      </c>
      <c r="AB510" s="127" t="s">
        <v>32</v>
      </c>
      <c r="AC510" s="127"/>
      <c r="AD510" s="127"/>
      <c r="AE510" s="130"/>
      <c r="AF510" s="136">
        <v>17.16</v>
      </c>
      <c r="AG510" s="136">
        <v>11.33</v>
      </c>
      <c r="AH510" s="136">
        <v>24.91</v>
      </c>
      <c r="AI510" s="136">
        <v>5.99</v>
      </c>
      <c r="AJ510" s="136">
        <v>4.03</v>
      </c>
      <c r="AK510" s="136">
        <v>0.49</v>
      </c>
      <c r="AL510" s="136">
        <v>3.31</v>
      </c>
      <c r="AM510" s="136">
        <v>67.220000000000013</v>
      </c>
      <c r="AN510" s="131"/>
      <c r="AO510" s="131"/>
      <c r="AP510" s="131"/>
      <c r="AQ510" s="131"/>
      <c r="AR510" s="131"/>
      <c r="AS510" s="131"/>
      <c r="AT510" s="131"/>
      <c r="AU510" s="91"/>
      <c r="AV510" s="91"/>
      <c r="AW510" s="131"/>
      <c r="AX510" s="131"/>
      <c r="AY510" s="131"/>
    </row>
    <row r="511" spans="1:51" ht="15" x14ac:dyDescent="0.25">
      <c r="A511" s="123"/>
      <c r="B511" s="124"/>
      <c r="C511" s="125">
        <v>397556</v>
      </c>
      <c r="D511" s="89"/>
      <c r="E511" s="86" t="s">
        <v>29</v>
      </c>
      <c r="F511" s="86" t="s">
        <v>418</v>
      </c>
      <c r="H511" s="126" t="s">
        <v>51</v>
      </c>
      <c r="I511" s="89">
        <v>2</v>
      </c>
      <c r="J511" s="127">
        <v>60739.289900000003</v>
      </c>
      <c r="K511" s="127">
        <v>66432.75</v>
      </c>
      <c r="L511" s="127">
        <v>9409.2039999999997</v>
      </c>
      <c r="M511" s="127">
        <v>37179.289900000033</v>
      </c>
      <c r="N511" s="127">
        <v>53972.750000000007</v>
      </c>
      <c r="O511" s="127">
        <v>8389.2039999999997</v>
      </c>
      <c r="P511" s="128">
        <f t="shared" si="63"/>
        <v>0.61211268622355153</v>
      </c>
      <c r="Q511" s="128">
        <f t="shared" si="64"/>
        <v>0.81244190553604967</v>
      </c>
      <c r="R511" s="128">
        <f t="shared" si="65"/>
        <v>0.89159550584725333</v>
      </c>
      <c r="S511" s="129">
        <v>1</v>
      </c>
      <c r="T511" s="129">
        <v>1</v>
      </c>
      <c r="U511" s="129">
        <v>1</v>
      </c>
      <c r="V511" s="138">
        <f t="shared" si="66"/>
        <v>4</v>
      </c>
      <c r="W511" s="138">
        <f t="shared" si="67"/>
        <v>4</v>
      </c>
      <c r="X511" s="138">
        <f t="shared" si="68"/>
        <v>2</v>
      </c>
      <c r="Y511" s="138">
        <f t="shared" si="69"/>
        <v>4</v>
      </c>
      <c r="Z511" s="138">
        <f t="shared" si="70"/>
        <v>4</v>
      </c>
      <c r="AA511" s="138">
        <f t="shared" si="71"/>
        <v>1</v>
      </c>
      <c r="AB511" s="127" t="s">
        <v>32</v>
      </c>
      <c r="AC511" s="127"/>
      <c r="AD511" s="127"/>
      <c r="AE511" s="130"/>
      <c r="AF511" s="136">
        <v>22.88</v>
      </c>
      <c r="AG511" s="136">
        <v>11.33</v>
      </c>
      <c r="AH511" s="136">
        <v>33.21</v>
      </c>
      <c r="AI511" s="136">
        <v>5.99</v>
      </c>
      <c r="AJ511" s="136">
        <v>4.03</v>
      </c>
      <c r="AK511" s="136">
        <v>0.49</v>
      </c>
      <c r="AL511" s="136">
        <v>3.31</v>
      </c>
      <c r="AM511" s="136">
        <v>81.239999999999995</v>
      </c>
      <c r="AN511" s="131"/>
      <c r="AO511" s="131"/>
      <c r="AP511" s="131"/>
      <c r="AQ511" s="131"/>
      <c r="AR511" s="131"/>
      <c r="AS511" s="131"/>
      <c r="AT511" s="131"/>
      <c r="AU511" s="91"/>
      <c r="AV511" s="91"/>
      <c r="AW511" s="131"/>
      <c r="AX511" s="131"/>
      <c r="AY511" s="131"/>
    </row>
    <row r="512" spans="1:51" ht="15" x14ac:dyDescent="0.25">
      <c r="A512" s="123"/>
      <c r="B512" s="124"/>
      <c r="C512" s="125">
        <v>402308</v>
      </c>
      <c r="D512" s="89"/>
      <c r="E512" s="86" t="s">
        <v>29</v>
      </c>
      <c r="F512" s="86" t="s">
        <v>418</v>
      </c>
      <c r="H512" s="126" t="s">
        <v>51</v>
      </c>
      <c r="I512" s="89">
        <v>1</v>
      </c>
      <c r="J512" s="127">
        <v>60739.289900000003</v>
      </c>
      <c r="K512" s="127">
        <v>66432.75</v>
      </c>
      <c r="L512" s="127">
        <v>9409.2039999999997</v>
      </c>
      <c r="M512" s="127">
        <v>37179.289900000033</v>
      </c>
      <c r="N512" s="127">
        <v>53972.750000000007</v>
      </c>
      <c r="O512" s="127">
        <v>8389.2039999999997</v>
      </c>
      <c r="P512" s="128">
        <f t="shared" si="63"/>
        <v>0.61211268622355153</v>
      </c>
      <c r="Q512" s="128">
        <f t="shared" si="64"/>
        <v>0.81244190553604967</v>
      </c>
      <c r="R512" s="128">
        <f t="shared" si="65"/>
        <v>0.89159550584725333</v>
      </c>
      <c r="S512" s="129">
        <v>1</v>
      </c>
      <c r="T512" s="129">
        <v>1</v>
      </c>
      <c r="U512" s="129">
        <v>1</v>
      </c>
      <c r="V512" s="138">
        <f t="shared" si="66"/>
        <v>3</v>
      </c>
      <c r="W512" s="138">
        <f t="shared" si="67"/>
        <v>3</v>
      </c>
      <c r="X512" s="138">
        <f t="shared" si="68"/>
        <v>1</v>
      </c>
      <c r="Y512" s="138">
        <f t="shared" si="69"/>
        <v>3</v>
      </c>
      <c r="Z512" s="138">
        <f t="shared" si="70"/>
        <v>3</v>
      </c>
      <c r="AA512" s="138">
        <f t="shared" si="71"/>
        <v>1</v>
      </c>
      <c r="AB512" s="127" t="s">
        <v>32</v>
      </c>
      <c r="AC512" s="127"/>
      <c r="AD512" s="127"/>
      <c r="AE512" s="130"/>
      <c r="AF512" s="136">
        <v>17.16</v>
      </c>
      <c r="AG512" s="136">
        <v>11.33</v>
      </c>
      <c r="AH512" s="136">
        <v>24.91</v>
      </c>
      <c r="AI512" s="136">
        <v>5.99</v>
      </c>
      <c r="AJ512" s="136">
        <v>4.03</v>
      </c>
      <c r="AK512" s="136">
        <v>0.49</v>
      </c>
      <c r="AL512" s="136">
        <v>3.31</v>
      </c>
      <c r="AM512" s="136">
        <v>67.220000000000013</v>
      </c>
      <c r="AN512" s="131"/>
      <c r="AO512" s="131"/>
      <c r="AP512" s="131"/>
      <c r="AQ512" s="131"/>
      <c r="AR512" s="131"/>
      <c r="AS512" s="131"/>
      <c r="AT512" s="131"/>
      <c r="AU512" s="91"/>
      <c r="AV512" s="91"/>
      <c r="AW512" s="131"/>
      <c r="AX512" s="131"/>
      <c r="AY512" s="131"/>
    </row>
    <row r="513" spans="1:51" ht="15" x14ac:dyDescent="0.25">
      <c r="A513" s="123"/>
      <c r="B513" s="124"/>
      <c r="C513" s="125">
        <v>407683</v>
      </c>
      <c r="D513" s="89"/>
      <c r="E513" s="86" t="s">
        <v>29</v>
      </c>
      <c r="F513" s="86" t="s">
        <v>418</v>
      </c>
      <c r="H513" s="126" t="s">
        <v>51</v>
      </c>
      <c r="I513" s="89">
        <v>1</v>
      </c>
      <c r="J513" s="127">
        <v>60739.289900000003</v>
      </c>
      <c r="K513" s="127">
        <v>66432.75</v>
      </c>
      <c r="L513" s="127">
        <v>9409.2039999999997</v>
      </c>
      <c r="M513" s="127">
        <v>37179.289900000033</v>
      </c>
      <c r="N513" s="127">
        <v>53972.750000000007</v>
      </c>
      <c r="O513" s="127">
        <v>8389.2039999999997</v>
      </c>
      <c r="P513" s="128">
        <f t="shared" si="63"/>
        <v>0.61211268622355153</v>
      </c>
      <c r="Q513" s="128">
        <f t="shared" si="64"/>
        <v>0.81244190553604967</v>
      </c>
      <c r="R513" s="128">
        <f t="shared" si="65"/>
        <v>0.89159550584725333</v>
      </c>
      <c r="S513" s="129">
        <v>1</v>
      </c>
      <c r="T513" s="129">
        <v>1</v>
      </c>
      <c r="U513" s="129">
        <v>1</v>
      </c>
      <c r="V513" s="138">
        <f t="shared" si="66"/>
        <v>3</v>
      </c>
      <c r="W513" s="138">
        <f t="shared" si="67"/>
        <v>3</v>
      </c>
      <c r="X513" s="138">
        <f t="shared" si="68"/>
        <v>1</v>
      </c>
      <c r="Y513" s="138">
        <f t="shared" si="69"/>
        <v>3</v>
      </c>
      <c r="Z513" s="138">
        <f t="shared" si="70"/>
        <v>3</v>
      </c>
      <c r="AA513" s="138">
        <f t="shared" si="71"/>
        <v>1</v>
      </c>
      <c r="AB513" s="127" t="s">
        <v>32</v>
      </c>
      <c r="AC513" s="127"/>
      <c r="AD513" s="127"/>
      <c r="AE513" s="130"/>
      <c r="AF513" s="136">
        <v>17.16</v>
      </c>
      <c r="AG513" s="136">
        <v>11.33</v>
      </c>
      <c r="AH513" s="136">
        <v>24.91</v>
      </c>
      <c r="AI513" s="136">
        <v>5.99</v>
      </c>
      <c r="AJ513" s="136">
        <v>4.03</v>
      </c>
      <c r="AK513" s="136">
        <v>0.49</v>
      </c>
      <c r="AL513" s="136">
        <v>3.31</v>
      </c>
      <c r="AM513" s="136">
        <v>67.220000000000013</v>
      </c>
      <c r="AN513" s="131"/>
      <c r="AO513" s="131"/>
      <c r="AP513" s="131"/>
      <c r="AQ513" s="131"/>
      <c r="AR513" s="131"/>
      <c r="AS513" s="131"/>
      <c r="AT513" s="131"/>
      <c r="AU513" s="91"/>
      <c r="AV513" s="91"/>
      <c r="AW513" s="131"/>
      <c r="AX513" s="131"/>
      <c r="AY513" s="131"/>
    </row>
    <row r="514" spans="1:51" ht="15" x14ac:dyDescent="0.25">
      <c r="A514" s="123"/>
      <c r="B514" s="124"/>
      <c r="C514" s="125">
        <v>452668</v>
      </c>
      <c r="D514" s="89"/>
      <c r="E514" s="86" t="s">
        <v>29</v>
      </c>
      <c r="F514" s="86" t="s">
        <v>418</v>
      </c>
      <c r="H514" s="126" t="s">
        <v>51</v>
      </c>
      <c r="I514" s="89">
        <v>1</v>
      </c>
      <c r="J514" s="127">
        <v>60739.289900000003</v>
      </c>
      <c r="K514" s="127">
        <v>66432.75</v>
      </c>
      <c r="L514" s="127">
        <v>9409.2039999999997</v>
      </c>
      <c r="M514" s="127">
        <v>37179.289900000033</v>
      </c>
      <c r="N514" s="127">
        <v>53972.750000000007</v>
      </c>
      <c r="O514" s="127">
        <v>8389.2039999999997</v>
      </c>
      <c r="P514" s="128">
        <f t="shared" si="63"/>
        <v>0.61211268622355153</v>
      </c>
      <c r="Q514" s="128">
        <f t="shared" si="64"/>
        <v>0.81244190553604967</v>
      </c>
      <c r="R514" s="128">
        <f t="shared" si="65"/>
        <v>0.89159550584725333</v>
      </c>
      <c r="S514" s="129">
        <v>1</v>
      </c>
      <c r="T514" s="129">
        <v>1</v>
      </c>
      <c r="U514" s="129">
        <v>1</v>
      </c>
      <c r="V514" s="138">
        <f t="shared" si="66"/>
        <v>3</v>
      </c>
      <c r="W514" s="138">
        <f t="shared" si="67"/>
        <v>3</v>
      </c>
      <c r="X514" s="138">
        <f t="shared" si="68"/>
        <v>1</v>
      </c>
      <c r="Y514" s="138">
        <f t="shared" si="69"/>
        <v>3</v>
      </c>
      <c r="Z514" s="138">
        <f t="shared" si="70"/>
        <v>3</v>
      </c>
      <c r="AA514" s="138">
        <f t="shared" si="71"/>
        <v>1</v>
      </c>
      <c r="AB514" s="127" t="s">
        <v>32</v>
      </c>
      <c r="AC514" s="127"/>
      <c r="AD514" s="127"/>
      <c r="AE514" s="130"/>
      <c r="AF514" s="136">
        <v>17.16</v>
      </c>
      <c r="AG514" s="136">
        <v>11.33</v>
      </c>
      <c r="AH514" s="136">
        <v>24.91</v>
      </c>
      <c r="AI514" s="136">
        <v>5.99</v>
      </c>
      <c r="AJ514" s="136">
        <v>4.03</v>
      </c>
      <c r="AK514" s="136">
        <v>0.49</v>
      </c>
      <c r="AL514" s="136">
        <v>3.31</v>
      </c>
      <c r="AM514" s="136">
        <v>67.220000000000013</v>
      </c>
      <c r="AN514" s="131"/>
      <c r="AO514" s="131"/>
      <c r="AP514" s="131"/>
      <c r="AQ514" s="131"/>
      <c r="AR514" s="131"/>
      <c r="AS514" s="131"/>
      <c r="AT514" s="131"/>
      <c r="AU514" s="91"/>
      <c r="AV514" s="91"/>
      <c r="AW514" s="131"/>
      <c r="AX514" s="131"/>
      <c r="AY514" s="131"/>
    </row>
    <row r="515" spans="1:51" ht="15" x14ac:dyDescent="0.25">
      <c r="A515" s="123"/>
      <c r="B515" s="124"/>
      <c r="C515" s="125">
        <v>474233</v>
      </c>
      <c r="D515" s="89"/>
      <c r="E515" s="86" t="s">
        <v>29</v>
      </c>
      <c r="F515" s="86" t="s">
        <v>418</v>
      </c>
      <c r="H515" s="126" t="s">
        <v>51</v>
      </c>
      <c r="I515" s="89">
        <v>1</v>
      </c>
      <c r="J515" s="127">
        <v>60739.289900000003</v>
      </c>
      <c r="K515" s="127">
        <v>66432.75</v>
      </c>
      <c r="L515" s="127">
        <v>9409.2039999999997</v>
      </c>
      <c r="M515" s="127">
        <v>37179.289900000033</v>
      </c>
      <c r="N515" s="127">
        <v>53972.750000000007</v>
      </c>
      <c r="O515" s="127">
        <v>8389.2039999999997</v>
      </c>
      <c r="P515" s="128">
        <f t="shared" si="63"/>
        <v>0.61211268622355153</v>
      </c>
      <c r="Q515" s="128">
        <f t="shared" si="64"/>
        <v>0.81244190553604967</v>
      </c>
      <c r="R515" s="128">
        <f t="shared" si="65"/>
        <v>0.89159550584725333</v>
      </c>
      <c r="S515" s="129">
        <v>1</v>
      </c>
      <c r="T515" s="129">
        <v>1</v>
      </c>
      <c r="U515" s="129">
        <v>1</v>
      </c>
      <c r="V515" s="138">
        <f t="shared" si="66"/>
        <v>3</v>
      </c>
      <c r="W515" s="138">
        <f t="shared" si="67"/>
        <v>3</v>
      </c>
      <c r="X515" s="138">
        <f t="shared" si="68"/>
        <v>1</v>
      </c>
      <c r="Y515" s="138">
        <f t="shared" si="69"/>
        <v>3</v>
      </c>
      <c r="Z515" s="138">
        <f t="shared" si="70"/>
        <v>3</v>
      </c>
      <c r="AA515" s="138">
        <f t="shared" si="71"/>
        <v>1</v>
      </c>
      <c r="AB515" s="127" t="s">
        <v>32</v>
      </c>
      <c r="AC515" s="127"/>
      <c r="AD515" s="127"/>
      <c r="AE515" s="130"/>
      <c r="AF515" s="136">
        <v>17.16</v>
      </c>
      <c r="AG515" s="136">
        <v>11.33</v>
      </c>
      <c r="AH515" s="136">
        <v>24.91</v>
      </c>
      <c r="AI515" s="136">
        <v>5.99</v>
      </c>
      <c r="AJ515" s="136">
        <v>4.03</v>
      </c>
      <c r="AK515" s="136">
        <v>0.49</v>
      </c>
      <c r="AL515" s="136">
        <v>3.31</v>
      </c>
      <c r="AM515" s="136">
        <v>67.220000000000013</v>
      </c>
      <c r="AN515" s="131"/>
      <c r="AO515" s="131"/>
      <c r="AP515" s="131"/>
      <c r="AQ515" s="131"/>
      <c r="AR515" s="131"/>
      <c r="AS515" s="131"/>
      <c r="AT515" s="131"/>
      <c r="AU515" s="91"/>
      <c r="AV515" s="91"/>
      <c r="AW515" s="131"/>
      <c r="AX515" s="131"/>
      <c r="AY515" s="131"/>
    </row>
    <row r="516" spans="1:51" ht="15" x14ac:dyDescent="0.25">
      <c r="A516" s="123"/>
      <c r="B516" s="124"/>
      <c r="C516" s="125">
        <v>518551</v>
      </c>
      <c r="D516" s="89"/>
      <c r="E516" s="86" t="s">
        <v>29</v>
      </c>
      <c r="F516" s="86" t="s">
        <v>418</v>
      </c>
      <c r="H516" s="126" t="s">
        <v>51</v>
      </c>
      <c r="I516" s="89">
        <v>1</v>
      </c>
      <c r="J516" s="127">
        <v>60739.289900000003</v>
      </c>
      <c r="K516" s="127">
        <v>66432.75</v>
      </c>
      <c r="L516" s="127">
        <v>9409.2039999999997</v>
      </c>
      <c r="M516" s="127">
        <v>37179.289900000033</v>
      </c>
      <c r="N516" s="127">
        <v>53972.750000000007</v>
      </c>
      <c r="O516" s="127">
        <v>8389.2039999999997</v>
      </c>
      <c r="P516" s="128">
        <f t="shared" si="63"/>
        <v>0.61211268622355153</v>
      </c>
      <c r="Q516" s="128">
        <f t="shared" si="64"/>
        <v>0.81244190553604967</v>
      </c>
      <c r="R516" s="128">
        <f t="shared" si="65"/>
        <v>0.89159550584725333</v>
      </c>
      <c r="S516" s="129">
        <v>1</v>
      </c>
      <c r="T516" s="129">
        <v>1</v>
      </c>
      <c r="U516" s="129">
        <v>1</v>
      </c>
      <c r="V516" s="138">
        <f t="shared" si="66"/>
        <v>3</v>
      </c>
      <c r="W516" s="138">
        <f t="shared" si="67"/>
        <v>3</v>
      </c>
      <c r="X516" s="138">
        <f t="shared" si="68"/>
        <v>1</v>
      </c>
      <c r="Y516" s="138">
        <f t="shared" si="69"/>
        <v>3</v>
      </c>
      <c r="Z516" s="138">
        <f t="shared" si="70"/>
        <v>3</v>
      </c>
      <c r="AA516" s="138">
        <f t="shared" si="71"/>
        <v>1</v>
      </c>
      <c r="AB516" s="127" t="s">
        <v>32</v>
      </c>
      <c r="AC516" s="127"/>
      <c r="AD516" s="127"/>
      <c r="AE516" s="130"/>
      <c r="AF516" s="136">
        <v>17.16</v>
      </c>
      <c r="AG516" s="136">
        <v>11.33</v>
      </c>
      <c r="AH516" s="136">
        <v>24.91</v>
      </c>
      <c r="AI516" s="136">
        <v>5.99</v>
      </c>
      <c r="AJ516" s="136">
        <v>4.03</v>
      </c>
      <c r="AK516" s="136">
        <v>0.49</v>
      </c>
      <c r="AL516" s="136">
        <v>3.31</v>
      </c>
      <c r="AM516" s="136">
        <v>67.220000000000013</v>
      </c>
      <c r="AN516" s="131"/>
      <c r="AO516" s="131"/>
      <c r="AP516" s="131"/>
      <c r="AQ516" s="131"/>
      <c r="AR516" s="131"/>
      <c r="AS516" s="131"/>
      <c r="AT516" s="131"/>
      <c r="AU516" s="91"/>
      <c r="AV516" s="91"/>
      <c r="AW516" s="131"/>
      <c r="AX516" s="131"/>
      <c r="AY516" s="131"/>
    </row>
    <row r="517" spans="1:51" ht="15" x14ac:dyDescent="0.25">
      <c r="A517" s="123"/>
      <c r="B517" s="124"/>
      <c r="C517" s="125">
        <v>526100</v>
      </c>
      <c r="D517" s="89"/>
      <c r="E517" s="86" t="s">
        <v>29</v>
      </c>
      <c r="F517" s="86" t="s">
        <v>418</v>
      </c>
      <c r="H517" s="126" t="s">
        <v>51</v>
      </c>
      <c r="I517" s="89">
        <v>1</v>
      </c>
      <c r="J517" s="127">
        <v>60739.289900000003</v>
      </c>
      <c r="K517" s="127">
        <v>66432.75</v>
      </c>
      <c r="L517" s="127">
        <v>9409.2039999999997</v>
      </c>
      <c r="M517" s="127">
        <v>37179.289900000033</v>
      </c>
      <c r="N517" s="127">
        <v>53972.750000000007</v>
      </c>
      <c r="O517" s="127">
        <v>8389.2039999999997</v>
      </c>
      <c r="P517" s="128">
        <f t="shared" si="63"/>
        <v>0.61211268622355153</v>
      </c>
      <c r="Q517" s="128">
        <f t="shared" si="64"/>
        <v>0.81244190553604967</v>
      </c>
      <c r="R517" s="128">
        <f t="shared" si="65"/>
        <v>0.89159550584725333</v>
      </c>
      <c r="S517" s="129">
        <v>1</v>
      </c>
      <c r="T517" s="129">
        <v>1</v>
      </c>
      <c r="U517" s="129">
        <v>1</v>
      </c>
      <c r="V517" s="138">
        <f t="shared" si="66"/>
        <v>3</v>
      </c>
      <c r="W517" s="138">
        <f t="shared" si="67"/>
        <v>3</v>
      </c>
      <c r="X517" s="138">
        <f t="shared" si="68"/>
        <v>1</v>
      </c>
      <c r="Y517" s="138">
        <f t="shared" si="69"/>
        <v>3</v>
      </c>
      <c r="Z517" s="138">
        <f t="shared" si="70"/>
        <v>3</v>
      </c>
      <c r="AA517" s="138">
        <f t="shared" si="71"/>
        <v>1</v>
      </c>
      <c r="AB517" s="127" t="s">
        <v>32</v>
      </c>
      <c r="AC517" s="127"/>
      <c r="AD517" s="127"/>
      <c r="AE517" s="130"/>
      <c r="AF517" s="136">
        <v>17.16</v>
      </c>
      <c r="AG517" s="136">
        <v>11.33</v>
      </c>
      <c r="AH517" s="136">
        <v>24.91</v>
      </c>
      <c r="AI517" s="136">
        <v>5.99</v>
      </c>
      <c r="AJ517" s="136">
        <v>4.03</v>
      </c>
      <c r="AK517" s="136">
        <v>0.49</v>
      </c>
      <c r="AL517" s="136">
        <v>3.31</v>
      </c>
      <c r="AM517" s="136">
        <v>67.220000000000013</v>
      </c>
      <c r="AN517" s="131"/>
      <c r="AO517" s="131"/>
      <c r="AP517" s="131"/>
      <c r="AQ517" s="131"/>
      <c r="AR517" s="131"/>
      <c r="AS517" s="131"/>
      <c r="AT517" s="131"/>
      <c r="AU517" s="91"/>
      <c r="AV517" s="91"/>
      <c r="AW517" s="131"/>
      <c r="AX517" s="131"/>
      <c r="AY517" s="131"/>
    </row>
    <row r="518" spans="1:51" ht="15" x14ac:dyDescent="0.25">
      <c r="A518" s="123"/>
      <c r="B518" s="124"/>
      <c r="C518" s="125">
        <v>531037</v>
      </c>
      <c r="D518" s="89"/>
      <c r="E518" s="86" t="s">
        <v>29</v>
      </c>
      <c r="F518" s="86" t="s">
        <v>418</v>
      </c>
      <c r="H518" s="126" t="s">
        <v>51</v>
      </c>
      <c r="I518" s="89">
        <v>1</v>
      </c>
      <c r="J518" s="127">
        <v>60739.289900000003</v>
      </c>
      <c r="K518" s="127">
        <v>66432.75</v>
      </c>
      <c r="L518" s="127">
        <v>9409.2039999999997</v>
      </c>
      <c r="M518" s="127">
        <v>37179.289900000033</v>
      </c>
      <c r="N518" s="127">
        <v>53972.750000000007</v>
      </c>
      <c r="O518" s="127">
        <v>8389.2039999999997</v>
      </c>
      <c r="P518" s="128">
        <f t="shared" ref="P518:P581" si="72">M518/J518</f>
        <v>0.61211268622355153</v>
      </c>
      <c r="Q518" s="128">
        <f t="shared" ref="Q518:Q581" si="73">N518/K518</f>
        <v>0.81244190553604967</v>
      </c>
      <c r="R518" s="128">
        <f t="shared" ref="R518:R581" si="74">O518/L518</f>
        <v>0.89159550584725333</v>
      </c>
      <c r="S518" s="129">
        <v>1</v>
      </c>
      <c r="T518" s="129">
        <v>1</v>
      </c>
      <c r="U518" s="129">
        <v>1</v>
      </c>
      <c r="V518" s="138">
        <f t="shared" ref="V518:V581" si="75">I518+2</f>
        <v>3</v>
      </c>
      <c r="W518" s="138">
        <f t="shared" ref="W518:W581" si="76">I518+2</f>
        <v>3</v>
      </c>
      <c r="X518" s="138">
        <f t="shared" ref="X518:X581" si="77">I518</f>
        <v>1</v>
      </c>
      <c r="Y518" s="138">
        <f t="shared" ref="Y518:Y581" si="78">IF(S518=0,0,V518)</f>
        <v>3</v>
      </c>
      <c r="Z518" s="138">
        <f t="shared" ref="Z518:Z581" si="79">IF(T518=0,0,W518)</f>
        <v>3</v>
      </c>
      <c r="AA518" s="138">
        <f t="shared" ref="AA518:AA581" si="80">IF(U518=0,0,1)</f>
        <v>1</v>
      </c>
      <c r="AB518" s="127" t="s">
        <v>32</v>
      </c>
      <c r="AC518" s="127"/>
      <c r="AD518" s="127"/>
      <c r="AE518" s="130"/>
      <c r="AF518" s="136">
        <v>17.16</v>
      </c>
      <c r="AG518" s="136">
        <v>11.33</v>
      </c>
      <c r="AH518" s="136">
        <v>24.91</v>
      </c>
      <c r="AI518" s="136">
        <v>5.99</v>
      </c>
      <c r="AJ518" s="136">
        <v>4.03</v>
      </c>
      <c r="AK518" s="136">
        <v>0.49</v>
      </c>
      <c r="AL518" s="136">
        <v>3.31</v>
      </c>
      <c r="AM518" s="136">
        <v>67.220000000000013</v>
      </c>
      <c r="AN518" s="131"/>
      <c r="AO518" s="131"/>
      <c r="AP518" s="131"/>
      <c r="AQ518" s="131"/>
      <c r="AR518" s="131"/>
      <c r="AS518" s="131"/>
      <c r="AT518" s="131"/>
      <c r="AU518" s="91"/>
      <c r="AV518" s="91"/>
      <c r="AW518" s="131"/>
      <c r="AX518" s="131"/>
      <c r="AY518" s="131"/>
    </row>
    <row r="519" spans="1:51" ht="15" x14ac:dyDescent="0.25">
      <c r="A519" s="123"/>
      <c r="B519" s="124"/>
      <c r="C519" s="125">
        <v>596175</v>
      </c>
      <c r="D519" s="89"/>
      <c r="E519" s="86" t="s">
        <v>29</v>
      </c>
      <c r="F519" s="86" t="s">
        <v>418</v>
      </c>
      <c r="H519" s="126" t="s">
        <v>51</v>
      </c>
      <c r="I519" s="89">
        <v>1</v>
      </c>
      <c r="J519" s="127">
        <v>60739.289900000003</v>
      </c>
      <c r="K519" s="127">
        <v>66432.75</v>
      </c>
      <c r="L519" s="127">
        <v>9409.2039999999997</v>
      </c>
      <c r="M519" s="127">
        <v>37179.289900000033</v>
      </c>
      <c r="N519" s="127">
        <v>53972.750000000007</v>
      </c>
      <c r="O519" s="127">
        <v>8389.2039999999997</v>
      </c>
      <c r="P519" s="128">
        <f t="shared" si="72"/>
        <v>0.61211268622355153</v>
      </c>
      <c r="Q519" s="128">
        <f t="shared" si="73"/>
        <v>0.81244190553604967</v>
      </c>
      <c r="R519" s="128">
        <f t="shared" si="74"/>
        <v>0.89159550584725333</v>
      </c>
      <c r="S519" s="129">
        <v>1</v>
      </c>
      <c r="T519" s="129">
        <v>1</v>
      </c>
      <c r="U519" s="129">
        <v>1</v>
      </c>
      <c r="V519" s="138">
        <f t="shared" si="75"/>
        <v>3</v>
      </c>
      <c r="W519" s="138">
        <f t="shared" si="76"/>
        <v>3</v>
      </c>
      <c r="X519" s="138">
        <f t="shared" si="77"/>
        <v>1</v>
      </c>
      <c r="Y519" s="138">
        <f t="shared" si="78"/>
        <v>3</v>
      </c>
      <c r="Z519" s="138">
        <f t="shared" si="79"/>
        <v>3</v>
      </c>
      <c r="AA519" s="138">
        <f t="shared" si="80"/>
        <v>1</v>
      </c>
      <c r="AB519" s="127" t="s">
        <v>32</v>
      </c>
      <c r="AC519" s="127"/>
      <c r="AD519" s="127"/>
      <c r="AE519" s="130"/>
      <c r="AF519" s="136">
        <v>17.16</v>
      </c>
      <c r="AG519" s="136">
        <v>11.33</v>
      </c>
      <c r="AH519" s="136">
        <v>24.91</v>
      </c>
      <c r="AI519" s="136">
        <v>5.99</v>
      </c>
      <c r="AJ519" s="136">
        <v>4.03</v>
      </c>
      <c r="AK519" s="136">
        <v>0.49</v>
      </c>
      <c r="AL519" s="136">
        <v>3.31</v>
      </c>
      <c r="AM519" s="136">
        <v>67.220000000000013</v>
      </c>
      <c r="AN519" s="131"/>
      <c r="AO519" s="131"/>
      <c r="AP519" s="131"/>
      <c r="AQ519" s="131"/>
      <c r="AR519" s="131"/>
      <c r="AS519" s="131"/>
      <c r="AT519" s="131"/>
      <c r="AU519" s="91"/>
      <c r="AV519" s="91"/>
      <c r="AW519" s="131"/>
      <c r="AX519" s="131"/>
      <c r="AY519" s="131"/>
    </row>
    <row r="520" spans="1:51" ht="15" x14ac:dyDescent="0.25">
      <c r="A520" s="123"/>
      <c r="B520" s="124"/>
      <c r="C520" s="125">
        <v>599353</v>
      </c>
      <c r="D520" s="89"/>
      <c r="E520" s="86" t="s">
        <v>29</v>
      </c>
      <c r="F520" s="86" t="s">
        <v>418</v>
      </c>
      <c r="H520" s="126" t="s">
        <v>51</v>
      </c>
      <c r="I520" s="89">
        <v>1</v>
      </c>
      <c r="J520" s="127">
        <v>60739.289900000003</v>
      </c>
      <c r="K520" s="127">
        <v>66432.75</v>
      </c>
      <c r="L520" s="127">
        <v>9409.2039999999997</v>
      </c>
      <c r="M520" s="127">
        <v>37179.289900000033</v>
      </c>
      <c r="N520" s="127">
        <v>53972.750000000007</v>
      </c>
      <c r="O520" s="127">
        <v>8389.2039999999997</v>
      </c>
      <c r="P520" s="128">
        <f t="shared" si="72"/>
        <v>0.61211268622355153</v>
      </c>
      <c r="Q520" s="128">
        <f t="shared" si="73"/>
        <v>0.81244190553604967</v>
      </c>
      <c r="R520" s="128">
        <f t="shared" si="74"/>
        <v>0.89159550584725333</v>
      </c>
      <c r="S520" s="129">
        <v>1</v>
      </c>
      <c r="T520" s="129">
        <v>1</v>
      </c>
      <c r="U520" s="129">
        <v>1</v>
      </c>
      <c r="V520" s="138">
        <f t="shared" si="75"/>
        <v>3</v>
      </c>
      <c r="W520" s="138">
        <f t="shared" si="76"/>
        <v>3</v>
      </c>
      <c r="X520" s="138">
        <f t="shared" si="77"/>
        <v>1</v>
      </c>
      <c r="Y520" s="138">
        <f t="shared" si="78"/>
        <v>3</v>
      </c>
      <c r="Z520" s="138">
        <f t="shared" si="79"/>
        <v>3</v>
      </c>
      <c r="AA520" s="138">
        <f t="shared" si="80"/>
        <v>1</v>
      </c>
      <c r="AB520" s="127" t="s">
        <v>32</v>
      </c>
      <c r="AC520" s="127"/>
      <c r="AD520" s="127"/>
      <c r="AE520" s="130"/>
      <c r="AF520" s="136">
        <v>17.16</v>
      </c>
      <c r="AG520" s="136">
        <v>11.33</v>
      </c>
      <c r="AH520" s="136">
        <v>24.91</v>
      </c>
      <c r="AI520" s="136">
        <v>5.99</v>
      </c>
      <c r="AJ520" s="136">
        <v>4.03</v>
      </c>
      <c r="AK520" s="136">
        <v>0.49</v>
      </c>
      <c r="AL520" s="136">
        <v>3.31</v>
      </c>
      <c r="AM520" s="136">
        <v>67.220000000000013</v>
      </c>
      <c r="AN520" s="131"/>
      <c r="AO520" s="131"/>
      <c r="AP520" s="131"/>
      <c r="AQ520" s="131"/>
      <c r="AR520" s="131"/>
      <c r="AS520" s="131"/>
      <c r="AT520" s="131"/>
      <c r="AU520" s="91"/>
      <c r="AV520" s="91"/>
      <c r="AW520" s="131"/>
      <c r="AX520" s="131"/>
      <c r="AY520" s="131"/>
    </row>
    <row r="521" spans="1:51" ht="15" x14ac:dyDescent="0.25">
      <c r="A521" s="123"/>
      <c r="B521" s="124"/>
      <c r="C521" s="125">
        <v>602173</v>
      </c>
      <c r="D521" s="89"/>
      <c r="E521" s="86" t="s">
        <v>29</v>
      </c>
      <c r="F521" s="86" t="s">
        <v>418</v>
      </c>
      <c r="H521" s="126" t="s">
        <v>51</v>
      </c>
      <c r="I521" s="89">
        <v>1</v>
      </c>
      <c r="J521" s="127">
        <v>60739.289900000003</v>
      </c>
      <c r="K521" s="127">
        <v>66432.75</v>
      </c>
      <c r="L521" s="127">
        <v>9409.2039999999997</v>
      </c>
      <c r="M521" s="127">
        <v>37179.289900000033</v>
      </c>
      <c r="N521" s="127">
        <v>53972.750000000007</v>
      </c>
      <c r="O521" s="127">
        <v>8389.2039999999997</v>
      </c>
      <c r="P521" s="128">
        <f t="shared" si="72"/>
        <v>0.61211268622355153</v>
      </c>
      <c r="Q521" s="128">
        <f t="shared" si="73"/>
        <v>0.81244190553604967</v>
      </c>
      <c r="R521" s="128">
        <f t="shared" si="74"/>
        <v>0.89159550584725333</v>
      </c>
      <c r="S521" s="129">
        <v>1</v>
      </c>
      <c r="T521" s="129">
        <v>1</v>
      </c>
      <c r="U521" s="129">
        <v>1</v>
      </c>
      <c r="V521" s="138">
        <f t="shared" si="75"/>
        <v>3</v>
      </c>
      <c r="W521" s="138">
        <f t="shared" si="76"/>
        <v>3</v>
      </c>
      <c r="X521" s="138">
        <f t="shared" si="77"/>
        <v>1</v>
      </c>
      <c r="Y521" s="138">
        <f t="shared" si="78"/>
        <v>3</v>
      </c>
      <c r="Z521" s="138">
        <f t="shared" si="79"/>
        <v>3</v>
      </c>
      <c r="AA521" s="138">
        <f t="shared" si="80"/>
        <v>1</v>
      </c>
      <c r="AB521" s="127" t="s">
        <v>32</v>
      </c>
      <c r="AC521" s="127"/>
      <c r="AD521" s="127"/>
      <c r="AE521" s="130"/>
      <c r="AF521" s="136">
        <v>17.16</v>
      </c>
      <c r="AG521" s="136">
        <v>11.33</v>
      </c>
      <c r="AH521" s="136">
        <v>24.91</v>
      </c>
      <c r="AI521" s="136">
        <v>5.99</v>
      </c>
      <c r="AJ521" s="136">
        <v>4.03</v>
      </c>
      <c r="AK521" s="136">
        <v>0.49</v>
      </c>
      <c r="AL521" s="136">
        <v>3.31</v>
      </c>
      <c r="AM521" s="136">
        <v>67.220000000000013</v>
      </c>
      <c r="AN521" s="131"/>
      <c r="AO521" s="131"/>
      <c r="AP521" s="131"/>
      <c r="AQ521" s="131"/>
      <c r="AR521" s="131"/>
      <c r="AS521" s="131"/>
      <c r="AT521" s="131"/>
      <c r="AU521" s="91"/>
      <c r="AV521" s="91"/>
      <c r="AW521" s="131"/>
      <c r="AX521" s="131"/>
      <c r="AY521" s="131"/>
    </row>
    <row r="522" spans="1:51" ht="15" x14ac:dyDescent="0.25">
      <c r="A522" s="123"/>
      <c r="B522" s="124"/>
      <c r="C522" s="125">
        <v>638314</v>
      </c>
      <c r="D522" s="89"/>
      <c r="E522" s="86" t="s">
        <v>29</v>
      </c>
      <c r="F522" s="86" t="s">
        <v>418</v>
      </c>
      <c r="H522" s="126" t="s">
        <v>51</v>
      </c>
      <c r="I522" s="89">
        <v>1</v>
      </c>
      <c r="J522" s="127">
        <v>60739.289900000003</v>
      </c>
      <c r="K522" s="127">
        <v>66432.75</v>
      </c>
      <c r="L522" s="127">
        <v>9409.2039999999997</v>
      </c>
      <c r="M522" s="127">
        <v>37179.289900000033</v>
      </c>
      <c r="N522" s="127">
        <v>53972.750000000007</v>
      </c>
      <c r="O522" s="127">
        <v>8389.2039999999997</v>
      </c>
      <c r="P522" s="128">
        <f t="shared" si="72"/>
        <v>0.61211268622355153</v>
      </c>
      <c r="Q522" s="128">
        <f t="shared" si="73"/>
        <v>0.81244190553604967</v>
      </c>
      <c r="R522" s="128">
        <f t="shared" si="74"/>
        <v>0.89159550584725333</v>
      </c>
      <c r="S522" s="129">
        <v>1</v>
      </c>
      <c r="T522" s="129">
        <v>1</v>
      </c>
      <c r="U522" s="129">
        <v>1</v>
      </c>
      <c r="V522" s="138">
        <f t="shared" si="75"/>
        <v>3</v>
      </c>
      <c r="W522" s="138">
        <f t="shared" si="76"/>
        <v>3</v>
      </c>
      <c r="X522" s="138">
        <f t="shared" si="77"/>
        <v>1</v>
      </c>
      <c r="Y522" s="138">
        <f t="shared" si="78"/>
        <v>3</v>
      </c>
      <c r="Z522" s="138">
        <f t="shared" si="79"/>
        <v>3</v>
      </c>
      <c r="AA522" s="138">
        <f t="shared" si="80"/>
        <v>1</v>
      </c>
      <c r="AB522" s="127" t="s">
        <v>32</v>
      </c>
      <c r="AC522" s="127"/>
      <c r="AD522" s="127"/>
      <c r="AE522" s="130"/>
      <c r="AF522" s="136">
        <v>17.16</v>
      </c>
      <c r="AG522" s="136">
        <v>11.33</v>
      </c>
      <c r="AH522" s="136">
        <v>24.91</v>
      </c>
      <c r="AI522" s="136">
        <v>5.99</v>
      </c>
      <c r="AJ522" s="136">
        <v>4.03</v>
      </c>
      <c r="AK522" s="136">
        <v>0.49</v>
      </c>
      <c r="AL522" s="136">
        <v>3.31</v>
      </c>
      <c r="AM522" s="136">
        <v>67.220000000000013</v>
      </c>
      <c r="AN522" s="131"/>
      <c r="AO522" s="131"/>
      <c r="AP522" s="131"/>
      <c r="AQ522" s="131"/>
      <c r="AR522" s="131"/>
      <c r="AS522" s="131"/>
      <c r="AT522" s="131"/>
      <c r="AU522" s="91"/>
      <c r="AV522" s="91"/>
      <c r="AW522" s="131"/>
      <c r="AX522" s="131"/>
      <c r="AY522" s="131"/>
    </row>
    <row r="523" spans="1:51" ht="15" x14ac:dyDescent="0.25">
      <c r="A523" s="123"/>
      <c r="B523" s="124"/>
      <c r="C523" s="125">
        <v>645393</v>
      </c>
      <c r="D523" s="89"/>
      <c r="E523" s="86" t="s">
        <v>29</v>
      </c>
      <c r="F523" s="86" t="s">
        <v>418</v>
      </c>
      <c r="H523" s="126" t="s">
        <v>51</v>
      </c>
      <c r="I523" s="89">
        <v>1</v>
      </c>
      <c r="J523" s="127">
        <v>60739.289900000003</v>
      </c>
      <c r="K523" s="127">
        <v>66432.75</v>
      </c>
      <c r="L523" s="127">
        <v>9409.2039999999997</v>
      </c>
      <c r="M523" s="127">
        <v>37179.289900000033</v>
      </c>
      <c r="N523" s="127">
        <v>53972.750000000007</v>
      </c>
      <c r="O523" s="127">
        <v>8389.2039999999997</v>
      </c>
      <c r="P523" s="128">
        <f t="shared" si="72"/>
        <v>0.61211268622355153</v>
      </c>
      <c r="Q523" s="128">
        <f t="shared" si="73"/>
        <v>0.81244190553604967</v>
      </c>
      <c r="R523" s="128">
        <f t="shared" si="74"/>
        <v>0.89159550584725333</v>
      </c>
      <c r="S523" s="129">
        <v>1</v>
      </c>
      <c r="T523" s="129">
        <v>1</v>
      </c>
      <c r="U523" s="129">
        <v>1</v>
      </c>
      <c r="V523" s="138">
        <f t="shared" si="75"/>
        <v>3</v>
      </c>
      <c r="W523" s="138">
        <f t="shared" si="76"/>
        <v>3</v>
      </c>
      <c r="X523" s="138">
        <f t="shared" si="77"/>
        <v>1</v>
      </c>
      <c r="Y523" s="138">
        <f t="shared" si="78"/>
        <v>3</v>
      </c>
      <c r="Z523" s="138">
        <f t="shared" si="79"/>
        <v>3</v>
      </c>
      <c r="AA523" s="138">
        <f t="shared" si="80"/>
        <v>1</v>
      </c>
      <c r="AB523" s="127" t="s">
        <v>32</v>
      </c>
      <c r="AC523" s="127"/>
      <c r="AD523" s="127"/>
      <c r="AE523" s="130"/>
      <c r="AF523" s="136">
        <v>17.16</v>
      </c>
      <c r="AG523" s="136">
        <v>11.33</v>
      </c>
      <c r="AH523" s="136">
        <v>24.91</v>
      </c>
      <c r="AI523" s="136">
        <v>5.99</v>
      </c>
      <c r="AJ523" s="136">
        <v>4.03</v>
      </c>
      <c r="AK523" s="136">
        <v>0.49</v>
      </c>
      <c r="AL523" s="136">
        <v>3.31</v>
      </c>
      <c r="AM523" s="136">
        <v>67.220000000000013</v>
      </c>
      <c r="AN523" s="131"/>
      <c r="AO523" s="131"/>
      <c r="AP523" s="131"/>
      <c r="AQ523" s="131"/>
      <c r="AR523" s="131"/>
      <c r="AS523" s="131"/>
      <c r="AT523" s="131"/>
      <c r="AU523" s="91"/>
      <c r="AV523" s="91"/>
      <c r="AW523" s="131"/>
      <c r="AX523" s="131"/>
      <c r="AY523" s="131"/>
    </row>
    <row r="524" spans="1:51" ht="15" x14ac:dyDescent="0.25">
      <c r="A524" s="123"/>
      <c r="B524" s="124"/>
      <c r="C524" s="125">
        <v>680792</v>
      </c>
      <c r="D524" s="89"/>
      <c r="E524" s="86" t="s">
        <v>29</v>
      </c>
      <c r="F524" s="86" t="s">
        <v>418</v>
      </c>
      <c r="H524" s="126" t="s">
        <v>51</v>
      </c>
      <c r="I524" s="89">
        <v>1</v>
      </c>
      <c r="J524" s="127">
        <v>60739.289900000003</v>
      </c>
      <c r="K524" s="127">
        <v>66432.75</v>
      </c>
      <c r="L524" s="127">
        <v>9409.2039999999997</v>
      </c>
      <c r="M524" s="127">
        <v>37179.289900000033</v>
      </c>
      <c r="N524" s="127">
        <v>53972.750000000007</v>
      </c>
      <c r="O524" s="127">
        <v>8389.2039999999997</v>
      </c>
      <c r="P524" s="128">
        <f t="shared" si="72"/>
        <v>0.61211268622355153</v>
      </c>
      <c r="Q524" s="128">
        <f t="shared" si="73"/>
        <v>0.81244190553604967</v>
      </c>
      <c r="R524" s="128">
        <f t="shared" si="74"/>
        <v>0.89159550584725333</v>
      </c>
      <c r="S524" s="129">
        <v>1</v>
      </c>
      <c r="T524" s="129">
        <v>1</v>
      </c>
      <c r="U524" s="129">
        <v>1</v>
      </c>
      <c r="V524" s="138">
        <f t="shared" si="75"/>
        <v>3</v>
      </c>
      <c r="W524" s="138">
        <f t="shared" si="76"/>
        <v>3</v>
      </c>
      <c r="X524" s="138">
        <f t="shared" si="77"/>
        <v>1</v>
      </c>
      <c r="Y524" s="138">
        <f t="shared" si="78"/>
        <v>3</v>
      </c>
      <c r="Z524" s="138">
        <f t="shared" si="79"/>
        <v>3</v>
      </c>
      <c r="AA524" s="138">
        <f t="shared" si="80"/>
        <v>1</v>
      </c>
      <c r="AB524" s="127" t="s">
        <v>32</v>
      </c>
      <c r="AC524" s="127"/>
      <c r="AD524" s="127"/>
      <c r="AE524" s="130"/>
      <c r="AF524" s="136">
        <v>17.16</v>
      </c>
      <c r="AG524" s="136">
        <v>11.33</v>
      </c>
      <c r="AH524" s="136">
        <v>24.91</v>
      </c>
      <c r="AI524" s="136">
        <v>5.99</v>
      </c>
      <c r="AJ524" s="136">
        <v>4.03</v>
      </c>
      <c r="AK524" s="136">
        <v>0.49</v>
      </c>
      <c r="AL524" s="136">
        <v>3.31</v>
      </c>
      <c r="AM524" s="136">
        <v>67.220000000000013</v>
      </c>
      <c r="AN524" s="131"/>
      <c r="AO524" s="131"/>
      <c r="AP524" s="131"/>
      <c r="AQ524" s="131"/>
      <c r="AR524" s="131"/>
      <c r="AS524" s="131"/>
      <c r="AT524" s="131"/>
      <c r="AU524" s="91"/>
      <c r="AV524" s="91"/>
      <c r="AW524" s="131"/>
      <c r="AX524" s="131"/>
      <c r="AY524" s="131"/>
    </row>
    <row r="525" spans="1:51" ht="15" x14ac:dyDescent="0.25">
      <c r="A525" s="123"/>
      <c r="B525" s="124"/>
      <c r="C525" s="125">
        <v>705398</v>
      </c>
      <c r="D525" s="89"/>
      <c r="E525" s="86" t="s">
        <v>29</v>
      </c>
      <c r="F525" s="86" t="s">
        <v>418</v>
      </c>
      <c r="H525" s="126" t="s">
        <v>51</v>
      </c>
      <c r="I525" s="89">
        <v>1</v>
      </c>
      <c r="J525" s="127">
        <v>60739.289900000003</v>
      </c>
      <c r="K525" s="127">
        <v>66432.75</v>
      </c>
      <c r="L525" s="127">
        <v>9409.2039999999997</v>
      </c>
      <c r="M525" s="127">
        <v>37179.289900000033</v>
      </c>
      <c r="N525" s="127">
        <v>53972.750000000007</v>
      </c>
      <c r="O525" s="127">
        <v>8389.2039999999997</v>
      </c>
      <c r="P525" s="128">
        <f t="shared" si="72"/>
        <v>0.61211268622355153</v>
      </c>
      <c r="Q525" s="128">
        <f t="shared" si="73"/>
        <v>0.81244190553604967</v>
      </c>
      <c r="R525" s="128">
        <f t="shared" si="74"/>
        <v>0.89159550584725333</v>
      </c>
      <c r="S525" s="129">
        <v>1</v>
      </c>
      <c r="T525" s="129">
        <v>1</v>
      </c>
      <c r="U525" s="129">
        <v>1</v>
      </c>
      <c r="V525" s="138">
        <f t="shared" si="75"/>
        <v>3</v>
      </c>
      <c r="W525" s="138">
        <f t="shared" si="76"/>
        <v>3</v>
      </c>
      <c r="X525" s="138">
        <f t="shared" si="77"/>
        <v>1</v>
      </c>
      <c r="Y525" s="138">
        <f t="shared" si="78"/>
        <v>3</v>
      </c>
      <c r="Z525" s="138">
        <f t="shared" si="79"/>
        <v>3</v>
      </c>
      <c r="AA525" s="138">
        <f t="shared" si="80"/>
        <v>1</v>
      </c>
      <c r="AB525" s="127" t="s">
        <v>32</v>
      </c>
      <c r="AC525" s="127"/>
      <c r="AD525" s="127"/>
      <c r="AE525" s="130"/>
      <c r="AF525" s="136">
        <v>17.16</v>
      </c>
      <c r="AG525" s="136">
        <v>11.33</v>
      </c>
      <c r="AH525" s="136">
        <v>24.91</v>
      </c>
      <c r="AI525" s="136">
        <v>5.99</v>
      </c>
      <c r="AJ525" s="136">
        <v>4.03</v>
      </c>
      <c r="AK525" s="136">
        <v>0.49</v>
      </c>
      <c r="AL525" s="136">
        <v>3.31</v>
      </c>
      <c r="AM525" s="136">
        <v>67.220000000000013</v>
      </c>
      <c r="AN525" s="131"/>
      <c r="AO525" s="131"/>
      <c r="AP525" s="131"/>
      <c r="AQ525" s="131"/>
      <c r="AR525" s="131"/>
      <c r="AS525" s="131"/>
      <c r="AT525" s="131"/>
      <c r="AU525" s="91"/>
      <c r="AV525" s="91"/>
      <c r="AW525" s="131"/>
      <c r="AX525" s="131"/>
      <c r="AY525" s="131"/>
    </row>
    <row r="526" spans="1:51" ht="15" x14ac:dyDescent="0.25">
      <c r="A526" s="123"/>
      <c r="B526" s="124"/>
      <c r="C526" s="125">
        <v>714931</v>
      </c>
      <c r="D526" s="89"/>
      <c r="E526" s="86" t="s">
        <v>29</v>
      </c>
      <c r="F526" s="86" t="s">
        <v>418</v>
      </c>
      <c r="H526" s="126" t="s">
        <v>51</v>
      </c>
      <c r="I526" s="89">
        <v>1</v>
      </c>
      <c r="J526" s="127">
        <v>60739.289900000003</v>
      </c>
      <c r="K526" s="127">
        <v>66432.75</v>
      </c>
      <c r="L526" s="127">
        <v>9409.2039999999997</v>
      </c>
      <c r="M526" s="127">
        <v>37179.289900000033</v>
      </c>
      <c r="N526" s="127">
        <v>53972.750000000007</v>
      </c>
      <c r="O526" s="127">
        <v>8389.2039999999997</v>
      </c>
      <c r="P526" s="128">
        <f t="shared" si="72"/>
        <v>0.61211268622355153</v>
      </c>
      <c r="Q526" s="128">
        <f t="shared" si="73"/>
        <v>0.81244190553604967</v>
      </c>
      <c r="R526" s="128">
        <f t="shared" si="74"/>
        <v>0.89159550584725333</v>
      </c>
      <c r="S526" s="129">
        <v>1</v>
      </c>
      <c r="T526" s="129">
        <v>1</v>
      </c>
      <c r="U526" s="129">
        <v>1</v>
      </c>
      <c r="V526" s="138">
        <f t="shared" si="75"/>
        <v>3</v>
      </c>
      <c r="W526" s="138">
        <f t="shared" si="76"/>
        <v>3</v>
      </c>
      <c r="X526" s="138">
        <f t="shared" si="77"/>
        <v>1</v>
      </c>
      <c r="Y526" s="138">
        <f t="shared" si="78"/>
        <v>3</v>
      </c>
      <c r="Z526" s="138">
        <f t="shared" si="79"/>
        <v>3</v>
      </c>
      <c r="AA526" s="138">
        <f t="shared" si="80"/>
        <v>1</v>
      </c>
      <c r="AB526" s="127" t="s">
        <v>32</v>
      </c>
      <c r="AC526" s="127"/>
      <c r="AD526" s="127"/>
      <c r="AE526" s="130"/>
      <c r="AF526" s="136">
        <v>17.16</v>
      </c>
      <c r="AG526" s="136">
        <v>11.33</v>
      </c>
      <c r="AH526" s="136">
        <v>24.91</v>
      </c>
      <c r="AI526" s="136">
        <v>5.99</v>
      </c>
      <c r="AJ526" s="136">
        <v>4.03</v>
      </c>
      <c r="AK526" s="136">
        <v>0.49</v>
      </c>
      <c r="AL526" s="136">
        <v>3.31</v>
      </c>
      <c r="AM526" s="136">
        <v>67.220000000000013</v>
      </c>
      <c r="AN526" s="131"/>
      <c r="AO526" s="131"/>
      <c r="AP526" s="131"/>
      <c r="AQ526" s="131"/>
      <c r="AR526" s="131"/>
      <c r="AS526" s="131"/>
      <c r="AT526" s="131"/>
      <c r="AU526" s="91"/>
      <c r="AV526" s="91"/>
      <c r="AW526" s="131"/>
      <c r="AX526" s="131"/>
      <c r="AY526" s="131"/>
    </row>
    <row r="527" spans="1:51" ht="15" x14ac:dyDescent="0.25">
      <c r="A527" s="123"/>
      <c r="B527" s="124"/>
      <c r="C527" s="125">
        <v>725590</v>
      </c>
      <c r="D527" s="89"/>
      <c r="E527" s="86" t="s">
        <v>29</v>
      </c>
      <c r="F527" s="86" t="s">
        <v>418</v>
      </c>
      <c r="H527" s="126" t="s">
        <v>51</v>
      </c>
      <c r="I527" s="89">
        <v>1</v>
      </c>
      <c r="J527" s="127">
        <v>60739.289900000003</v>
      </c>
      <c r="K527" s="127">
        <v>66432.75</v>
      </c>
      <c r="L527" s="127">
        <v>9409.2039999999997</v>
      </c>
      <c r="M527" s="127">
        <v>37179.289900000033</v>
      </c>
      <c r="N527" s="127">
        <v>53972.750000000007</v>
      </c>
      <c r="O527" s="127">
        <v>8389.2039999999997</v>
      </c>
      <c r="P527" s="128">
        <f t="shared" si="72"/>
        <v>0.61211268622355153</v>
      </c>
      <c r="Q527" s="128">
        <f t="shared" si="73"/>
        <v>0.81244190553604967</v>
      </c>
      <c r="R527" s="128">
        <f t="shared" si="74"/>
        <v>0.89159550584725333</v>
      </c>
      <c r="S527" s="129">
        <v>1</v>
      </c>
      <c r="T527" s="129">
        <v>1</v>
      </c>
      <c r="U527" s="129">
        <v>1</v>
      </c>
      <c r="V527" s="138">
        <f t="shared" si="75"/>
        <v>3</v>
      </c>
      <c r="W527" s="138">
        <f t="shared" si="76"/>
        <v>3</v>
      </c>
      <c r="X527" s="138">
        <f t="shared" si="77"/>
        <v>1</v>
      </c>
      <c r="Y527" s="138">
        <f t="shared" si="78"/>
        <v>3</v>
      </c>
      <c r="Z527" s="138">
        <f t="shared" si="79"/>
        <v>3</v>
      </c>
      <c r="AA527" s="138">
        <f t="shared" si="80"/>
        <v>1</v>
      </c>
      <c r="AB527" s="127" t="s">
        <v>32</v>
      </c>
      <c r="AC527" s="127"/>
      <c r="AD527" s="127"/>
      <c r="AE527" s="130"/>
      <c r="AF527" s="136">
        <v>17.16</v>
      </c>
      <c r="AG527" s="136">
        <v>11.33</v>
      </c>
      <c r="AH527" s="136">
        <v>24.91</v>
      </c>
      <c r="AI527" s="136">
        <v>5.99</v>
      </c>
      <c r="AJ527" s="136">
        <v>4.03</v>
      </c>
      <c r="AK527" s="136">
        <v>0.49</v>
      </c>
      <c r="AL527" s="136">
        <v>3.31</v>
      </c>
      <c r="AM527" s="136">
        <v>67.220000000000013</v>
      </c>
      <c r="AN527" s="131"/>
      <c r="AO527" s="131"/>
      <c r="AP527" s="131"/>
      <c r="AQ527" s="131"/>
      <c r="AR527" s="131"/>
      <c r="AS527" s="131"/>
      <c r="AT527" s="131"/>
      <c r="AU527" s="91"/>
      <c r="AV527" s="91"/>
      <c r="AW527" s="131"/>
      <c r="AX527" s="131"/>
      <c r="AY527" s="131"/>
    </row>
    <row r="528" spans="1:51" ht="15" x14ac:dyDescent="0.25">
      <c r="A528" s="123"/>
      <c r="B528" s="124"/>
      <c r="C528" s="125">
        <v>729695</v>
      </c>
      <c r="D528" s="89"/>
      <c r="E528" s="86" t="s">
        <v>29</v>
      </c>
      <c r="F528" s="86" t="s">
        <v>418</v>
      </c>
      <c r="H528" s="126" t="s">
        <v>51</v>
      </c>
      <c r="I528" s="89">
        <v>1</v>
      </c>
      <c r="J528" s="127">
        <v>60739.289900000003</v>
      </c>
      <c r="K528" s="127">
        <v>66432.75</v>
      </c>
      <c r="L528" s="127">
        <v>9409.2039999999997</v>
      </c>
      <c r="M528" s="127">
        <v>37179.289900000033</v>
      </c>
      <c r="N528" s="127">
        <v>53972.750000000007</v>
      </c>
      <c r="O528" s="127">
        <v>8389.2039999999997</v>
      </c>
      <c r="P528" s="128">
        <f t="shared" si="72"/>
        <v>0.61211268622355153</v>
      </c>
      <c r="Q528" s="128">
        <f t="shared" si="73"/>
        <v>0.81244190553604967</v>
      </c>
      <c r="R528" s="128">
        <f t="shared" si="74"/>
        <v>0.89159550584725333</v>
      </c>
      <c r="S528" s="129">
        <v>1</v>
      </c>
      <c r="T528" s="129">
        <v>1</v>
      </c>
      <c r="U528" s="129">
        <v>1</v>
      </c>
      <c r="V528" s="138">
        <f t="shared" si="75"/>
        <v>3</v>
      </c>
      <c r="W528" s="138">
        <f t="shared" si="76"/>
        <v>3</v>
      </c>
      <c r="X528" s="138">
        <f t="shared" si="77"/>
        <v>1</v>
      </c>
      <c r="Y528" s="138">
        <f t="shared" si="78"/>
        <v>3</v>
      </c>
      <c r="Z528" s="138">
        <f t="shared" si="79"/>
        <v>3</v>
      </c>
      <c r="AA528" s="138">
        <f t="shared" si="80"/>
        <v>1</v>
      </c>
      <c r="AB528" s="127" t="s">
        <v>32</v>
      </c>
      <c r="AC528" s="127"/>
      <c r="AD528" s="127"/>
      <c r="AE528" s="130"/>
      <c r="AF528" s="136">
        <v>17.16</v>
      </c>
      <c r="AG528" s="136">
        <v>11.33</v>
      </c>
      <c r="AH528" s="136">
        <v>24.91</v>
      </c>
      <c r="AI528" s="136">
        <v>5.99</v>
      </c>
      <c r="AJ528" s="136">
        <v>4.03</v>
      </c>
      <c r="AK528" s="136">
        <v>0.49</v>
      </c>
      <c r="AL528" s="136">
        <v>3.31</v>
      </c>
      <c r="AM528" s="136">
        <v>67.220000000000013</v>
      </c>
      <c r="AN528" s="131"/>
      <c r="AO528" s="131"/>
      <c r="AP528" s="131"/>
      <c r="AQ528" s="131"/>
      <c r="AR528" s="131"/>
      <c r="AS528" s="131"/>
      <c r="AT528" s="131"/>
      <c r="AU528" s="91"/>
      <c r="AV528" s="91"/>
      <c r="AW528" s="131"/>
      <c r="AX528" s="131"/>
      <c r="AY528" s="131"/>
    </row>
    <row r="529" spans="1:51" ht="15" x14ac:dyDescent="0.25">
      <c r="A529" s="123"/>
      <c r="B529" s="124"/>
      <c r="C529" s="125">
        <v>730119</v>
      </c>
      <c r="D529" s="89"/>
      <c r="E529" s="86" t="s">
        <v>29</v>
      </c>
      <c r="F529" s="86" t="s">
        <v>418</v>
      </c>
      <c r="H529" s="126" t="s">
        <v>51</v>
      </c>
      <c r="I529" s="89">
        <v>1</v>
      </c>
      <c r="J529" s="127">
        <v>60739.289900000003</v>
      </c>
      <c r="K529" s="127">
        <v>66432.75</v>
      </c>
      <c r="L529" s="127">
        <v>9409.2039999999997</v>
      </c>
      <c r="M529" s="127">
        <v>37179.289900000033</v>
      </c>
      <c r="N529" s="127">
        <v>53972.750000000007</v>
      </c>
      <c r="O529" s="127">
        <v>8389.2039999999997</v>
      </c>
      <c r="P529" s="128">
        <f t="shared" si="72"/>
        <v>0.61211268622355153</v>
      </c>
      <c r="Q529" s="128">
        <f t="shared" si="73"/>
        <v>0.81244190553604967</v>
      </c>
      <c r="R529" s="128">
        <f t="shared" si="74"/>
        <v>0.89159550584725333</v>
      </c>
      <c r="S529" s="129">
        <v>1</v>
      </c>
      <c r="T529" s="129">
        <v>1</v>
      </c>
      <c r="U529" s="129">
        <v>1</v>
      </c>
      <c r="V529" s="138">
        <f t="shared" si="75"/>
        <v>3</v>
      </c>
      <c r="W529" s="138">
        <f t="shared" si="76"/>
        <v>3</v>
      </c>
      <c r="X529" s="138">
        <f t="shared" si="77"/>
        <v>1</v>
      </c>
      <c r="Y529" s="138">
        <f t="shared" si="78"/>
        <v>3</v>
      </c>
      <c r="Z529" s="138">
        <f t="shared" si="79"/>
        <v>3</v>
      </c>
      <c r="AA529" s="138">
        <f t="shared" si="80"/>
        <v>1</v>
      </c>
      <c r="AB529" s="127" t="s">
        <v>32</v>
      </c>
      <c r="AC529" s="127"/>
      <c r="AD529" s="127"/>
      <c r="AE529" s="130"/>
      <c r="AF529" s="136">
        <v>17.16</v>
      </c>
      <c r="AG529" s="136">
        <v>11.33</v>
      </c>
      <c r="AH529" s="136">
        <v>24.91</v>
      </c>
      <c r="AI529" s="136">
        <v>5.99</v>
      </c>
      <c r="AJ529" s="136">
        <v>4.03</v>
      </c>
      <c r="AK529" s="136">
        <v>0.49</v>
      </c>
      <c r="AL529" s="136">
        <v>3.31</v>
      </c>
      <c r="AM529" s="136">
        <v>67.220000000000013</v>
      </c>
      <c r="AN529" s="131"/>
      <c r="AO529" s="131"/>
      <c r="AP529" s="131"/>
      <c r="AQ529" s="131"/>
      <c r="AR529" s="131"/>
      <c r="AS529" s="131"/>
      <c r="AT529" s="131"/>
      <c r="AU529" s="91"/>
      <c r="AV529" s="91"/>
      <c r="AW529" s="131"/>
      <c r="AX529" s="131"/>
      <c r="AY529" s="131"/>
    </row>
    <row r="530" spans="1:51" ht="15" x14ac:dyDescent="0.25">
      <c r="A530" s="123"/>
      <c r="B530" s="124"/>
      <c r="C530" s="125">
        <v>769528</v>
      </c>
      <c r="D530" s="89"/>
      <c r="E530" s="86" t="s">
        <v>29</v>
      </c>
      <c r="F530" s="86" t="s">
        <v>418</v>
      </c>
      <c r="H530" s="126" t="s">
        <v>51</v>
      </c>
      <c r="I530" s="89">
        <v>2</v>
      </c>
      <c r="J530" s="127">
        <v>60739.289900000003</v>
      </c>
      <c r="K530" s="127">
        <v>66432.75</v>
      </c>
      <c r="L530" s="127">
        <v>9409.2039999999997</v>
      </c>
      <c r="M530" s="127">
        <v>37179.289900000033</v>
      </c>
      <c r="N530" s="127">
        <v>53972.750000000007</v>
      </c>
      <c r="O530" s="127">
        <v>8389.2039999999997</v>
      </c>
      <c r="P530" s="128">
        <f t="shared" si="72"/>
        <v>0.61211268622355153</v>
      </c>
      <c r="Q530" s="128">
        <f t="shared" si="73"/>
        <v>0.81244190553604967</v>
      </c>
      <c r="R530" s="128">
        <f t="shared" si="74"/>
        <v>0.89159550584725333</v>
      </c>
      <c r="S530" s="129">
        <v>1</v>
      </c>
      <c r="T530" s="129">
        <v>1</v>
      </c>
      <c r="U530" s="129">
        <v>1</v>
      </c>
      <c r="V530" s="138">
        <f t="shared" si="75"/>
        <v>4</v>
      </c>
      <c r="W530" s="138">
        <f t="shared" si="76"/>
        <v>4</v>
      </c>
      <c r="X530" s="138">
        <f t="shared" si="77"/>
        <v>2</v>
      </c>
      <c r="Y530" s="138">
        <f t="shared" si="78"/>
        <v>4</v>
      </c>
      <c r="Z530" s="138">
        <f t="shared" si="79"/>
        <v>4</v>
      </c>
      <c r="AA530" s="138">
        <f t="shared" si="80"/>
        <v>1</v>
      </c>
      <c r="AB530" s="127" t="s">
        <v>32</v>
      </c>
      <c r="AC530" s="127"/>
      <c r="AD530" s="127"/>
      <c r="AE530" s="130"/>
      <c r="AF530" s="136">
        <v>22.88</v>
      </c>
      <c r="AG530" s="136">
        <v>11.33</v>
      </c>
      <c r="AH530" s="136">
        <v>33.21</v>
      </c>
      <c r="AI530" s="136">
        <v>5.99</v>
      </c>
      <c r="AJ530" s="136">
        <v>4.03</v>
      </c>
      <c r="AK530" s="136">
        <v>0.49</v>
      </c>
      <c r="AL530" s="136">
        <v>3.31</v>
      </c>
      <c r="AM530" s="136">
        <v>81.239999999999995</v>
      </c>
      <c r="AN530" s="131"/>
      <c r="AO530" s="131"/>
      <c r="AP530" s="131"/>
      <c r="AQ530" s="131"/>
      <c r="AR530" s="131"/>
      <c r="AS530" s="131"/>
      <c r="AT530" s="131"/>
      <c r="AU530" s="91"/>
      <c r="AV530" s="91"/>
      <c r="AW530" s="131"/>
      <c r="AX530" s="131"/>
      <c r="AY530" s="131"/>
    </row>
    <row r="531" spans="1:51" ht="15" x14ac:dyDescent="0.25">
      <c r="A531" s="123"/>
      <c r="B531" s="124"/>
      <c r="C531" s="125">
        <v>816198</v>
      </c>
      <c r="D531" s="89"/>
      <c r="E531" s="86" t="s">
        <v>29</v>
      </c>
      <c r="F531" s="86" t="s">
        <v>418</v>
      </c>
      <c r="H531" s="126" t="s">
        <v>51</v>
      </c>
      <c r="I531" s="89">
        <v>1</v>
      </c>
      <c r="J531" s="127">
        <v>60739.289900000003</v>
      </c>
      <c r="K531" s="127">
        <v>66432.75</v>
      </c>
      <c r="L531" s="127">
        <v>9409.2039999999997</v>
      </c>
      <c r="M531" s="127">
        <v>37179.289900000033</v>
      </c>
      <c r="N531" s="127">
        <v>53972.750000000007</v>
      </c>
      <c r="O531" s="127">
        <v>8389.2039999999997</v>
      </c>
      <c r="P531" s="128">
        <f t="shared" si="72"/>
        <v>0.61211268622355153</v>
      </c>
      <c r="Q531" s="128">
        <f t="shared" si="73"/>
        <v>0.81244190553604967</v>
      </c>
      <c r="R531" s="128">
        <f t="shared" si="74"/>
        <v>0.89159550584725333</v>
      </c>
      <c r="S531" s="129">
        <v>1</v>
      </c>
      <c r="T531" s="129">
        <v>1</v>
      </c>
      <c r="U531" s="129">
        <v>1</v>
      </c>
      <c r="V531" s="138">
        <f t="shared" si="75"/>
        <v>3</v>
      </c>
      <c r="W531" s="138">
        <f t="shared" si="76"/>
        <v>3</v>
      </c>
      <c r="X531" s="138">
        <f t="shared" si="77"/>
        <v>1</v>
      </c>
      <c r="Y531" s="138">
        <f t="shared" si="78"/>
        <v>3</v>
      </c>
      <c r="Z531" s="138">
        <f t="shared" si="79"/>
        <v>3</v>
      </c>
      <c r="AA531" s="138">
        <f t="shared" si="80"/>
        <v>1</v>
      </c>
      <c r="AB531" s="127" t="s">
        <v>32</v>
      </c>
      <c r="AC531" s="127"/>
      <c r="AD531" s="127"/>
      <c r="AE531" s="130"/>
      <c r="AF531" s="136">
        <v>17.16</v>
      </c>
      <c r="AG531" s="136">
        <v>11.33</v>
      </c>
      <c r="AH531" s="136">
        <v>24.91</v>
      </c>
      <c r="AI531" s="136">
        <v>5.99</v>
      </c>
      <c r="AJ531" s="136">
        <v>4.03</v>
      </c>
      <c r="AK531" s="136">
        <v>0.49</v>
      </c>
      <c r="AL531" s="136">
        <v>3.31</v>
      </c>
      <c r="AM531" s="136">
        <v>67.220000000000013</v>
      </c>
      <c r="AN531" s="131"/>
      <c r="AO531" s="131"/>
      <c r="AP531" s="131"/>
      <c r="AQ531" s="131"/>
      <c r="AR531" s="131"/>
      <c r="AS531" s="131"/>
      <c r="AT531" s="131"/>
      <c r="AU531" s="91"/>
      <c r="AV531" s="91"/>
      <c r="AW531" s="131"/>
      <c r="AX531" s="131"/>
      <c r="AY531" s="131"/>
    </row>
    <row r="532" spans="1:51" ht="15" x14ac:dyDescent="0.25">
      <c r="A532" s="123"/>
      <c r="B532" s="124"/>
      <c r="C532" s="125">
        <v>856036</v>
      </c>
      <c r="D532" s="89"/>
      <c r="E532" s="86" t="s">
        <v>29</v>
      </c>
      <c r="F532" s="86" t="s">
        <v>418</v>
      </c>
      <c r="H532" s="126" t="s">
        <v>51</v>
      </c>
      <c r="I532" s="89">
        <v>1</v>
      </c>
      <c r="J532" s="127">
        <v>60739.289900000003</v>
      </c>
      <c r="K532" s="127">
        <v>66432.75</v>
      </c>
      <c r="L532" s="127">
        <v>9409.2039999999997</v>
      </c>
      <c r="M532" s="127">
        <v>37179.289900000033</v>
      </c>
      <c r="N532" s="127">
        <v>53972.750000000007</v>
      </c>
      <c r="O532" s="127">
        <v>8389.2039999999997</v>
      </c>
      <c r="P532" s="128">
        <f t="shared" si="72"/>
        <v>0.61211268622355153</v>
      </c>
      <c r="Q532" s="128">
        <f t="shared" si="73"/>
        <v>0.81244190553604967</v>
      </c>
      <c r="R532" s="128">
        <f t="shared" si="74"/>
        <v>0.89159550584725333</v>
      </c>
      <c r="S532" s="129">
        <v>1</v>
      </c>
      <c r="T532" s="129">
        <v>1</v>
      </c>
      <c r="U532" s="129">
        <v>1</v>
      </c>
      <c r="V532" s="138">
        <f t="shared" si="75"/>
        <v>3</v>
      </c>
      <c r="W532" s="138">
        <f t="shared" si="76"/>
        <v>3</v>
      </c>
      <c r="X532" s="138">
        <f t="shared" si="77"/>
        <v>1</v>
      </c>
      <c r="Y532" s="138">
        <f t="shared" si="78"/>
        <v>3</v>
      </c>
      <c r="Z532" s="138">
        <f t="shared" si="79"/>
        <v>3</v>
      </c>
      <c r="AA532" s="138">
        <f t="shared" si="80"/>
        <v>1</v>
      </c>
      <c r="AB532" s="127" t="s">
        <v>32</v>
      </c>
      <c r="AC532" s="127"/>
      <c r="AD532" s="127"/>
      <c r="AE532" s="130"/>
      <c r="AF532" s="136">
        <v>17.16</v>
      </c>
      <c r="AG532" s="136">
        <v>11.33</v>
      </c>
      <c r="AH532" s="136">
        <v>24.91</v>
      </c>
      <c r="AI532" s="136">
        <v>5.99</v>
      </c>
      <c r="AJ532" s="136">
        <v>4.03</v>
      </c>
      <c r="AK532" s="136">
        <v>0.49</v>
      </c>
      <c r="AL532" s="136">
        <v>3.31</v>
      </c>
      <c r="AM532" s="136">
        <v>67.220000000000013</v>
      </c>
      <c r="AN532" s="131"/>
      <c r="AO532" s="131"/>
      <c r="AP532" s="131"/>
      <c r="AQ532" s="131"/>
      <c r="AR532" s="131"/>
      <c r="AS532" s="131"/>
      <c r="AT532" s="131"/>
      <c r="AU532" s="91"/>
      <c r="AV532" s="91"/>
      <c r="AW532" s="131"/>
      <c r="AX532" s="131"/>
      <c r="AY532" s="131"/>
    </row>
    <row r="533" spans="1:51" ht="15" x14ac:dyDescent="0.25">
      <c r="A533" s="123"/>
      <c r="B533" s="124"/>
      <c r="C533" s="125">
        <v>894029</v>
      </c>
      <c r="D533" s="89"/>
      <c r="E533" s="86" t="s">
        <v>29</v>
      </c>
      <c r="F533" s="86" t="s">
        <v>418</v>
      </c>
      <c r="H533" s="126" t="s">
        <v>51</v>
      </c>
      <c r="I533" s="89">
        <v>1</v>
      </c>
      <c r="J533" s="127">
        <v>60739.289900000003</v>
      </c>
      <c r="K533" s="127">
        <v>66432.75</v>
      </c>
      <c r="L533" s="127">
        <v>9409.2039999999997</v>
      </c>
      <c r="M533" s="127">
        <v>37179.289900000033</v>
      </c>
      <c r="N533" s="127">
        <v>53972.750000000007</v>
      </c>
      <c r="O533" s="127">
        <v>8389.2039999999997</v>
      </c>
      <c r="P533" s="128">
        <f t="shared" si="72"/>
        <v>0.61211268622355153</v>
      </c>
      <c r="Q533" s="128">
        <f t="shared" si="73"/>
        <v>0.81244190553604967</v>
      </c>
      <c r="R533" s="128">
        <f t="shared" si="74"/>
        <v>0.89159550584725333</v>
      </c>
      <c r="S533" s="129">
        <v>1</v>
      </c>
      <c r="T533" s="129">
        <v>1</v>
      </c>
      <c r="U533" s="129">
        <v>1</v>
      </c>
      <c r="V533" s="138">
        <f t="shared" si="75"/>
        <v>3</v>
      </c>
      <c r="W533" s="138">
        <f t="shared" si="76"/>
        <v>3</v>
      </c>
      <c r="X533" s="138">
        <f t="shared" si="77"/>
        <v>1</v>
      </c>
      <c r="Y533" s="138">
        <f t="shared" si="78"/>
        <v>3</v>
      </c>
      <c r="Z533" s="138">
        <f t="shared" si="79"/>
        <v>3</v>
      </c>
      <c r="AA533" s="138">
        <f t="shared" si="80"/>
        <v>1</v>
      </c>
      <c r="AB533" s="127" t="s">
        <v>32</v>
      </c>
      <c r="AC533" s="127"/>
      <c r="AD533" s="127"/>
      <c r="AE533" s="130"/>
      <c r="AF533" s="136">
        <v>17.16</v>
      </c>
      <c r="AG533" s="136">
        <v>11.33</v>
      </c>
      <c r="AH533" s="136">
        <v>24.91</v>
      </c>
      <c r="AI533" s="136">
        <v>5.99</v>
      </c>
      <c r="AJ533" s="136">
        <v>4.03</v>
      </c>
      <c r="AK533" s="136">
        <v>0.49</v>
      </c>
      <c r="AL533" s="136">
        <v>3.31</v>
      </c>
      <c r="AM533" s="136">
        <v>67.220000000000013</v>
      </c>
      <c r="AN533" s="131"/>
      <c r="AO533" s="131"/>
      <c r="AP533" s="131"/>
      <c r="AQ533" s="131"/>
      <c r="AR533" s="131"/>
      <c r="AS533" s="131"/>
      <c r="AT533" s="131"/>
      <c r="AU533" s="91"/>
      <c r="AV533" s="91"/>
      <c r="AW533" s="131"/>
      <c r="AX533" s="131"/>
      <c r="AY533" s="131"/>
    </row>
    <row r="534" spans="1:51" ht="15" x14ac:dyDescent="0.25">
      <c r="A534" s="123"/>
      <c r="B534" s="124"/>
      <c r="C534" s="125">
        <v>939264</v>
      </c>
      <c r="D534" s="89"/>
      <c r="E534" s="86" t="s">
        <v>29</v>
      </c>
      <c r="F534" s="86" t="s">
        <v>418</v>
      </c>
      <c r="H534" s="126" t="s">
        <v>51</v>
      </c>
      <c r="I534" s="89">
        <v>1</v>
      </c>
      <c r="J534" s="127">
        <v>60739.289900000003</v>
      </c>
      <c r="K534" s="127">
        <v>66432.75</v>
      </c>
      <c r="L534" s="127">
        <v>9409.2039999999997</v>
      </c>
      <c r="M534" s="127">
        <v>37179.289900000033</v>
      </c>
      <c r="N534" s="127">
        <v>53972.750000000007</v>
      </c>
      <c r="O534" s="127">
        <v>8389.2039999999997</v>
      </c>
      <c r="P534" s="128">
        <f t="shared" si="72"/>
        <v>0.61211268622355153</v>
      </c>
      <c r="Q534" s="128">
        <f t="shared" si="73"/>
        <v>0.81244190553604967</v>
      </c>
      <c r="R534" s="128">
        <f t="shared" si="74"/>
        <v>0.89159550584725333</v>
      </c>
      <c r="S534" s="129">
        <v>1</v>
      </c>
      <c r="T534" s="129">
        <v>1</v>
      </c>
      <c r="U534" s="129">
        <v>1</v>
      </c>
      <c r="V534" s="138">
        <f t="shared" si="75"/>
        <v>3</v>
      </c>
      <c r="W534" s="138">
        <f t="shared" si="76"/>
        <v>3</v>
      </c>
      <c r="X534" s="138">
        <f t="shared" si="77"/>
        <v>1</v>
      </c>
      <c r="Y534" s="138">
        <f t="shared" si="78"/>
        <v>3</v>
      </c>
      <c r="Z534" s="138">
        <f t="shared" si="79"/>
        <v>3</v>
      </c>
      <c r="AA534" s="138">
        <f t="shared" si="80"/>
        <v>1</v>
      </c>
      <c r="AB534" s="127" t="s">
        <v>32</v>
      </c>
      <c r="AC534" s="127"/>
      <c r="AD534" s="127"/>
      <c r="AE534" s="130"/>
      <c r="AF534" s="136">
        <v>17.16</v>
      </c>
      <c r="AG534" s="136">
        <v>11.33</v>
      </c>
      <c r="AH534" s="136">
        <v>24.91</v>
      </c>
      <c r="AI534" s="136">
        <v>5.99</v>
      </c>
      <c r="AJ534" s="136">
        <v>4.03</v>
      </c>
      <c r="AK534" s="136">
        <v>0.49</v>
      </c>
      <c r="AL534" s="136">
        <v>3.31</v>
      </c>
      <c r="AM534" s="136">
        <v>67.220000000000013</v>
      </c>
      <c r="AN534" s="131"/>
      <c r="AO534" s="131"/>
      <c r="AP534" s="131"/>
      <c r="AQ534" s="131"/>
      <c r="AR534" s="131"/>
      <c r="AS534" s="131"/>
      <c r="AT534" s="131"/>
      <c r="AU534" s="91"/>
      <c r="AV534" s="91"/>
      <c r="AW534" s="131"/>
      <c r="AX534" s="131"/>
      <c r="AY534" s="131"/>
    </row>
    <row r="535" spans="1:51" ht="15" x14ac:dyDescent="0.25">
      <c r="A535" s="123"/>
      <c r="B535" s="124"/>
      <c r="C535" s="125">
        <v>949133</v>
      </c>
      <c r="D535" s="89"/>
      <c r="E535" s="86" t="s">
        <v>29</v>
      </c>
      <c r="F535" s="86" t="s">
        <v>418</v>
      </c>
      <c r="H535" s="126" t="s">
        <v>51</v>
      </c>
      <c r="I535" s="89">
        <v>1</v>
      </c>
      <c r="J535" s="127">
        <v>60739.289900000003</v>
      </c>
      <c r="K535" s="127">
        <v>66432.75</v>
      </c>
      <c r="L535" s="127">
        <v>9409.2039999999997</v>
      </c>
      <c r="M535" s="127">
        <v>37179.289900000033</v>
      </c>
      <c r="N535" s="127">
        <v>53972.750000000007</v>
      </c>
      <c r="O535" s="127">
        <v>8389.2039999999997</v>
      </c>
      <c r="P535" s="128">
        <f t="shared" si="72"/>
        <v>0.61211268622355153</v>
      </c>
      <c r="Q535" s="128">
        <f t="shared" si="73"/>
        <v>0.81244190553604967</v>
      </c>
      <c r="R535" s="128">
        <f t="shared" si="74"/>
        <v>0.89159550584725333</v>
      </c>
      <c r="S535" s="129">
        <v>1</v>
      </c>
      <c r="T535" s="129">
        <v>1</v>
      </c>
      <c r="U535" s="129">
        <v>1</v>
      </c>
      <c r="V535" s="138">
        <f t="shared" si="75"/>
        <v>3</v>
      </c>
      <c r="W535" s="138">
        <f t="shared" si="76"/>
        <v>3</v>
      </c>
      <c r="X535" s="138">
        <f t="shared" si="77"/>
        <v>1</v>
      </c>
      <c r="Y535" s="138">
        <f t="shared" si="78"/>
        <v>3</v>
      </c>
      <c r="Z535" s="138">
        <f t="shared" si="79"/>
        <v>3</v>
      </c>
      <c r="AA535" s="138">
        <f t="shared" si="80"/>
        <v>1</v>
      </c>
      <c r="AB535" s="127" t="s">
        <v>32</v>
      </c>
      <c r="AC535" s="127"/>
      <c r="AD535" s="127"/>
      <c r="AE535" s="130"/>
      <c r="AF535" s="136">
        <v>17.16</v>
      </c>
      <c r="AG535" s="136">
        <v>11.33</v>
      </c>
      <c r="AH535" s="136">
        <v>24.91</v>
      </c>
      <c r="AI535" s="136">
        <v>5.99</v>
      </c>
      <c r="AJ535" s="136">
        <v>4.03</v>
      </c>
      <c r="AK535" s="136">
        <v>0.49</v>
      </c>
      <c r="AL535" s="136">
        <v>3.31</v>
      </c>
      <c r="AM535" s="136">
        <v>67.220000000000013</v>
      </c>
      <c r="AN535" s="131"/>
      <c r="AO535" s="131"/>
      <c r="AP535" s="131"/>
      <c r="AQ535" s="131"/>
      <c r="AR535" s="131"/>
      <c r="AS535" s="131"/>
      <c r="AT535" s="131"/>
      <c r="AU535" s="91"/>
      <c r="AV535" s="91"/>
      <c r="AW535" s="131"/>
      <c r="AX535" s="131"/>
      <c r="AY535" s="131"/>
    </row>
    <row r="536" spans="1:51" ht="15" x14ac:dyDescent="0.25">
      <c r="A536" s="123"/>
      <c r="B536" s="124"/>
      <c r="C536" s="125">
        <v>949564</v>
      </c>
      <c r="D536" s="89"/>
      <c r="E536" s="86" t="s">
        <v>29</v>
      </c>
      <c r="F536" s="86" t="s">
        <v>418</v>
      </c>
      <c r="H536" s="126" t="s">
        <v>51</v>
      </c>
      <c r="I536" s="89">
        <v>1</v>
      </c>
      <c r="J536" s="127">
        <v>60739.289900000003</v>
      </c>
      <c r="K536" s="127">
        <v>66432.75</v>
      </c>
      <c r="L536" s="127">
        <v>9409.2039999999997</v>
      </c>
      <c r="M536" s="127">
        <v>37179.289900000033</v>
      </c>
      <c r="N536" s="127">
        <v>53972.750000000007</v>
      </c>
      <c r="O536" s="127">
        <v>8389.2039999999997</v>
      </c>
      <c r="P536" s="128">
        <f t="shared" si="72"/>
        <v>0.61211268622355153</v>
      </c>
      <c r="Q536" s="128">
        <f t="shared" si="73"/>
        <v>0.81244190553604967</v>
      </c>
      <c r="R536" s="128">
        <f t="shared" si="74"/>
        <v>0.89159550584725333</v>
      </c>
      <c r="S536" s="129">
        <v>1</v>
      </c>
      <c r="T536" s="129">
        <v>1</v>
      </c>
      <c r="U536" s="129">
        <v>1</v>
      </c>
      <c r="V536" s="138">
        <f t="shared" si="75"/>
        <v>3</v>
      </c>
      <c r="W536" s="138">
        <f t="shared" si="76"/>
        <v>3</v>
      </c>
      <c r="X536" s="138">
        <f t="shared" si="77"/>
        <v>1</v>
      </c>
      <c r="Y536" s="138">
        <f t="shared" si="78"/>
        <v>3</v>
      </c>
      <c r="Z536" s="138">
        <f t="shared" si="79"/>
        <v>3</v>
      </c>
      <c r="AA536" s="138">
        <f t="shared" si="80"/>
        <v>1</v>
      </c>
      <c r="AB536" s="127" t="s">
        <v>32</v>
      </c>
      <c r="AC536" s="127"/>
      <c r="AD536" s="127"/>
      <c r="AE536" s="130"/>
      <c r="AF536" s="136">
        <v>17.16</v>
      </c>
      <c r="AG536" s="136">
        <v>11.33</v>
      </c>
      <c r="AH536" s="136">
        <v>24.91</v>
      </c>
      <c r="AI536" s="136">
        <v>5.99</v>
      </c>
      <c r="AJ536" s="136">
        <v>4.03</v>
      </c>
      <c r="AK536" s="136">
        <v>0.49</v>
      </c>
      <c r="AL536" s="136">
        <v>3.31</v>
      </c>
      <c r="AM536" s="136">
        <v>67.220000000000013</v>
      </c>
      <c r="AN536" s="131"/>
      <c r="AO536" s="131"/>
      <c r="AP536" s="131"/>
      <c r="AQ536" s="131"/>
      <c r="AR536" s="131"/>
      <c r="AS536" s="131"/>
      <c r="AT536" s="131"/>
      <c r="AU536" s="91"/>
      <c r="AV536" s="91"/>
      <c r="AW536" s="131"/>
      <c r="AX536" s="131"/>
      <c r="AY536" s="131"/>
    </row>
    <row r="537" spans="1:51" ht="15" x14ac:dyDescent="0.25">
      <c r="A537" s="123"/>
      <c r="B537" s="124"/>
      <c r="C537" s="125">
        <v>983726</v>
      </c>
      <c r="D537" s="89"/>
      <c r="E537" s="86" t="s">
        <v>29</v>
      </c>
      <c r="F537" s="86" t="s">
        <v>418</v>
      </c>
      <c r="H537" s="126" t="s">
        <v>51</v>
      </c>
      <c r="I537" s="89">
        <v>1</v>
      </c>
      <c r="J537" s="127">
        <v>60739.289900000003</v>
      </c>
      <c r="K537" s="127">
        <v>66432.75</v>
      </c>
      <c r="L537" s="127">
        <v>9409.2039999999997</v>
      </c>
      <c r="M537" s="127">
        <v>37179.289900000033</v>
      </c>
      <c r="N537" s="127">
        <v>53972.750000000007</v>
      </c>
      <c r="O537" s="127">
        <v>8389.2039999999997</v>
      </c>
      <c r="P537" s="128">
        <f t="shared" si="72"/>
        <v>0.61211268622355153</v>
      </c>
      <c r="Q537" s="128">
        <f t="shared" si="73"/>
        <v>0.81244190553604967</v>
      </c>
      <c r="R537" s="128">
        <f t="shared" si="74"/>
        <v>0.89159550584725333</v>
      </c>
      <c r="S537" s="129">
        <v>1</v>
      </c>
      <c r="T537" s="129">
        <v>1</v>
      </c>
      <c r="U537" s="129">
        <v>1</v>
      </c>
      <c r="V537" s="138">
        <f t="shared" si="75"/>
        <v>3</v>
      </c>
      <c r="W537" s="138">
        <f t="shared" si="76"/>
        <v>3</v>
      </c>
      <c r="X537" s="138">
        <f t="shared" si="77"/>
        <v>1</v>
      </c>
      <c r="Y537" s="138">
        <f t="shared" si="78"/>
        <v>3</v>
      </c>
      <c r="Z537" s="138">
        <f t="shared" si="79"/>
        <v>3</v>
      </c>
      <c r="AA537" s="138">
        <f t="shared" si="80"/>
        <v>1</v>
      </c>
      <c r="AB537" s="127" t="s">
        <v>32</v>
      </c>
      <c r="AC537" s="127"/>
      <c r="AD537" s="127"/>
      <c r="AE537" s="130"/>
      <c r="AF537" s="136">
        <v>17.16</v>
      </c>
      <c r="AG537" s="136">
        <v>11.33</v>
      </c>
      <c r="AH537" s="136">
        <v>24.91</v>
      </c>
      <c r="AI537" s="136">
        <v>5.99</v>
      </c>
      <c r="AJ537" s="136">
        <v>4.03</v>
      </c>
      <c r="AK537" s="136">
        <v>0.49</v>
      </c>
      <c r="AL537" s="136">
        <v>3.31</v>
      </c>
      <c r="AM537" s="136">
        <v>67.220000000000013</v>
      </c>
      <c r="AN537" s="131"/>
      <c r="AO537" s="131"/>
      <c r="AP537" s="131"/>
      <c r="AQ537" s="131"/>
      <c r="AR537" s="131"/>
      <c r="AS537" s="131"/>
      <c r="AT537" s="131"/>
      <c r="AU537" s="91"/>
      <c r="AV537" s="91"/>
      <c r="AW537" s="131"/>
      <c r="AX537" s="131"/>
      <c r="AY537" s="131"/>
    </row>
    <row r="538" spans="1:51" ht="15" x14ac:dyDescent="0.25">
      <c r="A538" s="123"/>
      <c r="B538" s="124"/>
      <c r="C538" s="125">
        <v>128171</v>
      </c>
      <c r="D538" s="89"/>
      <c r="E538" s="86" t="s">
        <v>17</v>
      </c>
      <c r="F538" s="86" t="s">
        <v>418</v>
      </c>
      <c r="H538" s="126" t="s">
        <v>51</v>
      </c>
      <c r="I538" s="89">
        <v>1</v>
      </c>
      <c r="J538" s="127">
        <v>22439.329900000001</v>
      </c>
      <c r="K538" s="127">
        <v>50921.81</v>
      </c>
      <c r="L538" s="127">
        <v>0</v>
      </c>
      <c r="M538" s="127">
        <v>10070.329900000001</v>
      </c>
      <c r="N538" s="127">
        <v>44380.31</v>
      </c>
      <c r="O538" s="127">
        <v>0</v>
      </c>
      <c r="P538" s="128">
        <f t="shared" si="72"/>
        <v>0.44878033100266512</v>
      </c>
      <c r="Q538" s="128">
        <f t="shared" si="73"/>
        <v>0.87153834476818481</v>
      </c>
      <c r="R538" s="128" t="e">
        <f t="shared" si="74"/>
        <v>#DIV/0!</v>
      </c>
      <c r="S538" s="129">
        <v>1</v>
      </c>
      <c r="T538" s="129">
        <v>1</v>
      </c>
      <c r="U538" s="129">
        <v>0</v>
      </c>
      <c r="V538" s="138">
        <f t="shared" si="75"/>
        <v>3</v>
      </c>
      <c r="W538" s="138">
        <f t="shared" si="76"/>
        <v>3</v>
      </c>
      <c r="X538" s="138">
        <f t="shared" si="77"/>
        <v>1</v>
      </c>
      <c r="Y538" s="138">
        <f t="shared" si="78"/>
        <v>3</v>
      </c>
      <c r="Z538" s="138">
        <f t="shared" si="79"/>
        <v>3</v>
      </c>
      <c r="AA538" s="138">
        <f t="shared" si="80"/>
        <v>0</v>
      </c>
      <c r="AB538" s="127" t="s">
        <v>32</v>
      </c>
      <c r="AC538" s="127"/>
      <c r="AD538" s="127"/>
      <c r="AE538" s="130"/>
      <c r="AF538" s="136">
        <v>9.68</v>
      </c>
      <c r="AG538" s="136">
        <v>11.33</v>
      </c>
      <c r="AH538" s="136">
        <v>40.01</v>
      </c>
      <c r="AI538" s="136">
        <v>5.99</v>
      </c>
      <c r="AJ538" s="136">
        <v>0</v>
      </c>
      <c r="AK538" s="136">
        <v>0</v>
      </c>
      <c r="AL538" s="136">
        <v>3.31</v>
      </c>
      <c r="AM538" s="136">
        <v>70.319999999999993</v>
      </c>
      <c r="AN538" s="131"/>
      <c r="AO538" s="131"/>
      <c r="AP538" s="131"/>
      <c r="AQ538" s="131"/>
      <c r="AR538" s="131"/>
      <c r="AS538" s="131"/>
      <c r="AT538" s="131"/>
      <c r="AU538" s="91"/>
      <c r="AV538" s="91"/>
      <c r="AW538" s="131"/>
      <c r="AX538" s="131"/>
      <c r="AY538" s="131"/>
    </row>
    <row r="539" spans="1:51" ht="15" x14ac:dyDescent="0.25">
      <c r="A539" s="123"/>
      <c r="B539" s="124"/>
      <c r="C539" s="125">
        <v>205241</v>
      </c>
      <c r="D539" s="89"/>
      <c r="E539" s="86" t="s">
        <v>17</v>
      </c>
      <c r="F539" s="86" t="s">
        <v>418</v>
      </c>
      <c r="H539" s="126" t="s">
        <v>51</v>
      </c>
      <c r="I539" s="89">
        <v>1</v>
      </c>
      <c r="J539" s="127">
        <v>22439.329900000001</v>
      </c>
      <c r="K539" s="127">
        <v>50921.81</v>
      </c>
      <c r="L539" s="127">
        <v>0</v>
      </c>
      <c r="M539" s="127">
        <v>10070.329900000001</v>
      </c>
      <c r="N539" s="127">
        <v>44380.31</v>
      </c>
      <c r="O539" s="127">
        <v>0</v>
      </c>
      <c r="P539" s="128">
        <f t="shared" si="72"/>
        <v>0.44878033100266512</v>
      </c>
      <c r="Q539" s="128">
        <f t="shared" si="73"/>
        <v>0.87153834476818481</v>
      </c>
      <c r="R539" s="128" t="e">
        <f t="shared" si="74"/>
        <v>#DIV/0!</v>
      </c>
      <c r="S539" s="129">
        <v>1</v>
      </c>
      <c r="T539" s="129">
        <v>1</v>
      </c>
      <c r="U539" s="129">
        <v>0</v>
      </c>
      <c r="V539" s="138">
        <f t="shared" si="75"/>
        <v>3</v>
      </c>
      <c r="W539" s="138">
        <f t="shared" si="76"/>
        <v>3</v>
      </c>
      <c r="X539" s="138">
        <f t="shared" si="77"/>
        <v>1</v>
      </c>
      <c r="Y539" s="138">
        <f t="shared" si="78"/>
        <v>3</v>
      </c>
      <c r="Z539" s="138">
        <f t="shared" si="79"/>
        <v>3</v>
      </c>
      <c r="AA539" s="138">
        <f t="shared" si="80"/>
        <v>0</v>
      </c>
      <c r="AB539" s="127" t="s">
        <v>32</v>
      </c>
      <c r="AC539" s="127"/>
      <c r="AD539" s="127"/>
      <c r="AE539" s="130"/>
      <c r="AF539" s="136">
        <v>9.68</v>
      </c>
      <c r="AG539" s="136">
        <v>11.33</v>
      </c>
      <c r="AH539" s="136">
        <v>40.01</v>
      </c>
      <c r="AI539" s="136">
        <v>5.99</v>
      </c>
      <c r="AJ539" s="136">
        <v>0</v>
      </c>
      <c r="AK539" s="136">
        <v>0</v>
      </c>
      <c r="AL539" s="136">
        <v>3.31</v>
      </c>
      <c r="AM539" s="136">
        <v>70.319999999999993</v>
      </c>
      <c r="AN539" s="131"/>
      <c r="AO539" s="131"/>
      <c r="AP539" s="131"/>
      <c r="AQ539" s="131"/>
      <c r="AR539" s="131"/>
      <c r="AS539" s="131"/>
      <c r="AT539" s="131"/>
      <c r="AU539" s="91"/>
      <c r="AV539" s="91"/>
      <c r="AW539" s="131"/>
      <c r="AX539" s="131"/>
      <c r="AY539" s="131"/>
    </row>
    <row r="540" spans="1:51" ht="15" x14ac:dyDescent="0.25">
      <c r="A540" s="123"/>
      <c r="B540" s="124"/>
      <c r="C540" s="125">
        <v>277991</v>
      </c>
      <c r="D540" s="89"/>
      <c r="E540" s="86" t="s">
        <v>17</v>
      </c>
      <c r="F540" s="86" t="s">
        <v>418</v>
      </c>
      <c r="H540" s="126" t="s">
        <v>51</v>
      </c>
      <c r="I540" s="89">
        <v>1</v>
      </c>
      <c r="J540" s="127">
        <v>22439.329900000001</v>
      </c>
      <c r="K540" s="127">
        <v>50921.81</v>
      </c>
      <c r="L540" s="127">
        <v>0</v>
      </c>
      <c r="M540" s="127">
        <v>10070.329900000001</v>
      </c>
      <c r="N540" s="127">
        <v>44380.31</v>
      </c>
      <c r="O540" s="127">
        <v>0</v>
      </c>
      <c r="P540" s="128">
        <f t="shared" si="72"/>
        <v>0.44878033100266512</v>
      </c>
      <c r="Q540" s="128">
        <f t="shared" si="73"/>
        <v>0.87153834476818481</v>
      </c>
      <c r="R540" s="128" t="e">
        <f t="shared" si="74"/>
        <v>#DIV/0!</v>
      </c>
      <c r="S540" s="129">
        <v>1</v>
      </c>
      <c r="T540" s="129">
        <v>1</v>
      </c>
      <c r="U540" s="129">
        <v>0</v>
      </c>
      <c r="V540" s="138">
        <f t="shared" si="75"/>
        <v>3</v>
      </c>
      <c r="W540" s="138">
        <f t="shared" si="76"/>
        <v>3</v>
      </c>
      <c r="X540" s="138">
        <f t="shared" si="77"/>
        <v>1</v>
      </c>
      <c r="Y540" s="138">
        <f t="shared" si="78"/>
        <v>3</v>
      </c>
      <c r="Z540" s="138">
        <f t="shared" si="79"/>
        <v>3</v>
      </c>
      <c r="AA540" s="138">
        <f t="shared" si="80"/>
        <v>0</v>
      </c>
      <c r="AB540" s="127" t="s">
        <v>32</v>
      </c>
      <c r="AC540" s="127"/>
      <c r="AD540" s="127"/>
      <c r="AE540" s="130"/>
      <c r="AF540" s="136">
        <v>9.68</v>
      </c>
      <c r="AG540" s="136">
        <v>11.33</v>
      </c>
      <c r="AH540" s="136">
        <v>40.01</v>
      </c>
      <c r="AI540" s="136">
        <v>5.99</v>
      </c>
      <c r="AJ540" s="136">
        <v>0</v>
      </c>
      <c r="AK540" s="136">
        <v>0</v>
      </c>
      <c r="AL540" s="136">
        <v>3.31</v>
      </c>
      <c r="AM540" s="136">
        <v>70.319999999999993</v>
      </c>
      <c r="AN540" s="131"/>
      <c r="AO540" s="131"/>
      <c r="AP540" s="131"/>
      <c r="AQ540" s="131"/>
      <c r="AR540" s="131"/>
      <c r="AS540" s="131"/>
      <c r="AT540" s="131"/>
      <c r="AU540" s="91"/>
      <c r="AV540" s="91"/>
      <c r="AW540" s="131"/>
      <c r="AX540" s="131"/>
      <c r="AY540" s="131"/>
    </row>
    <row r="541" spans="1:51" ht="15" x14ac:dyDescent="0.25">
      <c r="A541" s="123"/>
      <c r="B541" s="124"/>
      <c r="C541" s="125">
        <v>298535</v>
      </c>
      <c r="D541" s="89"/>
      <c r="E541" s="86" t="s">
        <v>17</v>
      </c>
      <c r="F541" s="86" t="s">
        <v>418</v>
      </c>
      <c r="H541" s="126" t="s">
        <v>51</v>
      </c>
      <c r="I541" s="89">
        <v>1</v>
      </c>
      <c r="J541" s="127">
        <v>22439.329900000001</v>
      </c>
      <c r="K541" s="127">
        <v>50921.81</v>
      </c>
      <c r="L541" s="127">
        <v>0</v>
      </c>
      <c r="M541" s="127">
        <v>10070.329900000001</v>
      </c>
      <c r="N541" s="127">
        <v>44380.31</v>
      </c>
      <c r="O541" s="127">
        <v>0</v>
      </c>
      <c r="P541" s="128">
        <f t="shared" si="72"/>
        <v>0.44878033100266512</v>
      </c>
      <c r="Q541" s="128">
        <f t="shared" si="73"/>
        <v>0.87153834476818481</v>
      </c>
      <c r="R541" s="128" t="e">
        <f t="shared" si="74"/>
        <v>#DIV/0!</v>
      </c>
      <c r="S541" s="129">
        <v>1</v>
      </c>
      <c r="T541" s="129">
        <v>1</v>
      </c>
      <c r="U541" s="129">
        <v>0</v>
      </c>
      <c r="V541" s="138">
        <f t="shared" si="75"/>
        <v>3</v>
      </c>
      <c r="W541" s="138">
        <f t="shared" si="76"/>
        <v>3</v>
      </c>
      <c r="X541" s="138">
        <f t="shared" si="77"/>
        <v>1</v>
      </c>
      <c r="Y541" s="138">
        <f t="shared" si="78"/>
        <v>3</v>
      </c>
      <c r="Z541" s="138">
        <f t="shared" si="79"/>
        <v>3</v>
      </c>
      <c r="AA541" s="138">
        <f t="shared" si="80"/>
        <v>0</v>
      </c>
      <c r="AB541" s="127" t="s">
        <v>32</v>
      </c>
      <c r="AC541" s="127"/>
      <c r="AD541" s="127"/>
      <c r="AE541" s="130"/>
      <c r="AF541" s="136">
        <v>9.68</v>
      </c>
      <c r="AG541" s="136">
        <v>11.33</v>
      </c>
      <c r="AH541" s="136">
        <v>40.01</v>
      </c>
      <c r="AI541" s="136">
        <v>5.99</v>
      </c>
      <c r="AJ541" s="136">
        <v>0</v>
      </c>
      <c r="AK541" s="136">
        <v>0</v>
      </c>
      <c r="AL541" s="136">
        <v>3.31</v>
      </c>
      <c r="AM541" s="136">
        <v>70.319999999999993</v>
      </c>
      <c r="AN541" s="131"/>
      <c r="AO541" s="131"/>
      <c r="AP541" s="131"/>
      <c r="AQ541" s="131"/>
      <c r="AR541" s="131"/>
      <c r="AS541" s="131"/>
      <c r="AT541" s="131"/>
      <c r="AU541" s="91"/>
      <c r="AV541" s="91"/>
      <c r="AW541" s="131"/>
      <c r="AX541" s="131"/>
      <c r="AY541" s="131"/>
    </row>
    <row r="542" spans="1:51" ht="15" x14ac:dyDescent="0.25">
      <c r="A542" s="123"/>
      <c r="B542" s="124"/>
      <c r="C542" s="125">
        <v>388913</v>
      </c>
      <c r="D542" s="89"/>
      <c r="E542" s="86" t="s">
        <v>17</v>
      </c>
      <c r="F542" s="86" t="s">
        <v>418</v>
      </c>
      <c r="H542" s="126" t="s">
        <v>51</v>
      </c>
      <c r="I542" s="89">
        <v>1</v>
      </c>
      <c r="J542" s="127">
        <v>22439.329900000001</v>
      </c>
      <c r="K542" s="127">
        <v>50921.81</v>
      </c>
      <c r="L542" s="127">
        <v>0</v>
      </c>
      <c r="M542" s="127">
        <v>10070.329900000001</v>
      </c>
      <c r="N542" s="127">
        <v>44380.31</v>
      </c>
      <c r="O542" s="127">
        <v>0</v>
      </c>
      <c r="P542" s="128">
        <f t="shared" si="72"/>
        <v>0.44878033100266512</v>
      </c>
      <c r="Q542" s="128">
        <f t="shared" si="73"/>
        <v>0.87153834476818481</v>
      </c>
      <c r="R542" s="128" t="e">
        <f t="shared" si="74"/>
        <v>#DIV/0!</v>
      </c>
      <c r="S542" s="129">
        <v>1</v>
      </c>
      <c r="T542" s="129">
        <v>1</v>
      </c>
      <c r="U542" s="129">
        <v>0</v>
      </c>
      <c r="V542" s="138">
        <f t="shared" si="75"/>
        <v>3</v>
      </c>
      <c r="W542" s="138">
        <f t="shared" si="76"/>
        <v>3</v>
      </c>
      <c r="X542" s="138">
        <f t="shared" si="77"/>
        <v>1</v>
      </c>
      <c r="Y542" s="138">
        <f t="shared" si="78"/>
        <v>3</v>
      </c>
      <c r="Z542" s="138">
        <f t="shared" si="79"/>
        <v>3</v>
      </c>
      <c r="AA542" s="138">
        <f t="shared" si="80"/>
        <v>0</v>
      </c>
      <c r="AB542" s="127" t="s">
        <v>32</v>
      </c>
      <c r="AC542" s="127"/>
      <c r="AD542" s="127"/>
      <c r="AE542" s="130"/>
      <c r="AF542" s="136">
        <v>9.68</v>
      </c>
      <c r="AG542" s="136">
        <v>11.33</v>
      </c>
      <c r="AH542" s="136">
        <v>40.01</v>
      </c>
      <c r="AI542" s="136">
        <v>5.99</v>
      </c>
      <c r="AJ542" s="136">
        <v>0</v>
      </c>
      <c r="AK542" s="136">
        <v>0</v>
      </c>
      <c r="AL542" s="136">
        <v>3.31</v>
      </c>
      <c r="AM542" s="136">
        <v>70.319999999999993</v>
      </c>
      <c r="AN542" s="131"/>
      <c r="AO542" s="131"/>
      <c r="AP542" s="131"/>
      <c r="AQ542" s="131"/>
      <c r="AR542" s="131"/>
      <c r="AS542" s="131"/>
      <c r="AT542" s="131"/>
      <c r="AU542" s="91"/>
      <c r="AV542" s="91"/>
      <c r="AW542" s="131"/>
      <c r="AX542" s="131"/>
      <c r="AY542" s="131"/>
    </row>
    <row r="543" spans="1:51" ht="15" x14ac:dyDescent="0.25">
      <c r="A543" s="123"/>
      <c r="B543" s="124"/>
      <c r="C543" s="125">
        <v>440534</v>
      </c>
      <c r="D543" s="89"/>
      <c r="E543" s="86" t="s">
        <v>17</v>
      </c>
      <c r="F543" s="86" t="s">
        <v>418</v>
      </c>
      <c r="H543" s="126" t="s">
        <v>51</v>
      </c>
      <c r="I543" s="89">
        <v>1</v>
      </c>
      <c r="J543" s="127">
        <v>22439.329900000001</v>
      </c>
      <c r="K543" s="127">
        <v>50921.81</v>
      </c>
      <c r="L543" s="127">
        <v>0</v>
      </c>
      <c r="M543" s="127">
        <v>10070.329900000001</v>
      </c>
      <c r="N543" s="127">
        <v>44380.31</v>
      </c>
      <c r="O543" s="127">
        <v>0</v>
      </c>
      <c r="P543" s="128">
        <f t="shared" si="72"/>
        <v>0.44878033100266512</v>
      </c>
      <c r="Q543" s="128">
        <f t="shared" si="73"/>
        <v>0.87153834476818481</v>
      </c>
      <c r="R543" s="128" t="e">
        <f t="shared" si="74"/>
        <v>#DIV/0!</v>
      </c>
      <c r="S543" s="129">
        <v>1</v>
      </c>
      <c r="T543" s="129">
        <v>1</v>
      </c>
      <c r="U543" s="129">
        <v>0</v>
      </c>
      <c r="V543" s="138">
        <f t="shared" si="75"/>
        <v>3</v>
      </c>
      <c r="W543" s="138">
        <f t="shared" si="76"/>
        <v>3</v>
      </c>
      <c r="X543" s="138">
        <f t="shared" si="77"/>
        <v>1</v>
      </c>
      <c r="Y543" s="138">
        <f t="shared" si="78"/>
        <v>3</v>
      </c>
      <c r="Z543" s="138">
        <f t="shared" si="79"/>
        <v>3</v>
      </c>
      <c r="AA543" s="138">
        <f t="shared" si="80"/>
        <v>0</v>
      </c>
      <c r="AB543" s="127" t="s">
        <v>32</v>
      </c>
      <c r="AC543" s="127"/>
      <c r="AD543" s="127"/>
      <c r="AE543" s="130"/>
      <c r="AF543" s="136">
        <v>9.68</v>
      </c>
      <c r="AG543" s="136">
        <v>11.33</v>
      </c>
      <c r="AH543" s="136">
        <v>40.01</v>
      </c>
      <c r="AI543" s="136">
        <v>5.99</v>
      </c>
      <c r="AJ543" s="136">
        <v>0</v>
      </c>
      <c r="AK543" s="136">
        <v>0</v>
      </c>
      <c r="AL543" s="136">
        <v>3.31</v>
      </c>
      <c r="AM543" s="136">
        <v>70.319999999999993</v>
      </c>
      <c r="AN543" s="131"/>
      <c r="AO543" s="131"/>
      <c r="AP543" s="131"/>
      <c r="AQ543" s="131"/>
      <c r="AR543" s="131"/>
      <c r="AS543" s="131"/>
      <c r="AT543" s="131"/>
      <c r="AU543" s="91"/>
      <c r="AV543" s="91"/>
      <c r="AW543" s="131"/>
      <c r="AX543" s="131"/>
      <c r="AY543" s="131"/>
    </row>
    <row r="544" spans="1:51" ht="15" x14ac:dyDescent="0.25">
      <c r="A544" s="123"/>
      <c r="B544" s="124"/>
      <c r="C544" s="125">
        <v>441361</v>
      </c>
      <c r="D544" s="89"/>
      <c r="E544" s="86" t="s">
        <v>17</v>
      </c>
      <c r="F544" s="86" t="s">
        <v>418</v>
      </c>
      <c r="H544" s="126" t="s">
        <v>51</v>
      </c>
      <c r="I544" s="89">
        <v>1</v>
      </c>
      <c r="J544" s="127">
        <v>22439.329900000001</v>
      </c>
      <c r="K544" s="127">
        <v>50921.81</v>
      </c>
      <c r="L544" s="127">
        <v>0</v>
      </c>
      <c r="M544" s="127">
        <v>10070.329900000001</v>
      </c>
      <c r="N544" s="127">
        <v>44380.31</v>
      </c>
      <c r="O544" s="127">
        <v>0</v>
      </c>
      <c r="P544" s="128">
        <f t="shared" si="72"/>
        <v>0.44878033100266512</v>
      </c>
      <c r="Q544" s="128">
        <f t="shared" si="73"/>
        <v>0.87153834476818481</v>
      </c>
      <c r="R544" s="128" t="e">
        <f t="shared" si="74"/>
        <v>#DIV/0!</v>
      </c>
      <c r="S544" s="129">
        <v>1</v>
      </c>
      <c r="T544" s="129">
        <v>1</v>
      </c>
      <c r="U544" s="129">
        <v>0</v>
      </c>
      <c r="V544" s="138">
        <f t="shared" si="75"/>
        <v>3</v>
      </c>
      <c r="W544" s="138">
        <f t="shared" si="76"/>
        <v>3</v>
      </c>
      <c r="X544" s="138">
        <f t="shared" si="77"/>
        <v>1</v>
      </c>
      <c r="Y544" s="138">
        <f t="shared" si="78"/>
        <v>3</v>
      </c>
      <c r="Z544" s="138">
        <f t="shared" si="79"/>
        <v>3</v>
      </c>
      <c r="AA544" s="138">
        <f t="shared" si="80"/>
        <v>0</v>
      </c>
      <c r="AB544" s="127" t="s">
        <v>32</v>
      </c>
      <c r="AC544" s="127"/>
      <c r="AD544" s="127"/>
      <c r="AE544" s="130"/>
      <c r="AF544" s="136">
        <v>9.68</v>
      </c>
      <c r="AG544" s="136">
        <v>11.33</v>
      </c>
      <c r="AH544" s="136">
        <v>40.01</v>
      </c>
      <c r="AI544" s="136">
        <v>5.99</v>
      </c>
      <c r="AJ544" s="136">
        <v>0</v>
      </c>
      <c r="AK544" s="136">
        <v>0</v>
      </c>
      <c r="AL544" s="136">
        <v>3.31</v>
      </c>
      <c r="AM544" s="136">
        <v>70.319999999999993</v>
      </c>
      <c r="AN544" s="131"/>
      <c r="AO544" s="131"/>
      <c r="AP544" s="131"/>
      <c r="AQ544" s="131"/>
      <c r="AR544" s="131"/>
      <c r="AS544" s="131"/>
      <c r="AT544" s="131"/>
      <c r="AU544" s="91"/>
      <c r="AV544" s="91"/>
      <c r="AW544" s="131"/>
      <c r="AX544" s="131"/>
      <c r="AY544" s="131"/>
    </row>
    <row r="545" spans="1:51" ht="15" x14ac:dyDescent="0.25">
      <c r="A545" s="123"/>
      <c r="B545" s="124"/>
      <c r="C545" s="125">
        <v>457096</v>
      </c>
      <c r="D545" s="89"/>
      <c r="E545" s="86" t="s">
        <v>17</v>
      </c>
      <c r="F545" s="86" t="s">
        <v>418</v>
      </c>
      <c r="H545" s="126" t="s">
        <v>51</v>
      </c>
      <c r="I545" s="89">
        <v>1</v>
      </c>
      <c r="J545" s="127">
        <v>22439.329900000001</v>
      </c>
      <c r="K545" s="127">
        <v>50921.81</v>
      </c>
      <c r="L545" s="127">
        <v>0</v>
      </c>
      <c r="M545" s="127">
        <v>10070.329900000001</v>
      </c>
      <c r="N545" s="127">
        <v>44380.31</v>
      </c>
      <c r="O545" s="127">
        <v>0</v>
      </c>
      <c r="P545" s="128">
        <f t="shared" si="72"/>
        <v>0.44878033100266512</v>
      </c>
      <c r="Q545" s="128">
        <f t="shared" si="73"/>
        <v>0.87153834476818481</v>
      </c>
      <c r="R545" s="128" t="e">
        <f t="shared" si="74"/>
        <v>#DIV/0!</v>
      </c>
      <c r="S545" s="129">
        <v>1</v>
      </c>
      <c r="T545" s="129">
        <v>1</v>
      </c>
      <c r="U545" s="129">
        <v>0</v>
      </c>
      <c r="V545" s="138">
        <f t="shared" si="75"/>
        <v>3</v>
      </c>
      <c r="W545" s="138">
        <f t="shared" si="76"/>
        <v>3</v>
      </c>
      <c r="X545" s="138">
        <f t="shared" si="77"/>
        <v>1</v>
      </c>
      <c r="Y545" s="138">
        <f t="shared" si="78"/>
        <v>3</v>
      </c>
      <c r="Z545" s="138">
        <f t="shared" si="79"/>
        <v>3</v>
      </c>
      <c r="AA545" s="138">
        <f t="shared" si="80"/>
        <v>0</v>
      </c>
      <c r="AB545" s="127" t="s">
        <v>32</v>
      </c>
      <c r="AC545" s="127"/>
      <c r="AD545" s="127"/>
      <c r="AE545" s="130"/>
      <c r="AF545" s="136">
        <v>9.68</v>
      </c>
      <c r="AG545" s="136">
        <v>11.33</v>
      </c>
      <c r="AH545" s="136">
        <v>40.01</v>
      </c>
      <c r="AI545" s="136">
        <v>5.99</v>
      </c>
      <c r="AJ545" s="136">
        <v>0</v>
      </c>
      <c r="AK545" s="136">
        <v>0</v>
      </c>
      <c r="AL545" s="136">
        <v>3.31</v>
      </c>
      <c r="AM545" s="136">
        <v>70.319999999999993</v>
      </c>
      <c r="AN545" s="131"/>
      <c r="AO545" s="131"/>
      <c r="AP545" s="131"/>
      <c r="AQ545" s="131"/>
      <c r="AR545" s="131"/>
      <c r="AS545" s="131"/>
      <c r="AT545" s="131"/>
      <c r="AU545" s="91"/>
      <c r="AV545" s="91"/>
      <c r="AW545" s="131"/>
      <c r="AX545" s="131"/>
      <c r="AY545" s="131"/>
    </row>
    <row r="546" spans="1:51" ht="15" x14ac:dyDescent="0.25">
      <c r="A546" s="123"/>
      <c r="B546" s="124"/>
      <c r="C546" s="125">
        <v>487655</v>
      </c>
      <c r="D546" s="89"/>
      <c r="E546" s="86" t="s">
        <v>17</v>
      </c>
      <c r="F546" s="86" t="s">
        <v>418</v>
      </c>
      <c r="H546" s="126" t="s">
        <v>51</v>
      </c>
      <c r="I546" s="89">
        <v>1</v>
      </c>
      <c r="J546" s="127">
        <v>22439.329900000001</v>
      </c>
      <c r="K546" s="127">
        <v>50921.81</v>
      </c>
      <c r="L546" s="127">
        <v>0</v>
      </c>
      <c r="M546" s="127">
        <v>10070.329900000001</v>
      </c>
      <c r="N546" s="127">
        <v>44380.31</v>
      </c>
      <c r="O546" s="127">
        <v>0</v>
      </c>
      <c r="P546" s="128">
        <f t="shared" si="72"/>
        <v>0.44878033100266512</v>
      </c>
      <c r="Q546" s="128">
        <f t="shared" si="73"/>
        <v>0.87153834476818481</v>
      </c>
      <c r="R546" s="128" t="e">
        <f t="shared" si="74"/>
        <v>#DIV/0!</v>
      </c>
      <c r="S546" s="129">
        <v>1</v>
      </c>
      <c r="T546" s="129">
        <v>1</v>
      </c>
      <c r="U546" s="129">
        <v>0</v>
      </c>
      <c r="V546" s="138">
        <f t="shared" si="75"/>
        <v>3</v>
      </c>
      <c r="W546" s="138">
        <f t="shared" si="76"/>
        <v>3</v>
      </c>
      <c r="X546" s="138">
        <f t="shared" si="77"/>
        <v>1</v>
      </c>
      <c r="Y546" s="138">
        <f t="shared" si="78"/>
        <v>3</v>
      </c>
      <c r="Z546" s="138">
        <f t="shared" si="79"/>
        <v>3</v>
      </c>
      <c r="AA546" s="138">
        <f t="shared" si="80"/>
        <v>0</v>
      </c>
      <c r="AB546" s="127" t="s">
        <v>32</v>
      </c>
      <c r="AC546" s="127"/>
      <c r="AD546" s="127"/>
      <c r="AE546" s="130"/>
      <c r="AF546" s="136">
        <v>9.68</v>
      </c>
      <c r="AG546" s="136">
        <v>11.33</v>
      </c>
      <c r="AH546" s="136">
        <v>40.01</v>
      </c>
      <c r="AI546" s="136">
        <v>5.99</v>
      </c>
      <c r="AJ546" s="136">
        <v>0</v>
      </c>
      <c r="AK546" s="136">
        <v>0</v>
      </c>
      <c r="AL546" s="136">
        <v>3.31</v>
      </c>
      <c r="AM546" s="136">
        <v>70.319999999999993</v>
      </c>
      <c r="AN546" s="131"/>
      <c r="AO546" s="131"/>
      <c r="AP546" s="131"/>
      <c r="AQ546" s="131"/>
      <c r="AR546" s="131"/>
      <c r="AS546" s="131"/>
      <c r="AT546" s="131"/>
      <c r="AU546" s="91"/>
      <c r="AV546" s="91"/>
      <c r="AW546" s="131"/>
      <c r="AX546" s="131"/>
      <c r="AY546" s="131"/>
    </row>
    <row r="547" spans="1:51" ht="15" x14ac:dyDescent="0.25">
      <c r="A547" s="123"/>
      <c r="B547" s="124"/>
      <c r="C547" s="125">
        <v>493737</v>
      </c>
      <c r="D547" s="89"/>
      <c r="E547" s="86" t="s">
        <v>17</v>
      </c>
      <c r="F547" s="86" t="s">
        <v>418</v>
      </c>
      <c r="H547" s="126" t="s">
        <v>51</v>
      </c>
      <c r="I547" s="89">
        <v>1</v>
      </c>
      <c r="J547" s="127">
        <v>22439.329900000001</v>
      </c>
      <c r="K547" s="127">
        <v>50921.81</v>
      </c>
      <c r="L547" s="127">
        <v>0</v>
      </c>
      <c r="M547" s="127">
        <v>10070.329900000001</v>
      </c>
      <c r="N547" s="127">
        <v>44380.31</v>
      </c>
      <c r="O547" s="127">
        <v>0</v>
      </c>
      <c r="P547" s="128">
        <f t="shared" si="72"/>
        <v>0.44878033100266512</v>
      </c>
      <c r="Q547" s="128">
        <f t="shared" si="73"/>
        <v>0.87153834476818481</v>
      </c>
      <c r="R547" s="128" t="e">
        <f t="shared" si="74"/>
        <v>#DIV/0!</v>
      </c>
      <c r="S547" s="129">
        <v>1</v>
      </c>
      <c r="T547" s="129">
        <v>1</v>
      </c>
      <c r="U547" s="129">
        <v>0</v>
      </c>
      <c r="V547" s="138">
        <f t="shared" si="75"/>
        <v>3</v>
      </c>
      <c r="W547" s="138">
        <f t="shared" si="76"/>
        <v>3</v>
      </c>
      <c r="X547" s="138">
        <f t="shared" si="77"/>
        <v>1</v>
      </c>
      <c r="Y547" s="138">
        <f t="shared" si="78"/>
        <v>3</v>
      </c>
      <c r="Z547" s="138">
        <f t="shared" si="79"/>
        <v>3</v>
      </c>
      <c r="AA547" s="138">
        <f t="shared" si="80"/>
        <v>0</v>
      </c>
      <c r="AB547" s="127" t="s">
        <v>32</v>
      </c>
      <c r="AC547" s="127"/>
      <c r="AD547" s="127"/>
      <c r="AE547" s="130"/>
      <c r="AF547" s="136">
        <v>9.68</v>
      </c>
      <c r="AG547" s="136">
        <v>11.33</v>
      </c>
      <c r="AH547" s="136">
        <v>40.01</v>
      </c>
      <c r="AI547" s="136">
        <v>5.99</v>
      </c>
      <c r="AJ547" s="136">
        <v>0</v>
      </c>
      <c r="AK547" s="136">
        <v>0</v>
      </c>
      <c r="AL547" s="136">
        <v>3.31</v>
      </c>
      <c r="AM547" s="136">
        <v>70.319999999999993</v>
      </c>
      <c r="AN547" s="131"/>
      <c r="AO547" s="131"/>
      <c r="AP547" s="131"/>
      <c r="AQ547" s="131"/>
      <c r="AR547" s="131"/>
      <c r="AS547" s="131"/>
      <c r="AT547" s="131"/>
      <c r="AU547" s="91"/>
      <c r="AV547" s="91"/>
      <c r="AW547" s="131"/>
      <c r="AX547" s="131"/>
      <c r="AY547" s="131"/>
    </row>
    <row r="548" spans="1:51" ht="15" x14ac:dyDescent="0.25">
      <c r="A548" s="123"/>
      <c r="B548" s="124"/>
      <c r="C548" s="125">
        <v>553291</v>
      </c>
      <c r="D548" s="89"/>
      <c r="E548" s="86" t="s">
        <v>17</v>
      </c>
      <c r="F548" s="86" t="s">
        <v>418</v>
      </c>
      <c r="H548" s="126" t="s">
        <v>51</v>
      </c>
      <c r="I548" s="89">
        <v>1</v>
      </c>
      <c r="J548" s="127">
        <v>22439.329900000001</v>
      </c>
      <c r="K548" s="127">
        <v>50921.81</v>
      </c>
      <c r="L548" s="127">
        <v>0</v>
      </c>
      <c r="M548" s="127">
        <v>10070.329900000001</v>
      </c>
      <c r="N548" s="127">
        <v>44380.31</v>
      </c>
      <c r="O548" s="127">
        <v>0</v>
      </c>
      <c r="P548" s="128">
        <f t="shared" si="72"/>
        <v>0.44878033100266512</v>
      </c>
      <c r="Q548" s="128">
        <f t="shared" si="73"/>
        <v>0.87153834476818481</v>
      </c>
      <c r="R548" s="128" t="e">
        <f t="shared" si="74"/>
        <v>#DIV/0!</v>
      </c>
      <c r="S548" s="129">
        <v>1</v>
      </c>
      <c r="T548" s="129">
        <v>1</v>
      </c>
      <c r="U548" s="129">
        <v>0</v>
      </c>
      <c r="V548" s="138">
        <f t="shared" si="75"/>
        <v>3</v>
      </c>
      <c r="W548" s="138">
        <f t="shared" si="76"/>
        <v>3</v>
      </c>
      <c r="X548" s="138">
        <f t="shared" si="77"/>
        <v>1</v>
      </c>
      <c r="Y548" s="138">
        <f t="shared" si="78"/>
        <v>3</v>
      </c>
      <c r="Z548" s="138">
        <f t="shared" si="79"/>
        <v>3</v>
      </c>
      <c r="AA548" s="138">
        <f t="shared" si="80"/>
        <v>0</v>
      </c>
      <c r="AB548" s="127" t="s">
        <v>32</v>
      </c>
      <c r="AC548" s="127"/>
      <c r="AD548" s="127"/>
      <c r="AE548" s="130"/>
      <c r="AF548" s="136">
        <v>9.68</v>
      </c>
      <c r="AG548" s="136">
        <v>11.33</v>
      </c>
      <c r="AH548" s="136">
        <v>40.01</v>
      </c>
      <c r="AI548" s="136">
        <v>5.99</v>
      </c>
      <c r="AJ548" s="136">
        <v>0</v>
      </c>
      <c r="AK548" s="136">
        <v>0</v>
      </c>
      <c r="AL548" s="136">
        <v>3.31</v>
      </c>
      <c r="AM548" s="136">
        <v>70.319999999999993</v>
      </c>
      <c r="AN548" s="131"/>
      <c r="AO548" s="131"/>
      <c r="AP548" s="131"/>
      <c r="AQ548" s="131"/>
      <c r="AR548" s="131"/>
      <c r="AS548" s="131"/>
      <c r="AT548" s="131"/>
      <c r="AU548" s="91"/>
      <c r="AV548" s="91"/>
      <c r="AW548" s="131"/>
      <c r="AX548" s="131"/>
      <c r="AY548" s="131"/>
    </row>
    <row r="549" spans="1:51" ht="15" x14ac:dyDescent="0.25">
      <c r="A549" s="123"/>
      <c r="B549" s="124"/>
      <c r="C549" s="125">
        <v>566072</v>
      </c>
      <c r="D549" s="89"/>
      <c r="E549" s="86" t="s">
        <v>17</v>
      </c>
      <c r="F549" s="86" t="s">
        <v>418</v>
      </c>
      <c r="H549" s="126" t="s">
        <v>51</v>
      </c>
      <c r="I549" s="89">
        <v>1</v>
      </c>
      <c r="J549" s="127">
        <v>22439.329900000001</v>
      </c>
      <c r="K549" s="127">
        <v>50921.81</v>
      </c>
      <c r="L549" s="127">
        <v>0</v>
      </c>
      <c r="M549" s="127">
        <v>10070.329900000001</v>
      </c>
      <c r="N549" s="127">
        <v>44380.31</v>
      </c>
      <c r="O549" s="127">
        <v>0</v>
      </c>
      <c r="P549" s="128">
        <f t="shared" si="72"/>
        <v>0.44878033100266512</v>
      </c>
      <c r="Q549" s="128">
        <f t="shared" si="73"/>
        <v>0.87153834476818481</v>
      </c>
      <c r="R549" s="128" t="e">
        <f t="shared" si="74"/>
        <v>#DIV/0!</v>
      </c>
      <c r="S549" s="129">
        <v>1</v>
      </c>
      <c r="T549" s="129">
        <v>1</v>
      </c>
      <c r="U549" s="129">
        <v>0</v>
      </c>
      <c r="V549" s="138">
        <f t="shared" si="75"/>
        <v>3</v>
      </c>
      <c r="W549" s="138">
        <f t="shared" si="76"/>
        <v>3</v>
      </c>
      <c r="X549" s="138">
        <f t="shared" si="77"/>
        <v>1</v>
      </c>
      <c r="Y549" s="138">
        <f t="shared" si="78"/>
        <v>3</v>
      </c>
      <c r="Z549" s="138">
        <f t="shared" si="79"/>
        <v>3</v>
      </c>
      <c r="AA549" s="138">
        <f t="shared" si="80"/>
        <v>0</v>
      </c>
      <c r="AB549" s="127" t="s">
        <v>32</v>
      </c>
      <c r="AC549" s="127"/>
      <c r="AD549" s="127"/>
      <c r="AE549" s="130"/>
      <c r="AF549" s="136">
        <v>9.68</v>
      </c>
      <c r="AG549" s="136">
        <v>11.33</v>
      </c>
      <c r="AH549" s="136">
        <v>40.01</v>
      </c>
      <c r="AI549" s="136">
        <v>5.99</v>
      </c>
      <c r="AJ549" s="136">
        <v>0</v>
      </c>
      <c r="AK549" s="136">
        <v>0</v>
      </c>
      <c r="AL549" s="136">
        <v>3.31</v>
      </c>
      <c r="AM549" s="136">
        <v>70.319999999999993</v>
      </c>
      <c r="AN549" s="131"/>
      <c r="AO549" s="131"/>
      <c r="AP549" s="131"/>
      <c r="AQ549" s="131"/>
      <c r="AR549" s="131"/>
      <c r="AS549" s="131"/>
      <c r="AT549" s="131"/>
      <c r="AU549" s="91"/>
      <c r="AV549" s="91"/>
      <c r="AW549" s="131"/>
      <c r="AX549" s="131"/>
      <c r="AY549" s="131"/>
    </row>
    <row r="550" spans="1:51" ht="15" x14ac:dyDescent="0.25">
      <c r="A550" s="123"/>
      <c r="B550" s="124"/>
      <c r="C550" s="125">
        <v>638810</v>
      </c>
      <c r="D550" s="89"/>
      <c r="E550" s="86" t="s">
        <v>17</v>
      </c>
      <c r="F550" s="86" t="s">
        <v>418</v>
      </c>
      <c r="H550" s="126" t="s">
        <v>51</v>
      </c>
      <c r="I550" s="89">
        <v>1</v>
      </c>
      <c r="J550" s="127">
        <v>22439.329900000001</v>
      </c>
      <c r="K550" s="127">
        <v>50921.81</v>
      </c>
      <c r="L550" s="127">
        <v>0</v>
      </c>
      <c r="M550" s="127">
        <v>10070.329900000001</v>
      </c>
      <c r="N550" s="127">
        <v>44380.31</v>
      </c>
      <c r="O550" s="127">
        <v>0</v>
      </c>
      <c r="P550" s="128">
        <f t="shared" si="72"/>
        <v>0.44878033100266512</v>
      </c>
      <c r="Q550" s="128">
        <f t="shared" si="73"/>
        <v>0.87153834476818481</v>
      </c>
      <c r="R550" s="128" t="e">
        <f t="shared" si="74"/>
        <v>#DIV/0!</v>
      </c>
      <c r="S550" s="129">
        <v>1</v>
      </c>
      <c r="T550" s="129">
        <v>1</v>
      </c>
      <c r="U550" s="129">
        <v>0</v>
      </c>
      <c r="V550" s="138">
        <f t="shared" si="75"/>
        <v>3</v>
      </c>
      <c r="W550" s="138">
        <f t="shared" si="76"/>
        <v>3</v>
      </c>
      <c r="X550" s="138">
        <f t="shared" si="77"/>
        <v>1</v>
      </c>
      <c r="Y550" s="138">
        <f t="shared" si="78"/>
        <v>3</v>
      </c>
      <c r="Z550" s="138">
        <f t="shared" si="79"/>
        <v>3</v>
      </c>
      <c r="AA550" s="138">
        <f t="shared" si="80"/>
        <v>0</v>
      </c>
      <c r="AB550" s="127" t="s">
        <v>32</v>
      </c>
      <c r="AC550" s="127"/>
      <c r="AD550" s="127"/>
      <c r="AE550" s="130"/>
      <c r="AF550" s="136">
        <v>9.68</v>
      </c>
      <c r="AG550" s="136">
        <v>11.33</v>
      </c>
      <c r="AH550" s="136">
        <v>40.01</v>
      </c>
      <c r="AI550" s="136">
        <v>5.99</v>
      </c>
      <c r="AJ550" s="136">
        <v>0</v>
      </c>
      <c r="AK550" s="136">
        <v>0</v>
      </c>
      <c r="AL550" s="136">
        <v>3.31</v>
      </c>
      <c r="AM550" s="136">
        <v>70.319999999999993</v>
      </c>
      <c r="AN550" s="131"/>
      <c r="AO550" s="131"/>
      <c r="AP550" s="131"/>
      <c r="AQ550" s="131"/>
      <c r="AR550" s="131"/>
      <c r="AS550" s="131"/>
      <c r="AT550" s="131"/>
      <c r="AU550" s="91"/>
      <c r="AV550" s="91"/>
      <c r="AW550" s="131"/>
      <c r="AX550" s="131"/>
      <c r="AY550" s="131"/>
    </row>
    <row r="551" spans="1:51" ht="15" x14ac:dyDescent="0.25">
      <c r="A551" s="123"/>
      <c r="B551" s="124"/>
      <c r="C551" s="125">
        <v>648662</v>
      </c>
      <c r="D551" s="89"/>
      <c r="E551" s="86" t="s">
        <v>17</v>
      </c>
      <c r="F551" s="86" t="s">
        <v>418</v>
      </c>
      <c r="H551" s="126" t="s">
        <v>51</v>
      </c>
      <c r="I551" s="89">
        <v>1</v>
      </c>
      <c r="J551" s="127">
        <v>22439.329900000001</v>
      </c>
      <c r="K551" s="127">
        <v>50921.81</v>
      </c>
      <c r="L551" s="127">
        <v>0</v>
      </c>
      <c r="M551" s="127">
        <v>10070.329900000001</v>
      </c>
      <c r="N551" s="127">
        <v>44380.31</v>
      </c>
      <c r="O551" s="127">
        <v>0</v>
      </c>
      <c r="P551" s="128">
        <f t="shared" si="72"/>
        <v>0.44878033100266512</v>
      </c>
      <c r="Q551" s="128">
        <f t="shared" si="73"/>
        <v>0.87153834476818481</v>
      </c>
      <c r="R551" s="128" t="e">
        <f t="shared" si="74"/>
        <v>#DIV/0!</v>
      </c>
      <c r="S551" s="129">
        <v>1</v>
      </c>
      <c r="T551" s="129">
        <v>1</v>
      </c>
      <c r="U551" s="129">
        <v>0</v>
      </c>
      <c r="V551" s="138">
        <f t="shared" si="75"/>
        <v>3</v>
      </c>
      <c r="W551" s="138">
        <f t="shared" si="76"/>
        <v>3</v>
      </c>
      <c r="X551" s="138">
        <f t="shared" si="77"/>
        <v>1</v>
      </c>
      <c r="Y551" s="138">
        <f t="shared" si="78"/>
        <v>3</v>
      </c>
      <c r="Z551" s="138">
        <f t="shared" si="79"/>
        <v>3</v>
      </c>
      <c r="AA551" s="138">
        <f t="shared" si="80"/>
        <v>0</v>
      </c>
      <c r="AB551" s="127" t="s">
        <v>32</v>
      </c>
      <c r="AC551" s="127"/>
      <c r="AD551" s="127"/>
      <c r="AE551" s="130"/>
      <c r="AF551" s="136">
        <v>9.68</v>
      </c>
      <c r="AG551" s="136">
        <v>11.33</v>
      </c>
      <c r="AH551" s="136">
        <v>40.01</v>
      </c>
      <c r="AI551" s="136">
        <v>5.99</v>
      </c>
      <c r="AJ551" s="136">
        <v>0</v>
      </c>
      <c r="AK551" s="136">
        <v>0</v>
      </c>
      <c r="AL551" s="136">
        <v>3.31</v>
      </c>
      <c r="AM551" s="136">
        <v>70.319999999999993</v>
      </c>
      <c r="AN551" s="131"/>
      <c r="AO551" s="131"/>
      <c r="AP551" s="131"/>
      <c r="AQ551" s="131"/>
      <c r="AR551" s="131"/>
      <c r="AS551" s="131"/>
      <c r="AT551" s="131"/>
      <c r="AU551" s="91"/>
      <c r="AV551" s="91"/>
      <c r="AW551" s="131"/>
      <c r="AX551" s="131"/>
      <c r="AY551" s="131"/>
    </row>
    <row r="552" spans="1:51" ht="15" x14ac:dyDescent="0.25">
      <c r="A552" s="123"/>
      <c r="B552" s="124"/>
      <c r="C552" s="125">
        <v>649191</v>
      </c>
      <c r="D552" s="89"/>
      <c r="E552" s="86" t="s">
        <v>17</v>
      </c>
      <c r="F552" s="86" t="s">
        <v>418</v>
      </c>
      <c r="H552" s="126" t="s">
        <v>51</v>
      </c>
      <c r="I552" s="89">
        <v>1</v>
      </c>
      <c r="J552" s="127">
        <v>22439.329900000001</v>
      </c>
      <c r="K552" s="127">
        <v>50921.81</v>
      </c>
      <c r="L552" s="127">
        <v>0</v>
      </c>
      <c r="M552" s="127">
        <v>10070.329900000001</v>
      </c>
      <c r="N552" s="127">
        <v>44380.31</v>
      </c>
      <c r="O552" s="127">
        <v>0</v>
      </c>
      <c r="P552" s="128">
        <f t="shared" si="72"/>
        <v>0.44878033100266512</v>
      </c>
      <c r="Q552" s="128">
        <f t="shared" si="73"/>
        <v>0.87153834476818481</v>
      </c>
      <c r="R552" s="128" t="e">
        <f t="shared" si="74"/>
        <v>#DIV/0!</v>
      </c>
      <c r="S552" s="129">
        <v>1</v>
      </c>
      <c r="T552" s="129">
        <v>1</v>
      </c>
      <c r="U552" s="129">
        <v>0</v>
      </c>
      <c r="V552" s="138">
        <f t="shared" si="75"/>
        <v>3</v>
      </c>
      <c r="W552" s="138">
        <f t="shared" si="76"/>
        <v>3</v>
      </c>
      <c r="X552" s="138">
        <f t="shared" si="77"/>
        <v>1</v>
      </c>
      <c r="Y552" s="138">
        <f t="shared" si="78"/>
        <v>3</v>
      </c>
      <c r="Z552" s="138">
        <f t="shared" si="79"/>
        <v>3</v>
      </c>
      <c r="AA552" s="138">
        <f t="shared" si="80"/>
        <v>0</v>
      </c>
      <c r="AB552" s="127" t="s">
        <v>32</v>
      </c>
      <c r="AC552" s="127"/>
      <c r="AD552" s="127"/>
      <c r="AE552" s="130"/>
      <c r="AF552" s="136">
        <v>9.68</v>
      </c>
      <c r="AG552" s="136">
        <v>11.33</v>
      </c>
      <c r="AH552" s="136">
        <v>40.01</v>
      </c>
      <c r="AI552" s="136">
        <v>5.99</v>
      </c>
      <c r="AJ552" s="136">
        <v>0</v>
      </c>
      <c r="AK552" s="136">
        <v>0</v>
      </c>
      <c r="AL552" s="136">
        <v>3.31</v>
      </c>
      <c r="AM552" s="136">
        <v>70.319999999999993</v>
      </c>
      <c r="AN552" s="131"/>
      <c r="AO552" s="131"/>
      <c r="AP552" s="131"/>
      <c r="AQ552" s="131"/>
      <c r="AR552" s="131"/>
      <c r="AS552" s="131"/>
      <c r="AT552" s="131"/>
      <c r="AU552" s="91"/>
      <c r="AV552" s="91"/>
      <c r="AW552" s="131"/>
      <c r="AX552" s="131"/>
      <c r="AY552" s="131"/>
    </row>
    <row r="553" spans="1:51" ht="15" x14ac:dyDescent="0.25">
      <c r="A553" s="123"/>
      <c r="B553" s="124"/>
      <c r="C553" s="125">
        <v>687657</v>
      </c>
      <c r="D553" s="89"/>
      <c r="E553" s="86" t="s">
        <v>17</v>
      </c>
      <c r="F553" s="86" t="s">
        <v>418</v>
      </c>
      <c r="H553" s="126" t="s">
        <v>51</v>
      </c>
      <c r="I553" s="89">
        <v>1</v>
      </c>
      <c r="J553" s="127">
        <v>22439.329900000001</v>
      </c>
      <c r="K553" s="127">
        <v>50921.81</v>
      </c>
      <c r="L553" s="127">
        <v>0</v>
      </c>
      <c r="M553" s="127">
        <v>10070.329900000001</v>
      </c>
      <c r="N553" s="127">
        <v>44380.31</v>
      </c>
      <c r="O553" s="127">
        <v>0</v>
      </c>
      <c r="P553" s="128">
        <f t="shared" si="72"/>
        <v>0.44878033100266512</v>
      </c>
      <c r="Q553" s="128">
        <f t="shared" si="73"/>
        <v>0.87153834476818481</v>
      </c>
      <c r="R553" s="128" t="e">
        <f t="shared" si="74"/>
        <v>#DIV/0!</v>
      </c>
      <c r="S553" s="129">
        <v>1</v>
      </c>
      <c r="T553" s="129">
        <v>1</v>
      </c>
      <c r="U553" s="129">
        <v>0</v>
      </c>
      <c r="V553" s="138">
        <f t="shared" si="75"/>
        <v>3</v>
      </c>
      <c r="W553" s="138">
        <f t="shared" si="76"/>
        <v>3</v>
      </c>
      <c r="X553" s="138">
        <f t="shared" si="77"/>
        <v>1</v>
      </c>
      <c r="Y553" s="138">
        <f t="shared" si="78"/>
        <v>3</v>
      </c>
      <c r="Z553" s="138">
        <f t="shared" si="79"/>
        <v>3</v>
      </c>
      <c r="AA553" s="138">
        <f t="shared" si="80"/>
        <v>0</v>
      </c>
      <c r="AB553" s="127" t="s">
        <v>32</v>
      </c>
      <c r="AC553" s="127"/>
      <c r="AD553" s="127"/>
      <c r="AE553" s="130"/>
      <c r="AF553" s="136">
        <v>9.68</v>
      </c>
      <c r="AG553" s="136">
        <v>11.33</v>
      </c>
      <c r="AH553" s="136">
        <v>40.01</v>
      </c>
      <c r="AI553" s="136">
        <v>5.99</v>
      </c>
      <c r="AJ553" s="136">
        <v>0</v>
      </c>
      <c r="AK553" s="136">
        <v>0</v>
      </c>
      <c r="AL553" s="136">
        <v>3.31</v>
      </c>
      <c r="AM553" s="136">
        <v>70.319999999999993</v>
      </c>
      <c r="AN553" s="131"/>
      <c r="AO553" s="131"/>
      <c r="AP553" s="131"/>
      <c r="AQ553" s="131"/>
      <c r="AR553" s="131"/>
      <c r="AS553" s="131"/>
      <c r="AT553" s="131"/>
      <c r="AU553" s="91"/>
      <c r="AV553" s="91"/>
      <c r="AW553" s="131"/>
      <c r="AX553" s="131"/>
      <c r="AY553" s="131"/>
    </row>
    <row r="554" spans="1:51" ht="15" x14ac:dyDescent="0.25">
      <c r="A554" s="123"/>
      <c r="B554" s="124"/>
      <c r="C554" s="125">
        <v>696615</v>
      </c>
      <c r="D554" s="89"/>
      <c r="E554" s="86" t="s">
        <v>17</v>
      </c>
      <c r="F554" s="86" t="s">
        <v>418</v>
      </c>
      <c r="H554" s="126" t="s">
        <v>51</v>
      </c>
      <c r="I554" s="89">
        <v>1</v>
      </c>
      <c r="J554" s="127">
        <v>22439.329900000001</v>
      </c>
      <c r="K554" s="127">
        <v>50921.81</v>
      </c>
      <c r="L554" s="127">
        <v>0</v>
      </c>
      <c r="M554" s="127">
        <v>10070.329900000001</v>
      </c>
      <c r="N554" s="127">
        <v>44380.31</v>
      </c>
      <c r="O554" s="127">
        <v>0</v>
      </c>
      <c r="P554" s="128">
        <f t="shared" si="72"/>
        <v>0.44878033100266512</v>
      </c>
      <c r="Q554" s="128">
        <f t="shared" si="73"/>
        <v>0.87153834476818481</v>
      </c>
      <c r="R554" s="128" t="e">
        <f t="shared" si="74"/>
        <v>#DIV/0!</v>
      </c>
      <c r="S554" s="129">
        <v>1</v>
      </c>
      <c r="T554" s="129">
        <v>1</v>
      </c>
      <c r="U554" s="129">
        <v>0</v>
      </c>
      <c r="V554" s="138">
        <f t="shared" si="75"/>
        <v>3</v>
      </c>
      <c r="W554" s="138">
        <f t="shared" si="76"/>
        <v>3</v>
      </c>
      <c r="X554" s="138">
        <f t="shared" si="77"/>
        <v>1</v>
      </c>
      <c r="Y554" s="138">
        <f t="shared" si="78"/>
        <v>3</v>
      </c>
      <c r="Z554" s="138">
        <f t="shared" si="79"/>
        <v>3</v>
      </c>
      <c r="AA554" s="138">
        <f t="shared" si="80"/>
        <v>0</v>
      </c>
      <c r="AB554" s="127" t="s">
        <v>32</v>
      </c>
      <c r="AC554" s="127"/>
      <c r="AD554" s="127"/>
      <c r="AE554" s="130"/>
      <c r="AF554" s="136">
        <v>9.68</v>
      </c>
      <c r="AG554" s="136">
        <v>11.33</v>
      </c>
      <c r="AH554" s="136">
        <v>40.01</v>
      </c>
      <c r="AI554" s="136">
        <v>5.99</v>
      </c>
      <c r="AJ554" s="136">
        <v>0</v>
      </c>
      <c r="AK554" s="136">
        <v>0</v>
      </c>
      <c r="AL554" s="136">
        <v>3.31</v>
      </c>
      <c r="AM554" s="136">
        <v>70.319999999999993</v>
      </c>
      <c r="AN554" s="131"/>
      <c r="AO554" s="131"/>
      <c r="AP554" s="131"/>
      <c r="AQ554" s="131"/>
      <c r="AR554" s="131"/>
      <c r="AS554" s="131"/>
      <c r="AT554" s="131"/>
      <c r="AU554" s="91"/>
      <c r="AV554" s="91"/>
      <c r="AW554" s="131"/>
      <c r="AX554" s="131"/>
      <c r="AY554" s="131"/>
    </row>
    <row r="555" spans="1:51" ht="15" x14ac:dyDescent="0.25">
      <c r="A555" s="123"/>
      <c r="B555" s="124"/>
      <c r="C555" s="125">
        <v>760513</v>
      </c>
      <c r="D555" s="89"/>
      <c r="E555" s="86" t="s">
        <v>17</v>
      </c>
      <c r="F555" s="86" t="s">
        <v>418</v>
      </c>
      <c r="H555" s="126" t="s">
        <v>51</v>
      </c>
      <c r="I555" s="89">
        <v>1</v>
      </c>
      <c r="J555" s="127">
        <v>22439.329900000001</v>
      </c>
      <c r="K555" s="127">
        <v>50921.81</v>
      </c>
      <c r="L555" s="127">
        <v>0</v>
      </c>
      <c r="M555" s="127">
        <v>10070.329900000001</v>
      </c>
      <c r="N555" s="127">
        <v>44380.31</v>
      </c>
      <c r="O555" s="127">
        <v>0</v>
      </c>
      <c r="P555" s="128">
        <f t="shared" si="72"/>
        <v>0.44878033100266512</v>
      </c>
      <c r="Q555" s="128">
        <f t="shared" si="73"/>
        <v>0.87153834476818481</v>
      </c>
      <c r="R555" s="128" t="e">
        <f t="shared" si="74"/>
        <v>#DIV/0!</v>
      </c>
      <c r="S555" s="129">
        <v>1</v>
      </c>
      <c r="T555" s="129">
        <v>1</v>
      </c>
      <c r="U555" s="129">
        <v>0</v>
      </c>
      <c r="V555" s="138">
        <f t="shared" si="75"/>
        <v>3</v>
      </c>
      <c r="W555" s="138">
        <f t="shared" si="76"/>
        <v>3</v>
      </c>
      <c r="X555" s="138">
        <f t="shared" si="77"/>
        <v>1</v>
      </c>
      <c r="Y555" s="138">
        <f t="shared" si="78"/>
        <v>3</v>
      </c>
      <c r="Z555" s="138">
        <f t="shared" si="79"/>
        <v>3</v>
      </c>
      <c r="AA555" s="138">
        <f t="shared" si="80"/>
        <v>0</v>
      </c>
      <c r="AB555" s="127" t="s">
        <v>32</v>
      </c>
      <c r="AC555" s="127"/>
      <c r="AD555" s="127"/>
      <c r="AE555" s="130"/>
      <c r="AF555" s="136">
        <v>9.68</v>
      </c>
      <c r="AG555" s="136">
        <v>11.33</v>
      </c>
      <c r="AH555" s="136">
        <v>40.01</v>
      </c>
      <c r="AI555" s="136">
        <v>5.99</v>
      </c>
      <c r="AJ555" s="136">
        <v>0</v>
      </c>
      <c r="AK555" s="136">
        <v>0</v>
      </c>
      <c r="AL555" s="136">
        <v>3.31</v>
      </c>
      <c r="AM555" s="136">
        <v>70.319999999999993</v>
      </c>
      <c r="AN555" s="131"/>
      <c r="AO555" s="131"/>
      <c r="AP555" s="131"/>
      <c r="AQ555" s="131"/>
      <c r="AR555" s="131"/>
      <c r="AS555" s="131"/>
      <c r="AT555" s="131"/>
      <c r="AU555" s="91"/>
      <c r="AV555" s="91"/>
      <c r="AW555" s="131"/>
      <c r="AX555" s="131"/>
      <c r="AY555" s="131"/>
    </row>
    <row r="556" spans="1:51" ht="15" x14ac:dyDescent="0.25">
      <c r="A556" s="123"/>
      <c r="B556" s="124"/>
      <c r="C556" s="125">
        <v>828279</v>
      </c>
      <c r="D556" s="89"/>
      <c r="E556" s="86" t="s">
        <v>17</v>
      </c>
      <c r="F556" s="86" t="s">
        <v>418</v>
      </c>
      <c r="H556" s="126" t="s">
        <v>51</v>
      </c>
      <c r="I556" s="89">
        <v>2</v>
      </c>
      <c r="J556" s="127">
        <v>22439.329900000001</v>
      </c>
      <c r="K556" s="127">
        <v>50921.81</v>
      </c>
      <c r="L556" s="127">
        <v>0</v>
      </c>
      <c r="M556" s="127">
        <v>10070.329900000001</v>
      </c>
      <c r="N556" s="127">
        <v>44380.31</v>
      </c>
      <c r="O556" s="127">
        <v>0</v>
      </c>
      <c r="P556" s="128">
        <f t="shared" si="72"/>
        <v>0.44878033100266512</v>
      </c>
      <c r="Q556" s="128">
        <f t="shared" si="73"/>
        <v>0.87153834476818481</v>
      </c>
      <c r="R556" s="128" t="e">
        <f t="shared" si="74"/>
        <v>#DIV/0!</v>
      </c>
      <c r="S556" s="129">
        <v>0</v>
      </c>
      <c r="T556" s="129">
        <v>1</v>
      </c>
      <c r="U556" s="129">
        <v>0</v>
      </c>
      <c r="V556" s="138">
        <f t="shared" si="75"/>
        <v>4</v>
      </c>
      <c r="W556" s="138">
        <f t="shared" si="76"/>
        <v>4</v>
      </c>
      <c r="X556" s="138">
        <f t="shared" si="77"/>
        <v>2</v>
      </c>
      <c r="Y556" s="138">
        <f t="shared" si="78"/>
        <v>0</v>
      </c>
      <c r="Z556" s="138">
        <f t="shared" si="79"/>
        <v>4</v>
      </c>
      <c r="AA556" s="138">
        <f t="shared" si="80"/>
        <v>0</v>
      </c>
      <c r="AB556" s="127" t="s">
        <v>32</v>
      </c>
      <c r="AC556" s="127"/>
      <c r="AD556" s="127"/>
      <c r="AE556" s="130"/>
      <c r="AF556" s="136">
        <v>0</v>
      </c>
      <c r="AG556" s="136">
        <v>11.33</v>
      </c>
      <c r="AH556" s="136">
        <v>53.34</v>
      </c>
      <c r="AI556" s="136">
        <v>5.99</v>
      </c>
      <c r="AJ556" s="136">
        <v>0</v>
      </c>
      <c r="AK556" s="136">
        <v>0</v>
      </c>
      <c r="AL556" s="136">
        <v>3.31</v>
      </c>
      <c r="AM556" s="136">
        <v>73.97</v>
      </c>
      <c r="AN556" s="131"/>
      <c r="AO556" s="131"/>
      <c r="AP556" s="131"/>
      <c r="AQ556" s="131"/>
      <c r="AR556" s="131"/>
      <c r="AS556" s="131"/>
      <c r="AT556" s="131"/>
      <c r="AU556" s="91"/>
      <c r="AV556" s="91"/>
      <c r="AW556" s="131"/>
      <c r="AX556" s="131"/>
      <c r="AY556" s="131"/>
    </row>
    <row r="557" spans="1:51" ht="15" x14ac:dyDescent="0.25">
      <c r="A557" s="123"/>
      <c r="B557" s="124"/>
      <c r="C557" s="125">
        <v>877301</v>
      </c>
      <c r="D557" s="89"/>
      <c r="E557" s="86" t="s">
        <v>17</v>
      </c>
      <c r="F557" s="86" t="s">
        <v>418</v>
      </c>
      <c r="H557" s="126" t="s">
        <v>51</v>
      </c>
      <c r="I557" s="89">
        <v>1</v>
      </c>
      <c r="J557" s="127">
        <v>22439.329900000001</v>
      </c>
      <c r="K557" s="127">
        <v>50921.81</v>
      </c>
      <c r="L557" s="127">
        <v>0</v>
      </c>
      <c r="M557" s="127">
        <v>10070.329900000001</v>
      </c>
      <c r="N557" s="127">
        <v>44380.31</v>
      </c>
      <c r="O557" s="127">
        <v>0</v>
      </c>
      <c r="P557" s="128">
        <f t="shared" si="72"/>
        <v>0.44878033100266512</v>
      </c>
      <c r="Q557" s="128">
        <f t="shared" si="73"/>
        <v>0.87153834476818481</v>
      </c>
      <c r="R557" s="128" t="e">
        <f t="shared" si="74"/>
        <v>#DIV/0!</v>
      </c>
      <c r="S557" s="129">
        <v>1</v>
      </c>
      <c r="T557" s="129">
        <v>1</v>
      </c>
      <c r="U557" s="129">
        <v>0</v>
      </c>
      <c r="V557" s="138">
        <f t="shared" si="75"/>
        <v>3</v>
      </c>
      <c r="W557" s="138">
        <f t="shared" si="76"/>
        <v>3</v>
      </c>
      <c r="X557" s="138">
        <f t="shared" si="77"/>
        <v>1</v>
      </c>
      <c r="Y557" s="138">
        <f t="shared" si="78"/>
        <v>3</v>
      </c>
      <c r="Z557" s="138">
        <f t="shared" si="79"/>
        <v>3</v>
      </c>
      <c r="AA557" s="138">
        <f t="shared" si="80"/>
        <v>0</v>
      </c>
      <c r="AB557" s="127" t="s">
        <v>32</v>
      </c>
      <c r="AC557" s="127"/>
      <c r="AD557" s="127"/>
      <c r="AE557" s="130"/>
      <c r="AF557" s="136">
        <v>9.68</v>
      </c>
      <c r="AG557" s="136">
        <v>11.33</v>
      </c>
      <c r="AH557" s="136">
        <v>40.01</v>
      </c>
      <c r="AI557" s="136">
        <v>5.99</v>
      </c>
      <c r="AJ557" s="136">
        <v>0</v>
      </c>
      <c r="AK557" s="136">
        <v>0</v>
      </c>
      <c r="AL557" s="136">
        <v>3.31</v>
      </c>
      <c r="AM557" s="136">
        <v>70.319999999999993</v>
      </c>
      <c r="AN557" s="131"/>
      <c r="AO557" s="131"/>
      <c r="AP557" s="131"/>
      <c r="AQ557" s="131"/>
      <c r="AR557" s="131"/>
      <c r="AS557" s="131"/>
      <c r="AT557" s="131"/>
      <c r="AU557" s="91"/>
      <c r="AV557" s="91"/>
      <c r="AW557" s="131"/>
      <c r="AX557" s="131"/>
      <c r="AY557" s="131"/>
    </row>
    <row r="558" spans="1:51" ht="15" x14ac:dyDescent="0.25">
      <c r="A558" s="123"/>
      <c r="B558" s="124"/>
      <c r="C558" s="125">
        <v>934890</v>
      </c>
      <c r="D558" s="89"/>
      <c r="E558" s="86" t="s">
        <v>17</v>
      </c>
      <c r="F558" s="86" t="s">
        <v>418</v>
      </c>
      <c r="H558" s="126" t="s">
        <v>51</v>
      </c>
      <c r="I558" s="89">
        <v>1</v>
      </c>
      <c r="J558" s="127">
        <v>22439.329900000001</v>
      </c>
      <c r="K558" s="127">
        <v>50921.81</v>
      </c>
      <c r="L558" s="127">
        <v>0</v>
      </c>
      <c r="M558" s="127">
        <v>10070.329900000001</v>
      </c>
      <c r="N558" s="127">
        <v>44380.31</v>
      </c>
      <c r="O558" s="127">
        <v>0</v>
      </c>
      <c r="P558" s="128">
        <f t="shared" si="72"/>
        <v>0.44878033100266512</v>
      </c>
      <c r="Q558" s="128">
        <f t="shared" si="73"/>
        <v>0.87153834476818481</v>
      </c>
      <c r="R558" s="128" t="e">
        <f t="shared" si="74"/>
        <v>#DIV/0!</v>
      </c>
      <c r="S558" s="129">
        <v>1</v>
      </c>
      <c r="T558" s="129">
        <v>1</v>
      </c>
      <c r="U558" s="129">
        <v>0</v>
      </c>
      <c r="V558" s="138">
        <f t="shared" si="75"/>
        <v>3</v>
      </c>
      <c r="W558" s="138">
        <f t="shared" si="76"/>
        <v>3</v>
      </c>
      <c r="X558" s="138">
        <f t="shared" si="77"/>
        <v>1</v>
      </c>
      <c r="Y558" s="138">
        <f t="shared" si="78"/>
        <v>3</v>
      </c>
      <c r="Z558" s="138">
        <f t="shared" si="79"/>
        <v>3</v>
      </c>
      <c r="AA558" s="138">
        <f t="shared" si="80"/>
        <v>0</v>
      </c>
      <c r="AB558" s="127" t="s">
        <v>32</v>
      </c>
      <c r="AC558" s="127"/>
      <c r="AD558" s="127"/>
      <c r="AE558" s="130"/>
      <c r="AF558" s="136">
        <v>9.68</v>
      </c>
      <c r="AG558" s="136">
        <v>11.33</v>
      </c>
      <c r="AH558" s="136">
        <v>40.01</v>
      </c>
      <c r="AI558" s="136">
        <v>5.99</v>
      </c>
      <c r="AJ558" s="136">
        <v>0</v>
      </c>
      <c r="AK558" s="136">
        <v>0</v>
      </c>
      <c r="AL558" s="136">
        <v>3.31</v>
      </c>
      <c r="AM558" s="136">
        <v>70.319999999999993</v>
      </c>
      <c r="AN558" s="131"/>
      <c r="AO558" s="131"/>
      <c r="AP558" s="131"/>
      <c r="AQ558" s="131"/>
      <c r="AR558" s="131"/>
      <c r="AS558" s="131"/>
      <c r="AT558" s="131"/>
      <c r="AU558" s="91"/>
      <c r="AV558" s="91"/>
      <c r="AW558" s="131"/>
      <c r="AX558" s="131"/>
      <c r="AY558" s="131"/>
    </row>
    <row r="559" spans="1:51" ht="15" x14ac:dyDescent="0.25">
      <c r="A559" s="123"/>
      <c r="B559" s="124"/>
      <c r="C559" s="125">
        <v>6131</v>
      </c>
      <c r="D559" s="89"/>
      <c r="E559" s="86" t="s">
        <v>18</v>
      </c>
      <c r="F559" s="86" t="s">
        <v>418</v>
      </c>
      <c r="H559" s="126" t="s">
        <v>51</v>
      </c>
      <c r="I559" s="89">
        <v>1</v>
      </c>
      <c r="J559" s="127">
        <v>33294.455799999996</v>
      </c>
      <c r="K559" s="127">
        <v>66434.450000000012</v>
      </c>
      <c r="L559" s="127">
        <v>6003.12</v>
      </c>
      <c r="M559" s="127">
        <v>15035.455800000011</v>
      </c>
      <c r="N559" s="127">
        <v>56777.950000000012</v>
      </c>
      <c r="O559" s="127">
        <v>5212.62</v>
      </c>
      <c r="P559" s="128">
        <f t="shared" si="72"/>
        <v>0.45159037559640824</v>
      </c>
      <c r="Q559" s="128">
        <f t="shared" si="73"/>
        <v>0.85464619636348316</v>
      </c>
      <c r="R559" s="128">
        <f t="shared" si="74"/>
        <v>0.86831847439331544</v>
      </c>
      <c r="S559" s="129">
        <v>1</v>
      </c>
      <c r="T559" s="129">
        <v>1</v>
      </c>
      <c r="U559" s="129">
        <v>1</v>
      </c>
      <c r="V559" s="138">
        <f t="shared" si="75"/>
        <v>3</v>
      </c>
      <c r="W559" s="138">
        <f t="shared" si="76"/>
        <v>3</v>
      </c>
      <c r="X559" s="138">
        <f t="shared" si="77"/>
        <v>1</v>
      </c>
      <c r="Y559" s="138">
        <f t="shared" si="78"/>
        <v>3</v>
      </c>
      <c r="Z559" s="138">
        <f t="shared" si="79"/>
        <v>3</v>
      </c>
      <c r="AA559" s="138">
        <f t="shared" si="80"/>
        <v>1</v>
      </c>
      <c r="AB559" s="127" t="s">
        <v>32</v>
      </c>
      <c r="AC559" s="127"/>
      <c r="AD559" s="127"/>
      <c r="AE559" s="130"/>
      <c r="AF559" s="136">
        <v>9.33</v>
      </c>
      <c r="AG559" s="136">
        <v>11.33</v>
      </c>
      <c r="AH559" s="136">
        <v>35.22</v>
      </c>
      <c r="AI559" s="136">
        <v>5.99</v>
      </c>
      <c r="AJ559" s="136">
        <v>3.23</v>
      </c>
      <c r="AK559" s="136">
        <v>0.49</v>
      </c>
      <c r="AL559" s="136">
        <v>3.31</v>
      </c>
      <c r="AM559" s="136">
        <v>68.899999999999991</v>
      </c>
      <c r="AN559" s="131"/>
      <c r="AO559" s="131"/>
      <c r="AP559" s="131"/>
      <c r="AQ559" s="131"/>
      <c r="AR559" s="131"/>
      <c r="AS559" s="131"/>
      <c r="AT559" s="131"/>
      <c r="AU559" s="91"/>
      <c r="AV559" s="91"/>
      <c r="AW559" s="131"/>
      <c r="AX559" s="131"/>
      <c r="AY559" s="131"/>
    </row>
    <row r="560" spans="1:51" ht="15" x14ac:dyDescent="0.25">
      <c r="A560" s="123"/>
      <c r="B560" s="124"/>
      <c r="C560" s="125">
        <v>12341</v>
      </c>
      <c r="D560" s="89"/>
      <c r="E560" s="86" t="s">
        <v>18</v>
      </c>
      <c r="F560" s="86" t="s">
        <v>418</v>
      </c>
      <c r="H560" s="126" t="s">
        <v>51</v>
      </c>
      <c r="I560" s="89">
        <v>1</v>
      </c>
      <c r="J560" s="127">
        <v>33294.455799999996</v>
      </c>
      <c r="K560" s="127">
        <v>66434.450000000012</v>
      </c>
      <c r="L560" s="127">
        <v>6003.12</v>
      </c>
      <c r="M560" s="127">
        <v>15035.455800000011</v>
      </c>
      <c r="N560" s="127">
        <v>56777.950000000012</v>
      </c>
      <c r="O560" s="127">
        <v>5212.62</v>
      </c>
      <c r="P560" s="128">
        <f t="shared" si="72"/>
        <v>0.45159037559640824</v>
      </c>
      <c r="Q560" s="128">
        <f t="shared" si="73"/>
        <v>0.85464619636348316</v>
      </c>
      <c r="R560" s="128">
        <f t="shared" si="74"/>
        <v>0.86831847439331544</v>
      </c>
      <c r="S560" s="129">
        <v>1</v>
      </c>
      <c r="T560" s="129">
        <v>1</v>
      </c>
      <c r="U560" s="129">
        <v>1</v>
      </c>
      <c r="V560" s="138">
        <f t="shared" si="75"/>
        <v>3</v>
      </c>
      <c r="W560" s="138">
        <f t="shared" si="76"/>
        <v>3</v>
      </c>
      <c r="X560" s="138">
        <f t="shared" si="77"/>
        <v>1</v>
      </c>
      <c r="Y560" s="138">
        <f t="shared" si="78"/>
        <v>3</v>
      </c>
      <c r="Z560" s="138">
        <f t="shared" si="79"/>
        <v>3</v>
      </c>
      <c r="AA560" s="138">
        <f t="shared" si="80"/>
        <v>1</v>
      </c>
      <c r="AB560" s="127" t="s">
        <v>32</v>
      </c>
      <c r="AC560" s="127"/>
      <c r="AD560" s="127"/>
      <c r="AE560" s="130"/>
      <c r="AF560" s="136">
        <v>9.33</v>
      </c>
      <c r="AG560" s="136">
        <v>11.33</v>
      </c>
      <c r="AH560" s="136">
        <v>35.22</v>
      </c>
      <c r="AI560" s="136">
        <v>5.99</v>
      </c>
      <c r="AJ560" s="136">
        <v>3.23</v>
      </c>
      <c r="AK560" s="136">
        <v>0.49</v>
      </c>
      <c r="AL560" s="136">
        <v>3.31</v>
      </c>
      <c r="AM560" s="136">
        <v>68.899999999999991</v>
      </c>
      <c r="AN560" s="131"/>
      <c r="AO560" s="131"/>
      <c r="AP560" s="131"/>
      <c r="AQ560" s="131"/>
      <c r="AR560" s="131"/>
      <c r="AS560" s="131"/>
      <c r="AT560" s="131"/>
      <c r="AU560" s="91"/>
      <c r="AV560" s="91"/>
      <c r="AW560" s="131"/>
      <c r="AX560" s="131"/>
      <c r="AY560" s="131"/>
    </row>
    <row r="561" spans="1:51" ht="15" x14ac:dyDescent="0.25">
      <c r="A561" s="123"/>
      <c r="B561" s="124"/>
      <c r="C561" s="125">
        <v>24072</v>
      </c>
      <c r="D561" s="89"/>
      <c r="E561" s="86" t="s">
        <v>18</v>
      </c>
      <c r="F561" s="86" t="s">
        <v>418</v>
      </c>
      <c r="H561" s="126" t="s">
        <v>51</v>
      </c>
      <c r="I561" s="89">
        <v>1</v>
      </c>
      <c r="J561" s="127">
        <v>33294.455799999996</v>
      </c>
      <c r="K561" s="127">
        <v>66434.450000000012</v>
      </c>
      <c r="L561" s="127">
        <v>6003.12</v>
      </c>
      <c r="M561" s="127">
        <v>15035.455800000011</v>
      </c>
      <c r="N561" s="127">
        <v>56777.950000000012</v>
      </c>
      <c r="O561" s="127">
        <v>5212.62</v>
      </c>
      <c r="P561" s="128">
        <f t="shared" si="72"/>
        <v>0.45159037559640824</v>
      </c>
      <c r="Q561" s="128">
        <f t="shared" si="73"/>
        <v>0.85464619636348316</v>
      </c>
      <c r="R561" s="128">
        <f t="shared" si="74"/>
        <v>0.86831847439331544</v>
      </c>
      <c r="S561" s="129">
        <v>1</v>
      </c>
      <c r="T561" s="129">
        <v>1</v>
      </c>
      <c r="U561" s="129">
        <v>1</v>
      </c>
      <c r="V561" s="138">
        <f t="shared" si="75"/>
        <v>3</v>
      </c>
      <c r="W561" s="138">
        <f t="shared" si="76"/>
        <v>3</v>
      </c>
      <c r="X561" s="138">
        <f t="shared" si="77"/>
        <v>1</v>
      </c>
      <c r="Y561" s="138">
        <f t="shared" si="78"/>
        <v>3</v>
      </c>
      <c r="Z561" s="138">
        <f t="shared" si="79"/>
        <v>3</v>
      </c>
      <c r="AA561" s="138">
        <f t="shared" si="80"/>
        <v>1</v>
      </c>
      <c r="AB561" s="127" t="s">
        <v>32</v>
      </c>
      <c r="AC561" s="127"/>
      <c r="AD561" s="127"/>
      <c r="AE561" s="130"/>
      <c r="AF561" s="136">
        <v>9.33</v>
      </c>
      <c r="AG561" s="136">
        <v>11.33</v>
      </c>
      <c r="AH561" s="136">
        <v>35.22</v>
      </c>
      <c r="AI561" s="136">
        <v>5.99</v>
      </c>
      <c r="AJ561" s="136">
        <v>3.23</v>
      </c>
      <c r="AK561" s="136">
        <v>0.49</v>
      </c>
      <c r="AL561" s="136">
        <v>3.31</v>
      </c>
      <c r="AM561" s="136">
        <v>68.899999999999991</v>
      </c>
      <c r="AN561" s="131"/>
      <c r="AO561" s="131"/>
      <c r="AP561" s="131"/>
      <c r="AQ561" s="131"/>
      <c r="AR561" s="131"/>
      <c r="AS561" s="131"/>
      <c r="AT561" s="131"/>
      <c r="AU561" s="91"/>
      <c r="AV561" s="91"/>
      <c r="AW561" s="131"/>
      <c r="AX561" s="131"/>
      <c r="AY561" s="131"/>
    </row>
    <row r="562" spans="1:51" ht="15" x14ac:dyDescent="0.25">
      <c r="A562" s="123"/>
      <c r="B562" s="124"/>
      <c r="C562" s="125">
        <v>76821</v>
      </c>
      <c r="D562" s="89"/>
      <c r="E562" s="86" t="s">
        <v>18</v>
      </c>
      <c r="F562" s="86" t="s">
        <v>418</v>
      </c>
      <c r="H562" s="126" t="s">
        <v>51</v>
      </c>
      <c r="I562" s="89">
        <v>1</v>
      </c>
      <c r="J562" s="127">
        <v>33294.455799999996</v>
      </c>
      <c r="K562" s="127">
        <v>66434.450000000012</v>
      </c>
      <c r="L562" s="127">
        <v>6003.12</v>
      </c>
      <c r="M562" s="127">
        <v>15035.455800000011</v>
      </c>
      <c r="N562" s="127">
        <v>56777.950000000012</v>
      </c>
      <c r="O562" s="127">
        <v>5212.62</v>
      </c>
      <c r="P562" s="128">
        <f t="shared" si="72"/>
        <v>0.45159037559640824</v>
      </c>
      <c r="Q562" s="128">
        <f t="shared" si="73"/>
        <v>0.85464619636348316</v>
      </c>
      <c r="R562" s="128">
        <f t="shared" si="74"/>
        <v>0.86831847439331544</v>
      </c>
      <c r="S562" s="129">
        <v>1</v>
      </c>
      <c r="T562" s="129">
        <v>1</v>
      </c>
      <c r="U562" s="129">
        <v>1</v>
      </c>
      <c r="V562" s="138">
        <f t="shared" si="75"/>
        <v>3</v>
      </c>
      <c r="W562" s="138">
        <f t="shared" si="76"/>
        <v>3</v>
      </c>
      <c r="X562" s="138">
        <f t="shared" si="77"/>
        <v>1</v>
      </c>
      <c r="Y562" s="138">
        <f t="shared" si="78"/>
        <v>3</v>
      </c>
      <c r="Z562" s="138">
        <f t="shared" si="79"/>
        <v>3</v>
      </c>
      <c r="AA562" s="138">
        <f t="shared" si="80"/>
        <v>1</v>
      </c>
      <c r="AB562" s="127" t="s">
        <v>32</v>
      </c>
      <c r="AC562" s="127"/>
      <c r="AD562" s="127"/>
      <c r="AE562" s="130"/>
      <c r="AF562" s="136">
        <v>9.33</v>
      </c>
      <c r="AG562" s="136">
        <v>11.33</v>
      </c>
      <c r="AH562" s="136">
        <v>35.22</v>
      </c>
      <c r="AI562" s="136">
        <v>5.99</v>
      </c>
      <c r="AJ562" s="136">
        <v>3.23</v>
      </c>
      <c r="AK562" s="136">
        <v>0.49</v>
      </c>
      <c r="AL562" s="136">
        <v>3.31</v>
      </c>
      <c r="AM562" s="136">
        <v>68.899999999999991</v>
      </c>
      <c r="AN562" s="131"/>
      <c r="AO562" s="131"/>
      <c r="AP562" s="131"/>
      <c r="AQ562" s="131"/>
      <c r="AR562" s="131"/>
      <c r="AS562" s="131"/>
      <c r="AT562" s="131"/>
      <c r="AU562" s="91"/>
      <c r="AV562" s="91"/>
      <c r="AW562" s="131"/>
      <c r="AX562" s="131"/>
      <c r="AY562" s="131"/>
    </row>
    <row r="563" spans="1:51" ht="15" x14ac:dyDescent="0.25">
      <c r="A563" s="123"/>
      <c r="B563" s="124"/>
      <c r="C563" s="125">
        <v>210257</v>
      </c>
      <c r="D563" s="89"/>
      <c r="E563" s="86" t="s">
        <v>18</v>
      </c>
      <c r="F563" s="86" t="s">
        <v>418</v>
      </c>
      <c r="H563" s="126" t="s">
        <v>51</v>
      </c>
      <c r="I563" s="89">
        <v>1</v>
      </c>
      <c r="J563" s="127">
        <v>33294.455799999996</v>
      </c>
      <c r="K563" s="127">
        <v>66434.450000000012</v>
      </c>
      <c r="L563" s="127">
        <v>6003.12</v>
      </c>
      <c r="M563" s="127">
        <v>15035.455800000011</v>
      </c>
      <c r="N563" s="127">
        <v>56777.950000000012</v>
      </c>
      <c r="O563" s="127">
        <v>5212.62</v>
      </c>
      <c r="P563" s="128">
        <f t="shared" si="72"/>
        <v>0.45159037559640824</v>
      </c>
      <c r="Q563" s="128">
        <f t="shared" si="73"/>
        <v>0.85464619636348316</v>
      </c>
      <c r="R563" s="128">
        <f t="shared" si="74"/>
        <v>0.86831847439331544</v>
      </c>
      <c r="S563" s="129">
        <v>1</v>
      </c>
      <c r="T563" s="129">
        <v>1</v>
      </c>
      <c r="U563" s="129">
        <v>1</v>
      </c>
      <c r="V563" s="138">
        <f t="shared" si="75"/>
        <v>3</v>
      </c>
      <c r="W563" s="138">
        <f t="shared" si="76"/>
        <v>3</v>
      </c>
      <c r="X563" s="138">
        <f t="shared" si="77"/>
        <v>1</v>
      </c>
      <c r="Y563" s="138">
        <f t="shared" si="78"/>
        <v>3</v>
      </c>
      <c r="Z563" s="138">
        <f t="shared" si="79"/>
        <v>3</v>
      </c>
      <c r="AA563" s="138">
        <f t="shared" si="80"/>
        <v>1</v>
      </c>
      <c r="AB563" s="127" t="s">
        <v>32</v>
      </c>
      <c r="AC563" s="127"/>
      <c r="AD563" s="127"/>
      <c r="AE563" s="130"/>
      <c r="AF563" s="136">
        <v>9.33</v>
      </c>
      <c r="AG563" s="136">
        <v>11.33</v>
      </c>
      <c r="AH563" s="136">
        <v>35.22</v>
      </c>
      <c r="AI563" s="136">
        <v>5.99</v>
      </c>
      <c r="AJ563" s="136">
        <v>3.23</v>
      </c>
      <c r="AK563" s="136">
        <v>0.49</v>
      </c>
      <c r="AL563" s="136">
        <v>3.31</v>
      </c>
      <c r="AM563" s="136">
        <v>68.899999999999991</v>
      </c>
      <c r="AN563" s="131"/>
      <c r="AO563" s="131"/>
      <c r="AP563" s="131"/>
      <c r="AQ563" s="131"/>
      <c r="AR563" s="131"/>
      <c r="AS563" s="131"/>
      <c r="AT563" s="131"/>
      <c r="AU563" s="91"/>
      <c r="AV563" s="91"/>
      <c r="AW563" s="131"/>
      <c r="AX563" s="131"/>
      <c r="AY563" s="131"/>
    </row>
    <row r="564" spans="1:51" ht="15" x14ac:dyDescent="0.25">
      <c r="A564" s="123"/>
      <c r="B564" s="124"/>
      <c r="C564" s="125">
        <v>236529</v>
      </c>
      <c r="D564" s="89"/>
      <c r="E564" s="86" t="s">
        <v>18</v>
      </c>
      <c r="F564" s="86" t="s">
        <v>418</v>
      </c>
      <c r="H564" s="126" t="s">
        <v>51</v>
      </c>
      <c r="I564" s="89">
        <v>1</v>
      </c>
      <c r="J564" s="127">
        <v>33294.455799999996</v>
      </c>
      <c r="K564" s="127">
        <v>66434.450000000012</v>
      </c>
      <c r="L564" s="127">
        <v>6003.12</v>
      </c>
      <c r="M564" s="127">
        <v>15035.455800000011</v>
      </c>
      <c r="N564" s="127">
        <v>56777.950000000012</v>
      </c>
      <c r="O564" s="127">
        <v>5212.62</v>
      </c>
      <c r="P564" s="128">
        <f t="shared" si="72"/>
        <v>0.45159037559640824</v>
      </c>
      <c r="Q564" s="128">
        <f t="shared" si="73"/>
        <v>0.85464619636348316</v>
      </c>
      <c r="R564" s="128">
        <f t="shared" si="74"/>
        <v>0.86831847439331544</v>
      </c>
      <c r="S564" s="129">
        <v>1</v>
      </c>
      <c r="T564" s="129">
        <v>1</v>
      </c>
      <c r="U564" s="129">
        <v>1</v>
      </c>
      <c r="V564" s="138">
        <f t="shared" si="75"/>
        <v>3</v>
      </c>
      <c r="W564" s="138">
        <f t="shared" si="76"/>
        <v>3</v>
      </c>
      <c r="X564" s="138">
        <f t="shared" si="77"/>
        <v>1</v>
      </c>
      <c r="Y564" s="138">
        <f t="shared" si="78"/>
        <v>3</v>
      </c>
      <c r="Z564" s="138">
        <f t="shared" si="79"/>
        <v>3</v>
      </c>
      <c r="AA564" s="138">
        <f t="shared" si="80"/>
        <v>1</v>
      </c>
      <c r="AB564" s="127" t="s">
        <v>32</v>
      </c>
      <c r="AC564" s="127"/>
      <c r="AD564" s="127"/>
      <c r="AE564" s="130"/>
      <c r="AF564" s="136">
        <v>9.33</v>
      </c>
      <c r="AG564" s="136">
        <v>11.33</v>
      </c>
      <c r="AH564" s="136">
        <v>35.22</v>
      </c>
      <c r="AI564" s="136">
        <v>5.99</v>
      </c>
      <c r="AJ564" s="136">
        <v>3.23</v>
      </c>
      <c r="AK564" s="136">
        <v>0.49</v>
      </c>
      <c r="AL564" s="136">
        <v>3.31</v>
      </c>
      <c r="AM564" s="136">
        <v>68.899999999999991</v>
      </c>
      <c r="AN564" s="131"/>
      <c r="AO564" s="131"/>
      <c r="AP564" s="131"/>
      <c r="AQ564" s="131"/>
      <c r="AR564" s="131"/>
      <c r="AS564" s="131"/>
      <c r="AT564" s="131"/>
      <c r="AU564" s="91"/>
      <c r="AV564" s="91"/>
      <c r="AW564" s="131"/>
      <c r="AX564" s="131"/>
      <c r="AY564" s="131"/>
    </row>
    <row r="565" spans="1:51" ht="15" x14ac:dyDescent="0.25">
      <c r="A565" s="123"/>
      <c r="B565" s="124"/>
      <c r="C565" s="125">
        <v>316888</v>
      </c>
      <c r="D565" s="89"/>
      <c r="E565" s="86" t="s">
        <v>18</v>
      </c>
      <c r="F565" s="86" t="s">
        <v>418</v>
      </c>
      <c r="H565" s="126" t="s">
        <v>51</v>
      </c>
      <c r="I565" s="89">
        <v>1</v>
      </c>
      <c r="J565" s="127">
        <v>33294.455799999996</v>
      </c>
      <c r="K565" s="127">
        <v>66434.450000000012</v>
      </c>
      <c r="L565" s="127">
        <v>6003.12</v>
      </c>
      <c r="M565" s="127">
        <v>15035.455800000011</v>
      </c>
      <c r="N565" s="127">
        <v>56777.950000000012</v>
      </c>
      <c r="O565" s="127">
        <v>5212.62</v>
      </c>
      <c r="P565" s="128">
        <f t="shared" si="72"/>
        <v>0.45159037559640824</v>
      </c>
      <c r="Q565" s="128">
        <f t="shared" si="73"/>
        <v>0.85464619636348316</v>
      </c>
      <c r="R565" s="128">
        <f t="shared" si="74"/>
        <v>0.86831847439331544</v>
      </c>
      <c r="S565" s="129">
        <v>1</v>
      </c>
      <c r="T565" s="129">
        <v>1</v>
      </c>
      <c r="U565" s="129">
        <v>1</v>
      </c>
      <c r="V565" s="138">
        <f t="shared" si="75"/>
        <v>3</v>
      </c>
      <c r="W565" s="138">
        <f t="shared" si="76"/>
        <v>3</v>
      </c>
      <c r="X565" s="138">
        <f t="shared" si="77"/>
        <v>1</v>
      </c>
      <c r="Y565" s="138">
        <f t="shared" si="78"/>
        <v>3</v>
      </c>
      <c r="Z565" s="138">
        <f t="shared" si="79"/>
        <v>3</v>
      </c>
      <c r="AA565" s="138">
        <f t="shared" si="80"/>
        <v>1</v>
      </c>
      <c r="AB565" s="127" t="s">
        <v>32</v>
      </c>
      <c r="AC565" s="127"/>
      <c r="AD565" s="127"/>
      <c r="AE565" s="130"/>
      <c r="AF565" s="136">
        <v>9.33</v>
      </c>
      <c r="AG565" s="136">
        <v>11.33</v>
      </c>
      <c r="AH565" s="136">
        <v>35.22</v>
      </c>
      <c r="AI565" s="136">
        <v>5.99</v>
      </c>
      <c r="AJ565" s="136">
        <v>3.23</v>
      </c>
      <c r="AK565" s="136">
        <v>0.49</v>
      </c>
      <c r="AL565" s="136">
        <v>3.31</v>
      </c>
      <c r="AM565" s="136">
        <v>68.899999999999991</v>
      </c>
      <c r="AN565" s="131"/>
      <c r="AO565" s="131"/>
      <c r="AP565" s="131"/>
      <c r="AQ565" s="131"/>
      <c r="AR565" s="131"/>
      <c r="AS565" s="131"/>
      <c r="AT565" s="131"/>
      <c r="AU565" s="91"/>
      <c r="AV565" s="91"/>
      <c r="AW565" s="131"/>
      <c r="AX565" s="131"/>
      <c r="AY565" s="131"/>
    </row>
    <row r="566" spans="1:51" ht="15" x14ac:dyDescent="0.25">
      <c r="A566" s="123"/>
      <c r="B566" s="124"/>
      <c r="C566" s="125">
        <v>323508</v>
      </c>
      <c r="D566" s="89"/>
      <c r="E566" s="86" t="s">
        <v>18</v>
      </c>
      <c r="F566" s="86" t="s">
        <v>418</v>
      </c>
      <c r="H566" s="126" t="s">
        <v>51</v>
      </c>
      <c r="I566" s="89">
        <v>1</v>
      </c>
      <c r="J566" s="127">
        <v>33294.455799999996</v>
      </c>
      <c r="K566" s="127">
        <v>66434.450000000012</v>
      </c>
      <c r="L566" s="127">
        <v>6003.12</v>
      </c>
      <c r="M566" s="127">
        <v>15035.455800000011</v>
      </c>
      <c r="N566" s="127">
        <v>56777.950000000012</v>
      </c>
      <c r="O566" s="127">
        <v>5212.62</v>
      </c>
      <c r="P566" s="128">
        <f t="shared" si="72"/>
        <v>0.45159037559640824</v>
      </c>
      <c r="Q566" s="128">
        <f t="shared" si="73"/>
        <v>0.85464619636348316</v>
      </c>
      <c r="R566" s="128">
        <f t="shared" si="74"/>
        <v>0.86831847439331544</v>
      </c>
      <c r="S566" s="129">
        <v>1</v>
      </c>
      <c r="T566" s="129">
        <v>1</v>
      </c>
      <c r="U566" s="129">
        <v>1</v>
      </c>
      <c r="V566" s="138">
        <f t="shared" si="75"/>
        <v>3</v>
      </c>
      <c r="W566" s="138">
        <f t="shared" si="76"/>
        <v>3</v>
      </c>
      <c r="X566" s="138">
        <f t="shared" si="77"/>
        <v>1</v>
      </c>
      <c r="Y566" s="138">
        <f t="shared" si="78"/>
        <v>3</v>
      </c>
      <c r="Z566" s="138">
        <f t="shared" si="79"/>
        <v>3</v>
      </c>
      <c r="AA566" s="138">
        <f t="shared" si="80"/>
        <v>1</v>
      </c>
      <c r="AB566" s="127" t="s">
        <v>32</v>
      </c>
      <c r="AC566" s="127"/>
      <c r="AD566" s="127"/>
      <c r="AE566" s="130"/>
      <c r="AF566" s="136">
        <v>9.33</v>
      </c>
      <c r="AG566" s="136">
        <v>11.33</v>
      </c>
      <c r="AH566" s="136">
        <v>35.22</v>
      </c>
      <c r="AI566" s="136">
        <v>5.99</v>
      </c>
      <c r="AJ566" s="136">
        <v>3.23</v>
      </c>
      <c r="AK566" s="136">
        <v>0.49</v>
      </c>
      <c r="AL566" s="136">
        <v>3.31</v>
      </c>
      <c r="AM566" s="136">
        <v>68.899999999999991</v>
      </c>
      <c r="AN566" s="131"/>
      <c r="AO566" s="131"/>
      <c r="AP566" s="131"/>
      <c r="AQ566" s="131"/>
      <c r="AR566" s="131"/>
      <c r="AS566" s="131"/>
      <c r="AT566" s="131"/>
      <c r="AU566" s="91"/>
      <c r="AV566" s="91"/>
      <c r="AW566" s="131"/>
      <c r="AX566" s="131"/>
      <c r="AY566" s="131"/>
    </row>
    <row r="567" spans="1:51" ht="15" x14ac:dyDescent="0.25">
      <c r="A567" s="123"/>
      <c r="B567" s="124"/>
      <c r="C567" s="125">
        <v>394418</v>
      </c>
      <c r="D567" s="89"/>
      <c r="E567" s="86" t="s">
        <v>18</v>
      </c>
      <c r="F567" s="86" t="s">
        <v>418</v>
      </c>
      <c r="H567" s="126" t="s">
        <v>51</v>
      </c>
      <c r="I567" s="89">
        <v>1</v>
      </c>
      <c r="J567" s="127">
        <v>33294.455799999996</v>
      </c>
      <c r="K567" s="127">
        <v>66434.450000000012</v>
      </c>
      <c r="L567" s="127">
        <v>6003.12</v>
      </c>
      <c r="M567" s="127">
        <v>15035.455800000011</v>
      </c>
      <c r="N567" s="127">
        <v>56777.950000000012</v>
      </c>
      <c r="O567" s="127">
        <v>5212.62</v>
      </c>
      <c r="P567" s="128">
        <f t="shared" si="72"/>
        <v>0.45159037559640824</v>
      </c>
      <c r="Q567" s="128">
        <f t="shared" si="73"/>
        <v>0.85464619636348316</v>
      </c>
      <c r="R567" s="128">
        <f t="shared" si="74"/>
        <v>0.86831847439331544</v>
      </c>
      <c r="S567" s="129">
        <v>1</v>
      </c>
      <c r="T567" s="129">
        <v>1</v>
      </c>
      <c r="U567" s="129">
        <v>1</v>
      </c>
      <c r="V567" s="138">
        <f t="shared" si="75"/>
        <v>3</v>
      </c>
      <c r="W567" s="138">
        <f t="shared" si="76"/>
        <v>3</v>
      </c>
      <c r="X567" s="138">
        <f t="shared" si="77"/>
        <v>1</v>
      </c>
      <c r="Y567" s="138">
        <f t="shared" si="78"/>
        <v>3</v>
      </c>
      <c r="Z567" s="138">
        <f t="shared" si="79"/>
        <v>3</v>
      </c>
      <c r="AA567" s="138">
        <f t="shared" si="80"/>
        <v>1</v>
      </c>
      <c r="AB567" s="127" t="s">
        <v>32</v>
      </c>
      <c r="AC567" s="127"/>
      <c r="AD567" s="127"/>
      <c r="AE567" s="130"/>
      <c r="AF567" s="136">
        <v>9.33</v>
      </c>
      <c r="AG567" s="136">
        <v>11.33</v>
      </c>
      <c r="AH567" s="136">
        <v>35.22</v>
      </c>
      <c r="AI567" s="136">
        <v>5.99</v>
      </c>
      <c r="AJ567" s="136">
        <v>3.23</v>
      </c>
      <c r="AK567" s="136">
        <v>0.49</v>
      </c>
      <c r="AL567" s="136">
        <v>3.31</v>
      </c>
      <c r="AM567" s="136">
        <v>68.899999999999991</v>
      </c>
      <c r="AN567" s="131"/>
      <c r="AO567" s="131"/>
      <c r="AP567" s="131"/>
      <c r="AQ567" s="131"/>
      <c r="AR567" s="131"/>
      <c r="AS567" s="131"/>
      <c r="AT567" s="131"/>
      <c r="AU567" s="91"/>
      <c r="AV567" s="91"/>
      <c r="AW567" s="131"/>
      <c r="AX567" s="131"/>
      <c r="AY567" s="131"/>
    </row>
    <row r="568" spans="1:51" ht="15" x14ac:dyDescent="0.25">
      <c r="A568" s="123"/>
      <c r="B568" s="124"/>
      <c r="C568" s="125">
        <v>412400</v>
      </c>
      <c r="D568" s="89"/>
      <c r="E568" s="86" t="s">
        <v>18</v>
      </c>
      <c r="F568" s="86" t="s">
        <v>418</v>
      </c>
      <c r="H568" s="126" t="s">
        <v>51</v>
      </c>
      <c r="I568" s="89">
        <v>1</v>
      </c>
      <c r="J568" s="127">
        <v>33294.455799999996</v>
      </c>
      <c r="K568" s="127">
        <v>66434.450000000012</v>
      </c>
      <c r="L568" s="127">
        <v>6003.12</v>
      </c>
      <c r="M568" s="127">
        <v>15035.455800000011</v>
      </c>
      <c r="N568" s="127">
        <v>56777.950000000012</v>
      </c>
      <c r="O568" s="127">
        <v>5212.62</v>
      </c>
      <c r="P568" s="128">
        <f t="shared" si="72"/>
        <v>0.45159037559640824</v>
      </c>
      <c r="Q568" s="128">
        <f t="shared" si="73"/>
        <v>0.85464619636348316</v>
      </c>
      <c r="R568" s="128">
        <f t="shared" si="74"/>
        <v>0.86831847439331544</v>
      </c>
      <c r="S568" s="129">
        <v>1</v>
      </c>
      <c r="T568" s="129">
        <v>1</v>
      </c>
      <c r="U568" s="129">
        <v>1</v>
      </c>
      <c r="V568" s="138">
        <f t="shared" si="75"/>
        <v>3</v>
      </c>
      <c r="W568" s="138">
        <f t="shared" si="76"/>
        <v>3</v>
      </c>
      <c r="X568" s="138">
        <f t="shared" si="77"/>
        <v>1</v>
      </c>
      <c r="Y568" s="138">
        <f t="shared" si="78"/>
        <v>3</v>
      </c>
      <c r="Z568" s="138">
        <f t="shared" si="79"/>
        <v>3</v>
      </c>
      <c r="AA568" s="138">
        <f t="shared" si="80"/>
        <v>1</v>
      </c>
      <c r="AB568" s="127" t="s">
        <v>32</v>
      </c>
      <c r="AC568" s="127"/>
      <c r="AD568" s="127"/>
      <c r="AE568" s="130"/>
      <c r="AF568" s="136">
        <v>9.33</v>
      </c>
      <c r="AG568" s="136">
        <v>11.33</v>
      </c>
      <c r="AH568" s="136">
        <v>35.22</v>
      </c>
      <c r="AI568" s="136">
        <v>5.99</v>
      </c>
      <c r="AJ568" s="136">
        <v>3.23</v>
      </c>
      <c r="AK568" s="136">
        <v>0.49</v>
      </c>
      <c r="AL568" s="136">
        <v>3.31</v>
      </c>
      <c r="AM568" s="136">
        <v>68.899999999999991</v>
      </c>
      <c r="AN568" s="131"/>
      <c r="AO568" s="131"/>
      <c r="AP568" s="131"/>
      <c r="AQ568" s="131"/>
      <c r="AR568" s="131"/>
      <c r="AS568" s="131"/>
      <c r="AT568" s="131"/>
      <c r="AU568" s="91"/>
      <c r="AV568" s="91"/>
      <c r="AW568" s="131"/>
      <c r="AX568" s="131"/>
      <c r="AY568" s="131"/>
    </row>
    <row r="569" spans="1:51" ht="15" x14ac:dyDescent="0.25">
      <c r="A569" s="123"/>
      <c r="B569" s="124"/>
      <c r="C569" s="125">
        <v>436084</v>
      </c>
      <c r="D569" s="89"/>
      <c r="E569" s="86" t="s">
        <v>18</v>
      </c>
      <c r="F569" s="86" t="s">
        <v>418</v>
      </c>
      <c r="H569" s="126" t="s">
        <v>51</v>
      </c>
      <c r="I569" s="89">
        <v>1</v>
      </c>
      <c r="J569" s="127">
        <v>33294.455799999996</v>
      </c>
      <c r="K569" s="127">
        <v>66434.450000000012</v>
      </c>
      <c r="L569" s="127">
        <v>6003.12</v>
      </c>
      <c r="M569" s="127">
        <v>15035.455800000011</v>
      </c>
      <c r="N569" s="127">
        <v>56777.950000000012</v>
      </c>
      <c r="O569" s="127">
        <v>5212.62</v>
      </c>
      <c r="P569" s="128">
        <f t="shared" si="72"/>
        <v>0.45159037559640824</v>
      </c>
      <c r="Q569" s="128">
        <f t="shared" si="73"/>
        <v>0.85464619636348316</v>
      </c>
      <c r="R569" s="128">
        <f t="shared" si="74"/>
        <v>0.86831847439331544</v>
      </c>
      <c r="S569" s="129">
        <v>1</v>
      </c>
      <c r="T569" s="129">
        <v>1</v>
      </c>
      <c r="U569" s="129">
        <v>1</v>
      </c>
      <c r="V569" s="138">
        <f t="shared" si="75"/>
        <v>3</v>
      </c>
      <c r="W569" s="138">
        <f t="shared" si="76"/>
        <v>3</v>
      </c>
      <c r="X569" s="138">
        <f t="shared" si="77"/>
        <v>1</v>
      </c>
      <c r="Y569" s="138">
        <f t="shared" si="78"/>
        <v>3</v>
      </c>
      <c r="Z569" s="138">
        <f t="shared" si="79"/>
        <v>3</v>
      </c>
      <c r="AA569" s="138">
        <f t="shared" si="80"/>
        <v>1</v>
      </c>
      <c r="AB569" s="127" t="s">
        <v>32</v>
      </c>
      <c r="AC569" s="127"/>
      <c r="AD569" s="127"/>
      <c r="AE569" s="130"/>
      <c r="AF569" s="136">
        <v>9.33</v>
      </c>
      <c r="AG569" s="136">
        <v>11.33</v>
      </c>
      <c r="AH569" s="136">
        <v>35.22</v>
      </c>
      <c r="AI569" s="136">
        <v>5.99</v>
      </c>
      <c r="AJ569" s="136">
        <v>3.23</v>
      </c>
      <c r="AK569" s="136">
        <v>0.49</v>
      </c>
      <c r="AL569" s="136">
        <v>3.31</v>
      </c>
      <c r="AM569" s="136">
        <v>68.899999999999991</v>
      </c>
      <c r="AN569" s="131"/>
      <c r="AO569" s="131"/>
      <c r="AP569" s="131"/>
      <c r="AQ569" s="131"/>
      <c r="AR569" s="131"/>
      <c r="AS569" s="131"/>
      <c r="AT569" s="131"/>
      <c r="AU569" s="91"/>
      <c r="AV569" s="91"/>
      <c r="AW569" s="131"/>
      <c r="AX569" s="131"/>
      <c r="AY569" s="131"/>
    </row>
    <row r="570" spans="1:51" ht="15" x14ac:dyDescent="0.25">
      <c r="A570" s="123"/>
      <c r="B570" s="124"/>
      <c r="C570" s="125">
        <v>436854</v>
      </c>
      <c r="D570" s="89"/>
      <c r="E570" s="86" t="s">
        <v>18</v>
      </c>
      <c r="F570" s="86" t="s">
        <v>418</v>
      </c>
      <c r="H570" s="126" t="s">
        <v>51</v>
      </c>
      <c r="I570" s="89">
        <v>1</v>
      </c>
      <c r="J570" s="127">
        <v>33294.455799999996</v>
      </c>
      <c r="K570" s="127">
        <v>66434.450000000012</v>
      </c>
      <c r="L570" s="127">
        <v>6003.12</v>
      </c>
      <c r="M570" s="127">
        <v>15035.455800000011</v>
      </c>
      <c r="N570" s="127">
        <v>56777.950000000012</v>
      </c>
      <c r="O570" s="127">
        <v>5212.62</v>
      </c>
      <c r="P570" s="128">
        <f t="shared" si="72"/>
        <v>0.45159037559640824</v>
      </c>
      <c r="Q570" s="128">
        <f t="shared" si="73"/>
        <v>0.85464619636348316</v>
      </c>
      <c r="R570" s="128">
        <f t="shared" si="74"/>
        <v>0.86831847439331544</v>
      </c>
      <c r="S570" s="129">
        <v>1</v>
      </c>
      <c r="T570" s="129">
        <v>1</v>
      </c>
      <c r="U570" s="129">
        <v>1</v>
      </c>
      <c r="V570" s="138">
        <f t="shared" si="75"/>
        <v>3</v>
      </c>
      <c r="W570" s="138">
        <f t="shared" si="76"/>
        <v>3</v>
      </c>
      <c r="X570" s="138">
        <f t="shared" si="77"/>
        <v>1</v>
      </c>
      <c r="Y570" s="138">
        <f t="shared" si="78"/>
        <v>3</v>
      </c>
      <c r="Z570" s="138">
        <f t="shared" si="79"/>
        <v>3</v>
      </c>
      <c r="AA570" s="138">
        <f t="shared" si="80"/>
        <v>1</v>
      </c>
      <c r="AB570" s="127" t="s">
        <v>32</v>
      </c>
      <c r="AC570" s="127"/>
      <c r="AD570" s="127"/>
      <c r="AE570" s="130"/>
      <c r="AF570" s="136">
        <v>9.33</v>
      </c>
      <c r="AG570" s="136">
        <v>11.33</v>
      </c>
      <c r="AH570" s="136">
        <v>35.22</v>
      </c>
      <c r="AI570" s="136">
        <v>5.99</v>
      </c>
      <c r="AJ570" s="136">
        <v>3.23</v>
      </c>
      <c r="AK570" s="136">
        <v>0.49</v>
      </c>
      <c r="AL570" s="136">
        <v>3.31</v>
      </c>
      <c r="AM570" s="136">
        <v>68.899999999999991</v>
      </c>
      <c r="AN570" s="131"/>
      <c r="AO570" s="131"/>
      <c r="AP570" s="131"/>
      <c r="AQ570" s="131"/>
      <c r="AR570" s="131"/>
      <c r="AS570" s="131"/>
      <c r="AT570" s="131"/>
      <c r="AU570" s="91"/>
      <c r="AV570" s="91"/>
      <c r="AW570" s="131"/>
      <c r="AX570" s="131"/>
      <c r="AY570" s="131"/>
    </row>
    <row r="571" spans="1:51" ht="15" x14ac:dyDescent="0.25">
      <c r="A571" s="123"/>
      <c r="B571" s="124"/>
      <c r="C571" s="125">
        <v>474439</v>
      </c>
      <c r="D571" s="89"/>
      <c r="E571" s="86" t="s">
        <v>18</v>
      </c>
      <c r="F571" s="86" t="s">
        <v>418</v>
      </c>
      <c r="H571" s="126" t="s">
        <v>51</v>
      </c>
      <c r="I571" s="89">
        <v>1</v>
      </c>
      <c r="J571" s="127">
        <v>33294.455799999996</v>
      </c>
      <c r="K571" s="127">
        <v>66434.450000000012</v>
      </c>
      <c r="L571" s="127">
        <v>6003.12</v>
      </c>
      <c r="M571" s="127">
        <v>15035.455800000011</v>
      </c>
      <c r="N571" s="127">
        <v>56777.950000000012</v>
      </c>
      <c r="O571" s="127">
        <v>5212.62</v>
      </c>
      <c r="P571" s="128">
        <f t="shared" si="72"/>
        <v>0.45159037559640824</v>
      </c>
      <c r="Q571" s="128">
        <f t="shared" si="73"/>
        <v>0.85464619636348316</v>
      </c>
      <c r="R571" s="128">
        <f t="shared" si="74"/>
        <v>0.86831847439331544</v>
      </c>
      <c r="S571" s="129">
        <v>1</v>
      </c>
      <c r="T571" s="129">
        <v>1</v>
      </c>
      <c r="U571" s="129">
        <v>1</v>
      </c>
      <c r="V571" s="138">
        <f t="shared" si="75"/>
        <v>3</v>
      </c>
      <c r="W571" s="138">
        <f t="shared" si="76"/>
        <v>3</v>
      </c>
      <c r="X571" s="138">
        <f t="shared" si="77"/>
        <v>1</v>
      </c>
      <c r="Y571" s="138">
        <f t="shared" si="78"/>
        <v>3</v>
      </c>
      <c r="Z571" s="138">
        <f t="shared" si="79"/>
        <v>3</v>
      </c>
      <c r="AA571" s="138">
        <f t="shared" si="80"/>
        <v>1</v>
      </c>
      <c r="AB571" s="127" t="s">
        <v>32</v>
      </c>
      <c r="AC571" s="127"/>
      <c r="AD571" s="127"/>
      <c r="AE571" s="130"/>
      <c r="AF571" s="136">
        <v>9.33</v>
      </c>
      <c r="AG571" s="136">
        <v>11.33</v>
      </c>
      <c r="AH571" s="136">
        <v>35.22</v>
      </c>
      <c r="AI571" s="136">
        <v>5.99</v>
      </c>
      <c r="AJ571" s="136">
        <v>3.23</v>
      </c>
      <c r="AK571" s="136">
        <v>0.49</v>
      </c>
      <c r="AL571" s="136">
        <v>3.31</v>
      </c>
      <c r="AM571" s="136">
        <v>68.899999999999991</v>
      </c>
      <c r="AN571" s="131"/>
      <c r="AO571" s="131"/>
      <c r="AP571" s="131"/>
      <c r="AQ571" s="131"/>
      <c r="AR571" s="131"/>
      <c r="AS571" s="131"/>
      <c r="AT571" s="131"/>
      <c r="AU571" s="91"/>
      <c r="AV571" s="91"/>
      <c r="AW571" s="131"/>
      <c r="AX571" s="131"/>
      <c r="AY571" s="131"/>
    </row>
    <row r="572" spans="1:51" ht="15" x14ac:dyDescent="0.25">
      <c r="A572" s="123"/>
      <c r="B572" s="124"/>
      <c r="C572" s="125">
        <v>485093</v>
      </c>
      <c r="D572" s="89"/>
      <c r="E572" s="86" t="s">
        <v>18</v>
      </c>
      <c r="F572" s="86" t="s">
        <v>418</v>
      </c>
      <c r="H572" s="126" t="s">
        <v>51</v>
      </c>
      <c r="I572" s="89">
        <v>1</v>
      </c>
      <c r="J572" s="127">
        <v>33294.455799999996</v>
      </c>
      <c r="K572" s="127">
        <v>66434.450000000012</v>
      </c>
      <c r="L572" s="127">
        <v>6003.12</v>
      </c>
      <c r="M572" s="127">
        <v>15035.455800000011</v>
      </c>
      <c r="N572" s="127">
        <v>56777.950000000012</v>
      </c>
      <c r="O572" s="127">
        <v>5212.62</v>
      </c>
      <c r="P572" s="128">
        <f t="shared" si="72"/>
        <v>0.45159037559640824</v>
      </c>
      <c r="Q572" s="128">
        <f t="shared" si="73"/>
        <v>0.85464619636348316</v>
      </c>
      <c r="R572" s="128">
        <f t="shared" si="74"/>
        <v>0.86831847439331544</v>
      </c>
      <c r="S572" s="129">
        <v>1</v>
      </c>
      <c r="T572" s="129">
        <v>1</v>
      </c>
      <c r="U572" s="129">
        <v>1</v>
      </c>
      <c r="V572" s="138">
        <f t="shared" si="75"/>
        <v>3</v>
      </c>
      <c r="W572" s="138">
        <f t="shared" si="76"/>
        <v>3</v>
      </c>
      <c r="X572" s="138">
        <f t="shared" si="77"/>
        <v>1</v>
      </c>
      <c r="Y572" s="138">
        <f t="shared" si="78"/>
        <v>3</v>
      </c>
      <c r="Z572" s="138">
        <f t="shared" si="79"/>
        <v>3</v>
      </c>
      <c r="AA572" s="138">
        <f t="shared" si="80"/>
        <v>1</v>
      </c>
      <c r="AB572" s="127" t="s">
        <v>32</v>
      </c>
      <c r="AC572" s="127"/>
      <c r="AD572" s="127"/>
      <c r="AE572" s="130"/>
      <c r="AF572" s="136">
        <v>9.33</v>
      </c>
      <c r="AG572" s="136">
        <v>11.33</v>
      </c>
      <c r="AH572" s="136">
        <v>35.22</v>
      </c>
      <c r="AI572" s="136">
        <v>5.99</v>
      </c>
      <c r="AJ572" s="136">
        <v>3.23</v>
      </c>
      <c r="AK572" s="136">
        <v>0.49</v>
      </c>
      <c r="AL572" s="136">
        <v>3.31</v>
      </c>
      <c r="AM572" s="136">
        <v>68.899999999999991</v>
      </c>
      <c r="AN572" s="131"/>
      <c r="AO572" s="131"/>
      <c r="AP572" s="131"/>
      <c r="AQ572" s="131"/>
      <c r="AR572" s="131"/>
      <c r="AS572" s="131"/>
      <c r="AT572" s="131"/>
      <c r="AU572" s="91"/>
      <c r="AV572" s="91"/>
      <c r="AW572" s="131"/>
      <c r="AX572" s="131"/>
      <c r="AY572" s="131"/>
    </row>
    <row r="573" spans="1:51" ht="15" x14ac:dyDescent="0.25">
      <c r="A573" s="123"/>
      <c r="B573" s="124"/>
      <c r="C573" s="125">
        <v>615926</v>
      </c>
      <c r="D573" s="89"/>
      <c r="E573" s="86" t="s">
        <v>18</v>
      </c>
      <c r="F573" s="86" t="s">
        <v>418</v>
      </c>
      <c r="H573" s="126" t="s">
        <v>51</v>
      </c>
      <c r="I573" s="89">
        <v>1</v>
      </c>
      <c r="J573" s="127">
        <v>33294.455799999996</v>
      </c>
      <c r="K573" s="127">
        <v>66434.450000000012</v>
      </c>
      <c r="L573" s="127">
        <v>6003.12</v>
      </c>
      <c r="M573" s="127">
        <v>15035.455800000011</v>
      </c>
      <c r="N573" s="127">
        <v>56777.950000000012</v>
      </c>
      <c r="O573" s="127">
        <v>5212.62</v>
      </c>
      <c r="P573" s="128">
        <f t="shared" si="72"/>
        <v>0.45159037559640824</v>
      </c>
      <c r="Q573" s="128">
        <f t="shared" si="73"/>
        <v>0.85464619636348316</v>
      </c>
      <c r="R573" s="128">
        <f t="shared" si="74"/>
        <v>0.86831847439331544</v>
      </c>
      <c r="S573" s="129">
        <v>1</v>
      </c>
      <c r="T573" s="129">
        <v>1</v>
      </c>
      <c r="U573" s="129">
        <v>1</v>
      </c>
      <c r="V573" s="138">
        <f t="shared" si="75"/>
        <v>3</v>
      </c>
      <c r="W573" s="138">
        <f t="shared" si="76"/>
        <v>3</v>
      </c>
      <c r="X573" s="138">
        <f t="shared" si="77"/>
        <v>1</v>
      </c>
      <c r="Y573" s="138">
        <f t="shared" si="78"/>
        <v>3</v>
      </c>
      <c r="Z573" s="138">
        <f t="shared" si="79"/>
        <v>3</v>
      </c>
      <c r="AA573" s="138">
        <f t="shared" si="80"/>
        <v>1</v>
      </c>
      <c r="AB573" s="127" t="s">
        <v>32</v>
      </c>
      <c r="AC573" s="127"/>
      <c r="AD573" s="127"/>
      <c r="AE573" s="130"/>
      <c r="AF573" s="136">
        <v>9.33</v>
      </c>
      <c r="AG573" s="136">
        <v>11.33</v>
      </c>
      <c r="AH573" s="136">
        <v>35.22</v>
      </c>
      <c r="AI573" s="136">
        <v>5.99</v>
      </c>
      <c r="AJ573" s="136">
        <v>3.23</v>
      </c>
      <c r="AK573" s="136">
        <v>0.49</v>
      </c>
      <c r="AL573" s="136">
        <v>3.31</v>
      </c>
      <c r="AM573" s="136">
        <v>68.899999999999991</v>
      </c>
      <c r="AN573" s="131"/>
      <c r="AO573" s="131"/>
      <c r="AP573" s="131"/>
      <c r="AQ573" s="131"/>
      <c r="AR573" s="131"/>
      <c r="AS573" s="131"/>
      <c r="AT573" s="131"/>
      <c r="AU573" s="91"/>
      <c r="AV573" s="91"/>
      <c r="AW573" s="131"/>
      <c r="AX573" s="131"/>
      <c r="AY573" s="131"/>
    </row>
    <row r="574" spans="1:51" ht="15" x14ac:dyDescent="0.25">
      <c r="A574" s="123"/>
      <c r="B574" s="124"/>
      <c r="C574" s="125">
        <v>630682</v>
      </c>
      <c r="D574" s="89"/>
      <c r="E574" s="86" t="s">
        <v>18</v>
      </c>
      <c r="F574" s="86" t="s">
        <v>418</v>
      </c>
      <c r="H574" s="126" t="s">
        <v>51</v>
      </c>
      <c r="I574" s="89">
        <v>1</v>
      </c>
      <c r="J574" s="127">
        <v>33294.455799999996</v>
      </c>
      <c r="K574" s="127">
        <v>66434.450000000012</v>
      </c>
      <c r="L574" s="127">
        <v>6003.12</v>
      </c>
      <c r="M574" s="127">
        <v>15035.455800000011</v>
      </c>
      <c r="N574" s="127">
        <v>56777.950000000012</v>
      </c>
      <c r="O574" s="127">
        <v>5212.62</v>
      </c>
      <c r="P574" s="128">
        <f t="shared" si="72"/>
        <v>0.45159037559640824</v>
      </c>
      <c r="Q574" s="128">
        <f t="shared" si="73"/>
        <v>0.85464619636348316</v>
      </c>
      <c r="R574" s="128">
        <f t="shared" si="74"/>
        <v>0.86831847439331544</v>
      </c>
      <c r="S574" s="129">
        <v>1</v>
      </c>
      <c r="T574" s="129">
        <v>1</v>
      </c>
      <c r="U574" s="129">
        <v>1</v>
      </c>
      <c r="V574" s="138">
        <f t="shared" si="75"/>
        <v>3</v>
      </c>
      <c r="W574" s="138">
        <f t="shared" si="76"/>
        <v>3</v>
      </c>
      <c r="X574" s="138">
        <f t="shared" si="77"/>
        <v>1</v>
      </c>
      <c r="Y574" s="138">
        <f t="shared" si="78"/>
        <v>3</v>
      </c>
      <c r="Z574" s="138">
        <f t="shared" si="79"/>
        <v>3</v>
      </c>
      <c r="AA574" s="138">
        <f t="shared" si="80"/>
        <v>1</v>
      </c>
      <c r="AB574" s="127" t="s">
        <v>32</v>
      </c>
      <c r="AC574" s="127"/>
      <c r="AD574" s="127"/>
      <c r="AE574" s="130"/>
      <c r="AF574" s="136">
        <v>9.33</v>
      </c>
      <c r="AG574" s="136">
        <v>11.33</v>
      </c>
      <c r="AH574" s="136">
        <v>35.22</v>
      </c>
      <c r="AI574" s="136">
        <v>5.99</v>
      </c>
      <c r="AJ574" s="136">
        <v>3.23</v>
      </c>
      <c r="AK574" s="136">
        <v>0.49</v>
      </c>
      <c r="AL574" s="136">
        <v>3.31</v>
      </c>
      <c r="AM574" s="136">
        <v>68.899999999999991</v>
      </c>
      <c r="AN574" s="131"/>
      <c r="AO574" s="131"/>
      <c r="AP574" s="131"/>
      <c r="AQ574" s="131"/>
      <c r="AR574" s="131"/>
      <c r="AS574" s="131"/>
      <c r="AT574" s="131"/>
      <c r="AU574" s="91"/>
      <c r="AV574" s="91"/>
      <c r="AW574" s="131"/>
      <c r="AX574" s="131"/>
      <c r="AY574" s="131"/>
    </row>
    <row r="575" spans="1:51" ht="15" x14ac:dyDescent="0.25">
      <c r="A575" s="123"/>
      <c r="B575" s="124"/>
      <c r="C575" s="125">
        <v>681701</v>
      </c>
      <c r="D575" s="89"/>
      <c r="E575" s="86" t="s">
        <v>18</v>
      </c>
      <c r="F575" s="86" t="s">
        <v>418</v>
      </c>
      <c r="H575" s="126" t="s">
        <v>51</v>
      </c>
      <c r="I575" s="89">
        <v>1</v>
      </c>
      <c r="J575" s="127">
        <v>33294.455799999996</v>
      </c>
      <c r="K575" s="127">
        <v>66434.450000000012</v>
      </c>
      <c r="L575" s="127">
        <v>6003.12</v>
      </c>
      <c r="M575" s="127">
        <v>15035.455800000011</v>
      </c>
      <c r="N575" s="127">
        <v>56777.950000000012</v>
      </c>
      <c r="O575" s="127">
        <v>5212.62</v>
      </c>
      <c r="P575" s="128">
        <f t="shared" si="72"/>
        <v>0.45159037559640824</v>
      </c>
      <c r="Q575" s="128">
        <f t="shared" si="73"/>
        <v>0.85464619636348316</v>
      </c>
      <c r="R575" s="128">
        <f t="shared" si="74"/>
        <v>0.86831847439331544</v>
      </c>
      <c r="S575" s="129">
        <v>1</v>
      </c>
      <c r="T575" s="129">
        <v>1</v>
      </c>
      <c r="U575" s="129">
        <v>1</v>
      </c>
      <c r="V575" s="138">
        <f t="shared" si="75"/>
        <v>3</v>
      </c>
      <c r="W575" s="138">
        <f t="shared" si="76"/>
        <v>3</v>
      </c>
      <c r="X575" s="138">
        <f t="shared" si="77"/>
        <v>1</v>
      </c>
      <c r="Y575" s="138">
        <f t="shared" si="78"/>
        <v>3</v>
      </c>
      <c r="Z575" s="138">
        <f t="shared" si="79"/>
        <v>3</v>
      </c>
      <c r="AA575" s="138">
        <f t="shared" si="80"/>
        <v>1</v>
      </c>
      <c r="AB575" s="127" t="s">
        <v>32</v>
      </c>
      <c r="AC575" s="127"/>
      <c r="AD575" s="127"/>
      <c r="AE575" s="130"/>
      <c r="AF575" s="136">
        <v>9.33</v>
      </c>
      <c r="AG575" s="136">
        <v>11.33</v>
      </c>
      <c r="AH575" s="136">
        <v>35.22</v>
      </c>
      <c r="AI575" s="136">
        <v>5.99</v>
      </c>
      <c r="AJ575" s="136">
        <v>3.23</v>
      </c>
      <c r="AK575" s="136">
        <v>0.49</v>
      </c>
      <c r="AL575" s="136">
        <v>3.31</v>
      </c>
      <c r="AM575" s="136">
        <v>68.899999999999991</v>
      </c>
      <c r="AN575" s="131"/>
      <c r="AO575" s="131"/>
      <c r="AP575" s="131"/>
      <c r="AQ575" s="131"/>
      <c r="AR575" s="131"/>
      <c r="AS575" s="131"/>
      <c r="AT575" s="131"/>
      <c r="AU575" s="91"/>
      <c r="AV575" s="91"/>
      <c r="AW575" s="131"/>
      <c r="AX575" s="131"/>
      <c r="AY575" s="131"/>
    </row>
    <row r="576" spans="1:51" ht="15" x14ac:dyDescent="0.25">
      <c r="A576" s="123"/>
      <c r="B576" s="124"/>
      <c r="C576" s="125">
        <v>710395</v>
      </c>
      <c r="D576" s="89"/>
      <c r="E576" s="86" t="s">
        <v>18</v>
      </c>
      <c r="F576" s="86" t="s">
        <v>418</v>
      </c>
      <c r="H576" s="126" t="s">
        <v>51</v>
      </c>
      <c r="I576" s="89">
        <v>1</v>
      </c>
      <c r="J576" s="127">
        <v>33294.455799999996</v>
      </c>
      <c r="K576" s="127">
        <v>66434.450000000012</v>
      </c>
      <c r="L576" s="127">
        <v>6003.12</v>
      </c>
      <c r="M576" s="127">
        <v>15035.455800000011</v>
      </c>
      <c r="N576" s="127">
        <v>56777.950000000012</v>
      </c>
      <c r="O576" s="127">
        <v>5212.62</v>
      </c>
      <c r="P576" s="128">
        <f t="shared" si="72"/>
        <v>0.45159037559640824</v>
      </c>
      <c r="Q576" s="128">
        <f t="shared" si="73"/>
        <v>0.85464619636348316</v>
      </c>
      <c r="R576" s="128">
        <f t="shared" si="74"/>
        <v>0.86831847439331544</v>
      </c>
      <c r="S576" s="129">
        <v>1</v>
      </c>
      <c r="T576" s="129">
        <v>1</v>
      </c>
      <c r="U576" s="129">
        <v>1</v>
      </c>
      <c r="V576" s="138">
        <f t="shared" si="75"/>
        <v>3</v>
      </c>
      <c r="W576" s="138">
        <f t="shared" si="76"/>
        <v>3</v>
      </c>
      <c r="X576" s="138">
        <f t="shared" si="77"/>
        <v>1</v>
      </c>
      <c r="Y576" s="138">
        <f t="shared" si="78"/>
        <v>3</v>
      </c>
      <c r="Z576" s="138">
        <f t="shared" si="79"/>
        <v>3</v>
      </c>
      <c r="AA576" s="138">
        <f t="shared" si="80"/>
        <v>1</v>
      </c>
      <c r="AB576" s="127" t="s">
        <v>32</v>
      </c>
      <c r="AC576" s="127"/>
      <c r="AD576" s="127"/>
      <c r="AE576" s="130"/>
      <c r="AF576" s="136">
        <v>9.33</v>
      </c>
      <c r="AG576" s="136">
        <v>11.33</v>
      </c>
      <c r="AH576" s="136">
        <v>35.22</v>
      </c>
      <c r="AI576" s="136">
        <v>5.99</v>
      </c>
      <c r="AJ576" s="136">
        <v>3.23</v>
      </c>
      <c r="AK576" s="136">
        <v>0.49</v>
      </c>
      <c r="AL576" s="136">
        <v>3.31</v>
      </c>
      <c r="AM576" s="136">
        <v>68.899999999999991</v>
      </c>
      <c r="AN576" s="131"/>
      <c r="AO576" s="131"/>
      <c r="AP576" s="131"/>
      <c r="AQ576" s="131"/>
      <c r="AR576" s="131"/>
      <c r="AS576" s="131"/>
      <c r="AT576" s="131"/>
      <c r="AU576" s="91"/>
      <c r="AV576" s="91"/>
      <c r="AW576" s="131"/>
      <c r="AX576" s="131"/>
      <c r="AY576" s="131"/>
    </row>
    <row r="577" spans="1:53" ht="15" x14ac:dyDescent="0.25">
      <c r="A577" s="123"/>
      <c r="B577" s="124"/>
      <c r="C577" s="125">
        <v>735924</v>
      </c>
      <c r="D577" s="89"/>
      <c r="E577" s="86" t="s">
        <v>18</v>
      </c>
      <c r="F577" s="86" t="s">
        <v>418</v>
      </c>
      <c r="H577" s="126" t="s">
        <v>51</v>
      </c>
      <c r="I577" s="89">
        <v>1</v>
      </c>
      <c r="J577" s="127">
        <v>33294.455799999996</v>
      </c>
      <c r="K577" s="127">
        <v>66434.450000000012</v>
      </c>
      <c r="L577" s="127">
        <v>6003.12</v>
      </c>
      <c r="M577" s="127">
        <v>15035.455800000011</v>
      </c>
      <c r="N577" s="127">
        <v>56777.950000000012</v>
      </c>
      <c r="O577" s="127">
        <v>5212.62</v>
      </c>
      <c r="P577" s="128">
        <f t="shared" si="72"/>
        <v>0.45159037559640824</v>
      </c>
      <c r="Q577" s="128">
        <f t="shared" si="73"/>
        <v>0.85464619636348316</v>
      </c>
      <c r="R577" s="128">
        <f t="shared" si="74"/>
        <v>0.86831847439331544</v>
      </c>
      <c r="S577" s="129">
        <v>1</v>
      </c>
      <c r="T577" s="129">
        <v>1</v>
      </c>
      <c r="U577" s="129">
        <v>1</v>
      </c>
      <c r="V577" s="138">
        <f t="shared" si="75"/>
        <v>3</v>
      </c>
      <c r="W577" s="138">
        <f t="shared" si="76"/>
        <v>3</v>
      </c>
      <c r="X577" s="138">
        <f t="shared" si="77"/>
        <v>1</v>
      </c>
      <c r="Y577" s="138">
        <f t="shared" si="78"/>
        <v>3</v>
      </c>
      <c r="Z577" s="138">
        <f t="shared" si="79"/>
        <v>3</v>
      </c>
      <c r="AA577" s="138">
        <f t="shared" si="80"/>
        <v>1</v>
      </c>
      <c r="AB577" s="127" t="s">
        <v>32</v>
      </c>
      <c r="AC577" s="127"/>
      <c r="AD577" s="127"/>
      <c r="AE577" s="130"/>
      <c r="AF577" s="136">
        <v>9.33</v>
      </c>
      <c r="AG577" s="136">
        <v>11.33</v>
      </c>
      <c r="AH577" s="136">
        <v>35.22</v>
      </c>
      <c r="AI577" s="136">
        <v>5.99</v>
      </c>
      <c r="AJ577" s="136">
        <v>3.23</v>
      </c>
      <c r="AK577" s="136">
        <v>0.49</v>
      </c>
      <c r="AL577" s="136">
        <v>3.31</v>
      </c>
      <c r="AM577" s="136">
        <v>68.899999999999991</v>
      </c>
      <c r="AN577" s="131"/>
      <c r="AO577" s="131"/>
      <c r="AP577" s="131"/>
      <c r="AQ577" s="131"/>
      <c r="AR577" s="131"/>
      <c r="AS577" s="131"/>
      <c r="AT577" s="131"/>
      <c r="AU577" s="91"/>
      <c r="AV577" s="91"/>
      <c r="AW577" s="131"/>
      <c r="AX577" s="131"/>
      <c r="AY577" s="131"/>
    </row>
    <row r="578" spans="1:53" ht="15" x14ac:dyDescent="0.25">
      <c r="A578" s="123"/>
      <c r="B578" s="124"/>
      <c r="C578" s="125">
        <v>797443</v>
      </c>
      <c r="D578" s="89"/>
      <c r="E578" s="86" t="s">
        <v>18</v>
      </c>
      <c r="F578" s="86" t="s">
        <v>418</v>
      </c>
      <c r="H578" s="126" t="s">
        <v>51</v>
      </c>
      <c r="I578" s="89">
        <v>1</v>
      </c>
      <c r="J578" s="127">
        <v>33294.455799999996</v>
      </c>
      <c r="K578" s="127">
        <v>66434.450000000012</v>
      </c>
      <c r="L578" s="127">
        <v>6003.12</v>
      </c>
      <c r="M578" s="127">
        <v>15035.455800000011</v>
      </c>
      <c r="N578" s="127">
        <v>56777.950000000012</v>
      </c>
      <c r="O578" s="127">
        <v>5212.62</v>
      </c>
      <c r="P578" s="128">
        <f t="shared" si="72"/>
        <v>0.45159037559640824</v>
      </c>
      <c r="Q578" s="128">
        <f t="shared" si="73"/>
        <v>0.85464619636348316</v>
      </c>
      <c r="R578" s="128">
        <f t="shared" si="74"/>
        <v>0.86831847439331544</v>
      </c>
      <c r="S578" s="129">
        <v>1</v>
      </c>
      <c r="T578" s="129">
        <v>1</v>
      </c>
      <c r="U578" s="129">
        <v>1</v>
      </c>
      <c r="V578" s="138">
        <f t="shared" si="75"/>
        <v>3</v>
      </c>
      <c r="W578" s="138">
        <f t="shared" si="76"/>
        <v>3</v>
      </c>
      <c r="X578" s="138">
        <f t="shared" si="77"/>
        <v>1</v>
      </c>
      <c r="Y578" s="138">
        <f t="shared" si="78"/>
        <v>3</v>
      </c>
      <c r="Z578" s="138">
        <f t="shared" si="79"/>
        <v>3</v>
      </c>
      <c r="AA578" s="138">
        <f t="shared" si="80"/>
        <v>1</v>
      </c>
      <c r="AB578" s="127" t="s">
        <v>32</v>
      </c>
      <c r="AC578" s="127"/>
      <c r="AD578" s="127"/>
      <c r="AE578" s="130"/>
      <c r="AF578" s="136">
        <v>9.33</v>
      </c>
      <c r="AG578" s="136">
        <v>11.33</v>
      </c>
      <c r="AH578" s="136">
        <v>35.22</v>
      </c>
      <c r="AI578" s="136">
        <v>5.99</v>
      </c>
      <c r="AJ578" s="136">
        <v>3.23</v>
      </c>
      <c r="AK578" s="136">
        <v>0.49</v>
      </c>
      <c r="AL578" s="136">
        <v>3.31</v>
      </c>
      <c r="AM578" s="136">
        <v>68.899999999999991</v>
      </c>
      <c r="AN578" s="131"/>
      <c r="AO578" s="131"/>
      <c r="AP578" s="131"/>
      <c r="AQ578" s="131"/>
      <c r="AR578" s="131"/>
      <c r="AS578" s="131"/>
      <c r="AT578" s="131"/>
      <c r="AU578" s="91"/>
      <c r="AV578" s="91"/>
      <c r="AW578" s="131"/>
      <c r="AX578" s="131"/>
      <c r="AY578" s="131"/>
    </row>
    <row r="579" spans="1:53" ht="15" x14ac:dyDescent="0.25">
      <c r="A579" s="123"/>
      <c r="B579" s="124"/>
      <c r="C579" s="125">
        <v>803425</v>
      </c>
      <c r="D579" s="89"/>
      <c r="E579" s="86" t="s">
        <v>18</v>
      </c>
      <c r="F579" s="86" t="s">
        <v>418</v>
      </c>
      <c r="H579" s="126" t="s">
        <v>51</v>
      </c>
      <c r="I579" s="89">
        <v>1</v>
      </c>
      <c r="J579" s="127">
        <v>33294.455799999996</v>
      </c>
      <c r="K579" s="127">
        <v>66434.450000000012</v>
      </c>
      <c r="L579" s="127">
        <v>6003.12</v>
      </c>
      <c r="M579" s="127">
        <v>15035.455800000011</v>
      </c>
      <c r="N579" s="127">
        <v>56777.950000000012</v>
      </c>
      <c r="O579" s="127">
        <v>5212.62</v>
      </c>
      <c r="P579" s="128">
        <f t="shared" si="72"/>
        <v>0.45159037559640824</v>
      </c>
      <c r="Q579" s="128">
        <f t="shared" si="73"/>
        <v>0.85464619636348316</v>
      </c>
      <c r="R579" s="128">
        <f t="shared" si="74"/>
        <v>0.86831847439331544</v>
      </c>
      <c r="S579" s="129">
        <v>1</v>
      </c>
      <c r="T579" s="129">
        <v>1</v>
      </c>
      <c r="U579" s="129">
        <v>1</v>
      </c>
      <c r="V579" s="138">
        <f t="shared" si="75"/>
        <v>3</v>
      </c>
      <c r="W579" s="138">
        <f t="shared" si="76"/>
        <v>3</v>
      </c>
      <c r="X579" s="138">
        <f t="shared" si="77"/>
        <v>1</v>
      </c>
      <c r="Y579" s="138">
        <f t="shared" si="78"/>
        <v>3</v>
      </c>
      <c r="Z579" s="138">
        <f t="shared" si="79"/>
        <v>3</v>
      </c>
      <c r="AA579" s="138">
        <f t="shared" si="80"/>
        <v>1</v>
      </c>
      <c r="AB579" s="127" t="s">
        <v>32</v>
      </c>
      <c r="AC579" s="127"/>
      <c r="AD579" s="127"/>
      <c r="AE579" s="130"/>
      <c r="AF579" s="136">
        <v>9.33</v>
      </c>
      <c r="AG579" s="136">
        <v>11.33</v>
      </c>
      <c r="AH579" s="136">
        <v>35.22</v>
      </c>
      <c r="AI579" s="136">
        <v>5.99</v>
      </c>
      <c r="AJ579" s="136">
        <v>3.23</v>
      </c>
      <c r="AK579" s="136">
        <v>0.49</v>
      </c>
      <c r="AL579" s="136">
        <v>3.31</v>
      </c>
      <c r="AM579" s="136">
        <v>68.899999999999991</v>
      </c>
      <c r="AN579" s="131"/>
      <c r="AO579" s="131"/>
      <c r="AP579" s="131"/>
      <c r="AQ579" s="131"/>
      <c r="AR579" s="131"/>
      <c r="AS579" s="131"/>
      <c r="AT579" s="131"/>
      <c r="AU579" s="91"/>
      <c r="AV579" s="91"/>
      <c r="AW579" s="131"/>
      <c r="AX579" s="131"/>
      <c r="AY579" s="131"/>
    </row>
    <row r="580" spans="1:53" ht="15" x14ac:dyDescent="0.25">
      <c r="A580" s="123"/>
      <c r="B580" s="124"/>
      <c r="C580" s="125">
        <v>828579</v>
      </c>
      <c r="D580" s="89"/>
      <c r="E580" s="86" t="s">
        <v>18</v>
      </c>
      <c r="F580" s="86" t="s">
        <v>418</v>
      </c>
      <c r="H580" s="126" t="s">
        <v>51</v>
      </c>
      <c r="I580" s="89">
        <v>1</v>
      </c>
      <c r="J580" s="127">
        <v>33294.455799999996</v>
      </c>
      <c r="K580" s="127">
        <v>66434.450000000012</v>
      </c>
      <c r="L580" s="127">
        <v>6003.12</v>
      </c>
      <c r="M580" s="127">
        <v>15035.455800000011</v>
      </c>
      <c r="N580" s="127">
        <v>56777.950000000012</v>
      </c>
      <c r="O580" s="127">
        <v>5212.62</v>
      </c>
      <c r="P580" s="128">
        <f t="shared" si="72"/>
        <v>0.45159037559640824</v>
      </c>
      <c r="Q580" s="128">
        <f t="shared" si="73"/>
        <v>0.85464619636348316</v>
      </c>
      <c r="R580" s="128">
        <f t="shared" si="74"/>
        <v>0.86831847439331544</v>
      </c>
      <c r="S580" s="129">
        <v>1</v>
      </c>
      <c r="T580" s="129">
        <v>1</v>
      </c>
      <c r="U580" s="129">
        <v>1</v>
      </c>
      <c r="V580" s="138">
        <f t="shared" si="75"/>
        <v>3</v>
      </c>
      <c r="W580" s="138">
        <f t="shared" si="76"/>
        <v>3</v>
      </c>
      <c r="X580" s="138">
        <f t="shared" si="77"/>
        <v>1</v>
      </c>
      <c r="Y580" s="138">
        <f t="shared" si="78"/>
        <v>3</v>
      </c>
      <c r="Z580" s="138">
        <f t="shared" si="79"/>
        <v>3</v>
      </c>
      <c r="AA580" s="138">
        <f t="shared" si="80"/>
        <v>1</v>
      </c>
      <c r="AB580" s="127" t="s">
        <v>32</v>
      </c>
      <c r="AC580" s="127"/>
      <c r="AD580" s="127"/>
      <c r="AE580" s="130"/>
      <c r="AF580" s="136">
        <v>9.33</v>
      </c>
      <c r="AG580" s="136">
        <v>11.33</v>
      </c>
      <c r="AH580" s="136">
        <v>35.22</v>
      </c>
      <c r="AI580" s="136">
        <v>5.99</v>
      </c>
      <c r="AJ580" s="136">
        <v>3.23</v>
      </c>
      <c r="AK580" s="136">
        <v>0.49</v>
      </c>
      <c r="AL580" s="136">
        <v>3.31</v>
      </c>
      <c r="AM580" s="136">
        <v>68.899999999999991</v>
      </c>
      <c r="AN580" s="131"/>
      <c r="AO580" s="131"/>
      <c r="AP580" s="131"/>
      <c r="AQ580" s="131"/>
      <c r="AR580" s="131"/>
      <c r="AS580" s="131"/>
      <c r="AT580" s="131"/>
      <c r="AU580" s="91"/>
      <c r="AV580" s="91"/>
      <c r="AW580" s="131"/>
      <c r="AX580" s="131"/>
      <c r="AY580" s="131"/>
    </row>
    <row r="581" spans="1:53" ht="15" x14ac:dyDescent="0.25">
      <c r="A581" s="123"/>
      <c r="B581" s="124"/>
      <c r="C581" s="125">
        <v>840148</v>
      </c>
      <c r="D581" s="89"/>
      <c r="E581" s="86" t="s">
        <v>18</v>
      </c>
      <c r="F581" s="86" t="s">
        <v>418</v>
      </c>
      <c r="H581" s="126" t="s">
        <v>51</v>
      </c>
      <c r="I581" s="89">
        <v>1</v>
      </c>
      <c r="J581" s="127">
        <v>33294.455799999996</v>
      </c>
      <c r="K581" s="127">
        <v>66434.450000000012</v>
      </c>
      <c r="L581" s="127">
        <v>6003.12</v>
      </c>
      <c r="M581" s="127">
        <v>15035.455800000011</v>
      </c>
      <c r="N581" s="127">
        <v>56777.950000000012</v>
      </c>
      <c r="O581" s="127">
        <v>5212.62</v>
      </c>
      <c r="P581" s="128">
        <f t="shared" si="72"/>
        <v>0.45159037559640824</v>
      </c>
      <c r="Q581" s="128">
        <f t="shared" si="73"/>
        <v>0.85464619636348316</v>
      </c>
      <c r="R581" s="128">
        <f t="shared" si="74"/>
        <v>0.86831847439331544</v>
      </c>
      <c r="S581" s="129">
        <v>1</v>
      </c>
      <c r="T581" s="129">
        <v>1</v>
      </c>
      <c r="U581" s="129">
        <v>1</v>
      </c>
      <c r="V581" s="138">
        <f t="shared" si="75"/>
        <v>3</v>
      </c>
      <c r="W581" s="138">
        <f t="shared" si="76"/>
        <v>3</v>
      </c>
      <c r="X581" s="138">
        <f t="shared" si="77"/>
        <v>1</v>
      </c>
      <c r="Y581" s="138">
        <f t="shared" si="78"/>
        <v>3</v>
      </c>
      <c r="Z581" s="138">
        <f t="shared" si="79"/>
        <v>3</v>
      </c>
      <c r="AA581" s="138">
        <f t="shared" si="80"/>
        <v>1</v>
      </c>
      <c r="AB581" s="127" t="s">
        <v>32</v>
      </c>
      <c r="AC581" s="127"/>
      <c r="AD581" s="127"/>
      <c r="AE581" s="130"/>
      <c r="AF581" s="136">
        <v>9.33</v>
      </c>
      <c r="AG581" s="136">
        <v>11.33</v>
      </c>
      <c r="AH581" s="136">
        <v>35.22</v>
      </c>
      <c r="AI581" s="136">
        <v>5.99</v>
      </c>
      <c r="AJ581" s="136">
        <v>3.23</v>
      </c>
      <c r="AK581" s="136">
        <v>0.49</v>
      </c>
      <c r="AL581" s="136">
        <v>3.31</v>
      </c>
      <c r="AM581" s="136">
        <v>68.899999999999991</v>
      </c>
      <c r="AN581" s="131"/>
      <c r="AO581" s="131"/>
      <c r="AP581" s="131"/>
      <c r="AQ581" s="131"/>
      <c r="AR581" s="131"/>
      <c r="AS581" s="131"/>
      <c r="AT581" s="131"/>
      <c r="AU581" s="91"/>
      <c r="AV581" s="91"/>
      <c r="AW581" s="131"/>
      <c r="AX581" s="131"/>
      <c r="AY581" s="131"/>
    </row>
    <row r="582" spans="1:53" ht="15" x14ac:dyDescent="0.25">
      <c r="A582" s="123"/>
      <c r="B582" s="124"/>
      <c r="C582" s="125">
        <v>867780</v>
      </c>
      <c r="D582" s="89"/>
      <c r="E582" s="86" t="s">
        <v>18</v>
      </c>
      <c r="F582" s="86" t="s">
        <v>418</v>
      </c>
      <c r="H582" s="126" t="s">
        <v>51</v>
      </c>
      <c r="I582" s="89">
        <v>1</v>
      </c>
      <c r="J582" s="127">
        <v>33294.455799999996</v>
      </c>
      <c r="K582" s="127">
        <v>66434.450000000012</v>
      </c>
      <c r="L582" s="127">
        <v>6003.12</v>
      </c>
      <c r="M582" s="127">
        <v>15035.455800000011</v>
      </c>
      <c r="N582" s="127">
        <v>56777.950000000012</v>
      </c>
      <c r="O582" s="127">
        <v>5212.62</v>
      </c>
      <c r="P582" s="128">
        <f t="shared" ref="P582:P645" si="81">M582/J582</f>
        <v>0.45159037559640824</v>
      </c>
      <c r="Q582" s="128">
        <f t="shared" ref="Q582:Q645" si="82">N582/K582</f>
        <v>0.85464619636348316</v>
      </c>
      <c r="R582" s="128">
        <f t="shared" ref="R582:R645" si="83">O582/L582</f>
        <v>0.86831847439331544</v>
      </c>
      <c r="S582" s="129">
        <v>1</v>
      </c>
      <c r="T582" s="129">
        <v>1</v>
      </c>
      <c r="U582" s="129">
        <v>1</v>
      </c>
      <c r="V582" s="138">
        <f t="shared" ref="V582:V645" si="84">I582+2</f>
        <v>3</v>
      </c>
      <c r="W582" s="138">
        <f t="shared" ref="W582:W645" si="85">I582+2</f>
        <v>3</v>
      </c>
      <c r="X582" s="138">
        <f t="shared" ref="X582:X645" si="86">I582</f>
        <v>1</v>
      </c>
      <c r="Y582" s="138">
        <f t="shared" ref="Y582:Y645" si="87">IF(S582=0,0,V582)</f>
        <v>3</v>
      </c>
      <c r="Z582" s="138">
        <f t="shared" ref="Z582:Z645" si="88">IF(T582=0,0,W582)</f>
        <v>3</v>
      </c>
      <c r="AA582" s="138">
        <f t="shared" ref="AA582:AA645" si="89">IF(U582=0,0,1)</f>
        <v>1</v>
      </c>
      <c r="AB582" s="127" t="s">
        <v>32</v>
      </c>
      <c r="AC582" s="127"/>
      <c r="AD582" s="127"/>
      <c r="AE582" s="130"/>
      <c r="AF582" s="136">
        <v>9.33</v>
      </c>
      <c r="AG582" s="136">
        <v>11.33</v>
      </c>
      <c r="AH582" s="136">
        <v>35.22</v>
      </c>
      <c r="AI582" s="136">
        <v>5.99</v>
      </c>
      <c r="AJ582" s="136">
        <v>3.23</v>
      </c>
      <c r="AK582" s="136">
        <v>0.49</v>
      </c>
      <c r="AL582" s="136">
        <v>3.31</v>
      </c>
      <c r="AM582" s="136">
        <v>68.899999999999991</v>
      </c>
      <c r="AN582" s="131"/>
      <c r="AO582" s="131"/>
      <c r="AP582" s="131"/>
      <c r="AQ582" s="131"/>
      <c r="AR582" s="131"/>
      <c r="AS582" s="131"/>
      <c r="AT582" s="131"/>
      <c r="AU582" s="91"/>
      <c r="AV582" s="91"/>
      <c r="AW582" s="131"/>
      <c r="AX582" s="131"/>
      <c r="AY582" s="131"/>
    </row>
    <row r="583" spans="1:53" ht="15" x14ac:dyDescent="0.25">
      <c r="A583" s="123"/>
      <c r="B583" s="124"/>
      <c r="C583" s="125">
        <v>897778</v>
      </c>
      <c r="D583" s="89"/>
      <c r="E583" s="86" t="s">
        <v>18</v>
      </c>
      <c r="F583" s="86" t="s">
        <v>418</v>
      </c>
      <c r="H583" s="126" t="s">
        <v>51</v>
      </c>
      <c r="I583" s="89">
        <v>1</v>
      </c>
      <c r="J583" s="127">
        <v>33294.455799999996</v>
      </c>
      <c r="K583" s="127">
        <v>66434.450000000012</v>
      </c>
      <c r="L583" s="127">
        <v>6003.12</v>
      </c>
      <c r="M583" s="127">
        <v>15035.455800000011</v>
      </c>
      <c r="N583" s="127">
        <v>56777.950000000012</v>
      </c>
      <c r="O583" s="127">
        <v>5212.62</v>
      </c>
      <c r="P583" s="128">
        <f t="shared" si="81"/>
        <v>0.45159037559640824</v>
      </c>
      <c r="Q583" s="128">
        <f t="shared" si="82"/>
        <v>0.85464619636348316</v>
      </c>
      <c r="R583" s="128">
        <f t="shared" si="83"/>
        <v>0.86831847439331544</v>
      </c>
      <c r="S583" s="129">
        <v>1</v>
      </c>
      <c r="T583" s="129">
        <v>1</v>
      </c>
      <c r="U583" s="129">
        <v>1</v>
      </c>
      <c r="V583" s="138">
        <f t="shared" si="84"/>
        <v>3</v>
      </c>
      <c r="W583" s="138">
        <f t="shared" si="85"/>
        <v>3</v>
      </c>
      <c r="X583" s="138">
        <f t="shared" si="86"/>
        <v>1</v>
      </c>
      <c r="Y583" s="138">
        <f t="shared" si="87"/>
        <v>3</v>
      </c>
      <c r="Z583" s="138">
        <f t="shared" si="88"/>
        <v>3</v>
      </c>
      <c r="AA583" s="138">
        <f t="shared" si="89"/>
        <v>1</v>
      </c>
      <c r="AB583" s="127" t="s">
        <v>32</v>
      </c>
      <c r="AC583" s="127"/>
      <c r="AD583" s="127"/>
      <c r="AE583" s="130"/>
      <c r="AF583" s="136">
        <v>9.33</v>
      </c>
      <c r="AG583" s="136">
        <v>11.33</v>
      </c>
      <c r="AH583" s="136">
        <v>35.22</v>
      </c>
      <c r="AI583" s="136">
        <v>5.99</v>
      </c>
      <c r="AJ583" s="136">
        <v>3.23</v>
      </c>
      <c r="AK583" s="136">
        <v>0.49</v>
      </c>
      <c r="AL583" s="136">
        <v>3.31</v>
      </c>
      <c r="AM583" s="136">
        <v>68.899999999999991</v>
      </c>
      <c r="AN583" s="131"/>
      <c r="AO583" s="131"/>
      <c r="AP583" s="131"/>
      <c r="AQ583" s="131"/>
      <c r="AR583" s="131"/>
      <c r="AS583" s="131"/>
      <c r="AT583" s="131"/>
      <c r="AU583" s="91"/>
      <c r="AV583" s="91"/>
      <c r="AW583" s="131"/>
      <c r="AX583" s="131"/>
      <c r="AY583" s="131"/>
    </row>
    <row r="584" spans="1:53" ht="15" x14ac:dyDescent="0.25">
      <c r="A584" s="123"/>
      <c r="B584" s="124"/>
      <c r="C584" s="125">
        <v>915603</v>
      </c>
      <c r="D584" s="89"/>
      <c r="E584" s="86" t="s">
        <v>18</v>
      </c>
      <c r="F584" s="86" t="s">
        <v>418</v>
      </c>
      <c r="H584" s="126" t="s">
        <v>51</v>
      </c>
      <c r="I584" s="89">
        <v>1</v>
      </c>
      <c r="J584" s="127">
        <v>33294.455799999996</v>
      </c>
      <c r="K584" s="127">
        <v>66434.450000000012</v>
      </c>
      <c r="L584" s="127">
        <v>6003.12</v>
      </c>
      <c r="M584" s="127">
        <v>15035.455800000011</v>
      </c>
      <c r="N584" s="127">
        <v>56777.950000000012</v>
      </c>
      <c r="O584" s="127">
        <v>5212.62</v>
      </c>
      <c r="P584" s="128">
        <f t="shared" si="81"/>
        <v>0.45159037559640824</v>
      </c>
      <c r="Q584" s="128">
        <f t="shared" si="82"/>
        <v>0.85464619636348316</v>
      </c>
      <c r="R584" s="128">
        <f t="shared" si="83"/>
        <v>0.86831847439331544</v>
      </c>
      <c r="S584" s="129">
        <v>1</v>
      </c>
      <c r="T584" s="129">
        <v>1</v>
      </c>
      <c r="U584" s="129">
        <v>1</v>
      </c>
      <c r="V584" s="138">
        <f t="shared" si="84"/>
        <v>3</v>
      </c>
      <c r="W584" s="138">
        <f t="shared" si="85"/>
        <v>3</v>
      </c>
      <c r="X584" s="138">
        <f t="shared" si="86"/>
        <v>1</v>
      </c>
      <c r="Y584" s="138">
        <f t="shared" si="87"/>
        <v>3</v>
      </c>
      <c r="Z584" s="138">
        <f t="shared" si="88"/>
        <v>3</v>
      </c>
      <c r="AA584" s="138">
        <f t="shared" si="89"/>
        <v>1</v>
      </c>
      <c r="AB584" s="127" t="s">
        <v>32</v>
      </c>
      <c r="AC584" s="127"/>
      <c r="AD584" s="127"/>
      <c r="AE584" s="130"/>
      <c r="AF584" s="136">
        <v>9.33</v>
      </c>
      <c r="AG584" s="136">
        <v>11.33</v>
      </c>
      <c r="AH584" s="136">
        <v>35.22</v>
      </c>
      <c r="AI584" s="136">
        <v>5.99</v>
      </c>
      <c r="AJ584" s="136">
        <v>3.23</v>
      </c>
      <c r="AK584" s="136">
        <v>0.49</v>
      </c>
      <c r="AL584" s="136">
        <v>3.31</v>
      </c>
      <c r="AM584" s="136">
        <v>68.899999999999991</v>
      </c>
      <c r="AN584" s="131"/>
      <c r="AO584" s="131"/>
      <c r="AP584" s="131"/>
      <c r="AQ584" s="131"/>
      <c r="AR584" s="131"/>
      <c r="AS584" s="131"/>
      <c r="AT584" s="131"/>
      <c r="AU584" s="91"/>
      <c r="AV584" s="91"/>
      <c r="AW584" s="131"/>
      <c r="AX584" s="131"/>
      <c r="AY584" s="131"/>
    </row>
    <row r="585" spans="1:53" ht="15" x14ac:dyDescent="0.25">
      <c r="A585" s="123"/>
      <c r="B585" s="124"/>
      <c r="C585" s="125">
        <v>919857</v>
      </c>
      <c r="D585" s="89"/>
      <c r="E585" s="86" t="s">
        <v>18</v>
      </c>
      <c r="F585" s="86" t="s">
        <v>418</v>
      </c>
      <c r="H585" s="126" t="s">
        <v>51</v>
      </c>
      <c r="I585" s="89">
        <v>1</v>
      </c>
      <c r="J585" s="127">
        <v>33294.455799999996</v>
      </c>
      <c r="K585" s="127">
        <v>66434.450000000012</v>
      </c>
      <c r="L585" s="127">
        <v>6003.12</v>
      </c>
      <c r="M585" s="127">
        <v>15035.455800000011</v>
      </c>
      <c r="N585" s="127">
        <v>56777.950000000012</v>
      </c>
      <c r="O585" s="127">
        <v>5212.62</v>
      </c>
      <c r="P585" s="128">
        <f t="shared" si="81"/>
        <v>0.45159037559640824</v>
      </c>
      <c r="Q585" s="128">
        <f t="shared" si="82"/>
        <v>0.85464619636348316</v>
      </c>
      <c r="R585" s="128">
        <f t="shared" si="83"/>
        <v>0.86831847439331544</v>
      </c>
      <c r="S585" s="129">
        <v>1</v>
      </c>
      <c r="T585" s="129">
        <v>1</v>
      </c>
      <c r="U585" s="129">
        <v>1</v>
      </c>
      <c r="V585" s="138">
        <f t="shared" si="84"/>
        <v>3</v>
      </c>
      <c r="W585" s="138">
        <f t="shared" si="85"/>
        <v>3</v>
      </c>
      <c r="X585" s="138">
        <f t="shared" si="86"/>
        <v>1</v>
      </c>
      <c r="Y585" s="138">
        <f t="shared" si="87"/>
        <v>3</v>
      </c>
      <c r="Z585" s="138">
        <f t="shared" si="88"/>
        <v>3</v>
      </c>
      <c r="AA585" s="138">
        <f t="shared" si="89"/>
        <v>1</v>
      </c>
      <c r="AB585" s="127" t="s">
        <v>32</v>
      </c>
      <c r="AC585" s="127"/>
      <c r="AD585" s="127"/>
      <c r="AE585" s="130"/>
      <c r="AF585" s="136">
        <v>9.33</v>
      </c>
      <c r="AG585" s="136">
        <v>11.33</v>
      </c>
      <c r="AH585" s="136">
        <v>35.22</v>
      </c>
      <c r="AI585" s="136">
        <v>5.99</v>
      </c>
      <c r="AJ585" s="136">
        <v>3.23</v>
      </c>
      <c r="AK585" s="136">
        <v>0.49</v>
      </c>
      <c r="AL585" s="136">
        <v>3.31</v>
      </c>
      <c r="AM585" s="136">
        <v>68.899999999999991</v>
      </c>
      <c r="AN585" s="131"/>
      <c r="AO585" s="131"/>
      <c r="AP585" s="131"/>
      <c r="AQ585" s="131"/>
      <c r="AR585" s="131"/>
      <c r="AS585" s="131"/>
      <c r="AT585" s="131"/>
      <c r="AU585" s="91"/>
      <c r="AV585" s="91"/>
      <c r="AW585" s="131"/>
      <c r="AX585" s="131"/>
      <c r="AY585" s="131"/>
    </row>
    <row r="586" spans="1:53" ht="15" x14ac:dyDescent="0.25">
      <c r="A586" s="123"/>
      <c r="B586" s="124"/>
      <c r="C586" s="125">
        <v>934277</v>
      </c>
      <c r="D586" s="89"/>
      <c r="E586" s="86" t="s">
        <v>18</v>
      </c>
      <c r="F586" s="86" t="s">
        <v>418</v>
      </c>
      <c r="H586" s="126" t="s">
        <v>51</v>
      </c>
      <c r="I586" s="89">
        <v>1</v>
      </c>
      <c r="J586" s="127">
        <v>33294.455799999996</v>
      </c>
      <c r="K586" s="127">
        <v>66434.450000000012</v>
      </c>
      <c r="L586" s="127">
        <v>6003.12</v>
      </c>
      <c r="M586" s="127">
        <v>15035.455800000011</v>
      </c>
      <c r="N586" s="127">
        <v>56777.950000000012</v>
      </c>
      <c r="O586" s="127">
        <v>5212.62</v>
      </c>
      <c r="P586" s="128">
        <f t="shared" si="81"/>
        <v>0.45159037559640824</v>
      </c>
      <c r="Q586" s="128">
        <f t="shared" si="82"/>
        <v>0.85464619636348316</v>
      </c>
      <c r="R586" s="128">
        <f t="shared" si="83"/>
        <v>0.86831847439331544</v>
      </c>
      <c r="S586" s="129">
        <v>1</v>
      </c>
      <c r="T586" s="129">
        <v>1</v>
      </c>
      <c r="U586" s="129">
        <v>1</v>
      </c>
      <c r="V586" s="138">
        <f t="shared" si="84"/>
        <v>3</v>
      </c>
      <c r="W586" s="138">
        <f t="shared" si="85"/>
        <v>3</v>
      </c>
      <c r="X586" s="138">
        <f t="shared" si="86"/>
        <v>1</v>
      </c>
      <c r="Y586" s="138">
        <f t="shared" si="87"/>
        <v>3</v>
      </c>
      <c r="Z586" s="138">
        <f t="shared" si="88"/>
        <v>3</v>
      </c>
      <c r="AA586" s="138">
        <f t="shared" si="89"/>
        <v>1</v>
      </c>
      <c r="AB586" s="127" t="s">
        <v>32</v>
      </c>
      <c r="AC586" s="127"/>
      <c r="AD586" s="127"/>
      <c r="AE586" s="130"/>
      <c r="AF586" s="136">
        <v>9.33</v>
      </c>
      <c r="AG586" s="136">
        <v>11.33</v>
      </c>
      <c r="AH586" s="136">
        <v>35.22</v>
      </c>
      <c r="AI586" s="136">
        <v>5.99</v>
      </c>
      <c r="AJ586" s="136">
        <v>3.23</v>
      </c>
      <c r="AK586" s="136">
        <v>0.49</v>
      </c>
      <c r="AL586" s="136">
        <v>3.31</v>
      </c>
      <c r="AM586" s="136">
        <v>68.899999999999991</v>
      </c>
      <c r="AN586" s="131"/>
      <c r="AO586" s="131"/>
      <c r="AP586" s="131"/>
      <c r="AQ586" s="131"/>
      <c r="AR586" s="131"/>
      <c r="AS586" s="131"/>
      <c r="AT586" s="131"/>
      <c r="AU586" s="91"/>
      <c r="AV586" s="91"/>
      <c r="AW586" s="131"/>
      <c r="AX586" s="131"/>
      <c r="AY586" s="131"/>
    </row>
    <row r="587" spans="1:53" ht="15" x14ac:dyDescent="0.25">
      <c r="A587" s="123"/>
      <c r="B587" s="124"/>
      <c r="C587" s="125">
        <v>951614</v>
      </c>
      <c r="D587" s="89"/>
      <c r="E587" s="86" t="s">
        <v>18</v>
      </c>
      <c r="F587" s="86" t="s">
        <v>418</v>
      </c>
      <c r="H587" s="126" t="s">
        <v>51</v>
      </c>
      <c r="I587" s="89">
        <v>1</v>
      </c>
      <c r="J587" s="127">
        <v>33294.455799999996</v>
      </c>
      <c r="K587" s="127">
        <v>66434.450000000012</v>
      </c>
      <c r="L587" s="127">
        <v>6003.12</v>
      </c>
      <c r="M587" s="127">
        <v>15035.455800000011</v>
      </c>
      <c r="N587" s="127">
        <v>56777.950000000012</v>
      </c>
      <c r="O587" s="127">
        <v>5212.62</v>
      </c>
      <c r="P587" s="128">
        <f t="shared" si="81"/>
        <v>0.45159037559640824</v>
      </c>
      <c r="Q587" s="128">
        <f t="shared" si="82"/>
        <v>0.85464619636348316</v>
      </c>
      <c r="R587" s="128">
        <f t="shared" si="83"/>
        <v>0.86831847439331544</v>
      </c>
      <c r="S587" s="129">
        <v>1</v>
      </c>
      <c r="T587" s="129">
        <v>1</v>
      </c>
      <c r="U587" s="129">
        <v>1</v>
      </c>
      <c r="V587" s="138">
        <f t="shared" si="84"/>
        <v>3</v>
      </c>
      <c r="W587" s="138">
        <f t="shared" si="85"/>
        <v>3</v>
      </c>
      <c r="X587" s="138">
        <f t="shared" si="86"/>
        <v>1</v>
      </c>
      <c r="Y587" s="138">
        <f t="shared" si="87"/>
        <v>3</v>
      </c>
      <c r="Z587" s="138">
        <f t="shared" si="88"/>
        <v>3</v>
      </c>
      <c r="AA587" s="138">
        <f t="shared" si="89"/>
        <v>1</v>
      </c>
      <c r="AB587" s="127" t="s">
        <v>32</v>
      </c>
      <c r="AC587" s="127"/>
      <c r="AD587" s="127"/>
      <c r="AE587" s="130"/>
      <c r="AF587" s="136">
        <v>9.33</v>
      </c>
      <c r="AG587" s="136">
        <v>11.33</v>
      </c>
      <c r="AH587" s="136">
        <v>35.22</v>
      </c>
      <c r="AI587" s="136">
        <v>5.99</v>
      </c>
      <c r="AJ587" s="136">
        <v>3.23</v>
      </c>
      <c r="AK587" s="136">
        <v>0.49</v>
      </c>
      <c r="AL587" s="136">
        <v>3.31</v>
      </c>
      <c r="AM587" s="136">
        <v>68.899999999999991</v>
      </c>
      <c r="AN587" s="131"/>
      <c r="AO587" s="131"/>
      <c r="AP587" s="131"/>
      <c r="AQ587" s="131"/>
      <c r="AR587" s="131"/>
      <c r="AS587" s="131"/>
      <c r="AT587" s="131"/>
      <c r="AU587" s="91"/>
      <c r="AV587" s="91"/>
      <c r="AW587" s="131"/>
      <c r="AX587" s="131"/>
      <c r="AY587" s="131"/>
      <c r="BA587" s="91"/>
    </row>
    <row r="588" spans="1:53" ht="15" x14ac:dyDescent="0.25">
      <c r="A588" s="123"/>
      <c r="B588" s="124"/>
      <c r="C588" s="125">
        <v>958883</v>
      </c>
      <c r="D588" s="89"/>
      <c r="E588" s="86" t="s">
        <v>18</v>
      </c>
      <c r="F588" s="86" t="s">
        <v>418</v>
      </c>
      <c r="H588" s="126" t="s">
        <v>51</v>
      </c>
      <c r="I588" s="89">
        <v>1</v>
      </c>
      <c r="J588" s="127">
        <v>33294.455799999996</v>
      </c>
      <c r="K588" s="127">
        <v>66434.450000000012</v>
      </c>
      <c r="L588" s="127">
        <v>6003.12</v>
      </c>
      <c r="M588" s="127">
        <v>15035.455800000011</v>
      </c>
      <c r="N588" s="127">
        <v>56777.950000000012</v>
      </c>
      <c r="O588" s="127">
        <v>5212.62</v>
      </c>
      <c r="P588" s="128">
        <f t="shared" si="81"/>
        <v>0.45159037559640824</v>
      </c>
      <c r="Q588" s="128">
        <f t="shared" si="82"/>
        <v>0.85464619636348316</v>
      </c>
      <c r="R588" s="128">
        <f t="shared" si="83"/>
        <v>0.86831847439331544</v>
      </c>
      <c r="S588" s="129">
        <v>1</v>
      </c>
      <c r="T588" s="129">
        <v>1</v>
      </c>
      <c r="U588" s="129">
        <v>1</v>
      </c>
      <c r="V588" s="138">
        <f t="shared" si="84"/>
        <v>3</v>
      </c>
      <c r="W588" s="138">
        <f t="shared" si="85"/>
        <v>3</v>
      </c>
      <c r="X588" s="138">
        <f t="shared" si="86"/>
        <v>1</v>
      </c>
      <c r="Y588" s="138">
        <f t="shared" si="87"/>
        <v>3</v>
      </c>
      <c r="Z588" s="138">
        <f t="shared" si="88"/>
        <v>3</v>
      </c>
      <c r="AA588" s="138">
        <f t="shared" si="89"/>
        <v>1</v>
      </c>
      <c r="AB588" s="127" t="s">
        <v>32</v>
      </c>
      <c r="AC588" s="127"/>
      <c r="AD588" s="127"/>
      <c r="AE588" s="130"/>
      <c r="AF588" s="136">
        <v>9.33</v>
      </c>
      <c r="AG588" s="136">
        <v>11.33</v>
      </c>
      <c r="AH588" s="136">
        <v>35.22</v>
      </c>
      <c r="AI588" s="136">
        <v>5.99</v>
      </c>
      <c r="AJ588" s="136">
        <v>3.23</v>
      </c>
      <c r="AK588" s="136">
        <v>0.49</v>
      </c>
      <c r="AL588" s="136">
        <v>3.31</v>
      </c>
      <c r="AM588" s="136">
        <v>68.899999999999991</v>
      </c>
      <c r="AN588" s="131"/>
      <c r="AO588" s="131"/>
      <c r="AP588" s="131"/>
      <c r="AQ588" s="131"/>
      <c r="AR588" s="131"/>
      <c r="AS588" s="131"/>
      <c r="AT588" s="131"/>
      <c r="AU588" s="91"/>
      <c r="AV588" s="91"/>
      <c r="AW588" s="131"/>
      <c r="AX588" s="131"/>
      <c r="AY588" s="131"/>
    </row>
    <row r="589" spans="1:53" ht="15" x14ac:dyDescent="0.25">
      <c r="A589" s="123"/>
      <c r="B589" s="124"/>
      <c r="C589" s="125">
        <v>978160</v>
      </c>
      <c r="D589" s="89"/>
      <c r="E589" s="86" t="s">
        <v>18</v>
      </c>
      <c r="F589" s="86" t="s">
        <v>418</v>
      </c>
      <c r="H589" s="126" t="s">
        <v>51</v>
      </c>
      <c r="I589" s="89">
        <v>1</v>
      </c>
      <c r="J589" s="127">
        <v>33294.455799999996</v>
      </c>
      <c r="K589" s="127">
        <v>66434.450000000012</v>
      </c>
      <c r="L589" s="127">
        <v>6003.12</v>
      </c>
      <c r="M589" s="127">
        <v>15035.455800000011</v>
      </c>
      <c r="N589" s="127">
        <v>56777.950000000012</v>
      </c>
      <c r="O589" s="127">
        <v>5212.62</v>
      </c>
      <c r="P589" s="128">
        <f t="shared" si="81"/>
        <v>0.45159037559640824</v>
      </c>
      <c r="Q589" s="128">
        <f t="shared" si="82"/>
        <v>0.85464619636348316</v>
      </c>
      <c r="R589" s="128">
        <f t="shared" si="83"/>
        <v>0.86831847439331544</v>
      </c>
      <c r="S589" s="129">
        <v>1</v>
      </c>
      <c r="T589" s="129">
        <v>1</v>
      </c>
      <c r="U589" s="129">
        <v>1</v>
      </c>
      <c r="V589" s="138">
        <f t="shared" si="84"/>
        <v>3</v>
      </c>
      <c r="W589" s="138">
        <f t="shared" si="85"/>
        <v>3</v>
      </c>
      <c r="X589" s="138">
        <f t="shared" si="86"/>
        <v>1</v>
      </c>
      <c r="Y589" s="138">
        <f t="shared" si="87"/>
        <v>3</v>
      </c>
      <c r="Z589" s="138">
        <f t="shared" si="88"/>
        <v>3</v>
      </c>
      <c r="AA589" s="138">
        <f t="shared" si="89"/>
        <v>1</v>
      </c>
      <c r="AB589" s="127" t="s">
        <v>32</v>
      </c>
      <c r="AC589" s="127"/>
      <c r="AD589" s="127"/>
      <c r="AE589" s="130"/>
      <c r="AF589" s="136">
        <v>9.33</v>
      </c>
      <c r="AG589" s="136">
        <v>11.33</v>
      </c>
      <c r="AH589" s="136">
        <v>35.22</v>
      </c>
      <c r="AI589" s="136">
        <v>5.99</v>
      </c>
      <c r="AJ589" s="136">
        <v>3.23</v>
      </c>
      <c r="AK589" s="136">
        <v>0.49</v>
      </c>
      <c r="AL589" s="136">
        <v>3.31</v>
      </c>
      <c r="AM589" s="136">
        <v>68.899999999999991</v>
      </c>
      <c r="AN589" s="131"/>
      <c r="AO589" s="131"/>
      <c r="AP589" s="131"/>
      <c r="AQ589" s="131"/>
      <c r="AR589" s="131"/>
      <c r="AS589" s="131"/>
      <c r="AT589" s="131"/>
      <c r="AU589" s="91"/>
      <c r="AV589" s="91"/>
      <c r="AW589" s="131"/>
      <c r="AX589" s="131"/>
      <c r="AY589" s="131"/>
    </row>
    <row r="590" spans="1:53" ht="15" x14ac:dyDescent="0.25">
      <c r="A590" s="123"/>
      <c r="B590" s="124"/>
      <c r="C590" s="125">
        <v>818</v>
      </c>
      <c r="D590" s="89"/>
      <c r="E590" s="86" t="s">
        <v>20</v>
      </c>
      <c r="F590" s="86" t="s">
        <v>418</v>
      </c>
      <c r="H590" s="126" t="s">
        <v>50</v>
      </c>
      <c r="I590" s="89">
        <v>1</v>
      </c>
      <c r="J590" s="127">
        <v>3157.5437999999999</v>
      </c>
      <c r="K590" s="127">
        <v>2616.88</v>
      </c>
      <c r="L590" s="127">
        <v>1264.8600000000001</v>
      </c>
      <c r="M590" s="127">
        <v>0</v>
      </c>
      <c r="N590" s="127">
        <v>0</v>
      </c>
      <c r="O590" s="127">
        <v>0</v>
      </c>
      <c r="P590" s="128">
        <f t="shared" si="81"/>
        <v>0</v>
      </c>
      <c r="Q590" s="128">
        <f t="shared" si="82"/>
        <v>0</v>
      </c>
      <c r="R590" s="128">
        <f t="shared" si="83"/>
        <v>0</v>
      </c>
      <c r="S590" s="129">
        <v>0</v>
      </c>
      <c r="T590" s="129">
        <v>0</v>
      </c>
      <c r="U590" s="129">
        <v>0</v>
      </c>
      <c r="V590" s="138">
        <f t="shared" si="84"/>
        <v>3</v>
      </c>
      <c r="W590" s="138">
        <f t="shared" si="85"/>
        <v>3</v>
      </c>
      <c r="X590" s="138">
        <f t="shared" si="86"/>
        <v>1</v>
      </c>
      <c r="Y590" s="138">
        <f t="shared" si="87"/>
        <v>0</v>
      </c>
      <c r="Z590" s="138">
        <f t="shared" si="88"/>
        <v>0</v>
      </c>
      <c r="AA590" s="138">
        <f t="shared" si="89"/>
        <v>0</v>
      </c>
      <c r="AB590" s="127" t="s">
        <v>31</v>
      </c>
      <c r="AC590" s="127"/>
      <c r="AD590" s="127"/>
      <c r="AE590" s="130"/>
      <c r="AF590" s="136">
        <v>0</v>
      </c>
      <c r="AG590" s="136">
        <v>4.0599999999999996</v>
      </c>
      <c r="AH590" s="136">
        <v>0</v>
      </c>
      <c r="AI590" s="136">
        <v>2.14</v>
      </c>
      <c r="AJ590" s="136">
        <v>0</v>
      </c>
      <c r="AK590" s="136">
        <v>0.47</v>
      </c>
      <c r="AL590" s="136">
        <v>2.25</v>
      </c>
      <c r="AM590" s="136">
        <v>8.9199999999999982</v>
      </c>
      <c r="AN590" s="131"/>
      <c r="AO590" s="131"/>
      <c r="AP590" s="131"/>
      <c r="AQ590" s="131"/>
      <c r="AR590" s="131"/>
      <c r="AS590" s="131"/>
      <c r="AT590" s="131"/>
      <c r="AU590" s="91"/>
      <c r="AV590" s="91"/>
      <c r="AW590" s="131"/>
      <c r="AX590" s="131"/>
      <c r="AY590" s="131"/>
    </row>
    <row r="591" spans="1:53" ht="15" x14ac:dyDescent="0.25">
      <c r="A591" s="123"/>
      <c r="B591" s="124"/>
      <c r="C591" s="125">
        <v>3311</v>
      </c>
      <c r="D591" s="89"/>
      <c r="E591" s="86" t="s">
        <v>20</v>
      </c>
      <c r="F591" s="86" t="s">
        <v>418</v>
      </c>
      <c r="H591" s="126" t="s">
        <v>50</v>
      </c>
      <c r="I591" s="89">
        <v>1</v>
      </c>
      <c r="J591" s="127">
        <v>3157.5437999999999</v>
      </c>
      <c r="K591" s="127">
        <v>2616.88</v>
      </c>
      <c r="L591" s="127">
        <v>1264.8600000000001</v>
      </c>
      <c r="M591" s="127">
        <v>0</v>
      </c>
      <c r="N591" s="127">
        <v>0</v>
      </c>
      <c r="O591" s="127">
        <v>0</v>
      </c>
      <c r="P591" s="128">
        <f t="shared" si="81"/>
        <v>0</v>
      </c>
      <c r="Q591" s="128">
        <f t="shared" si="82"/>
        <v>0</v>
      </c>
      <c r="R591" s="128">
        <f t="shared" si="83"/>
        <v>0</v>
      </c>
      <c r="S591" s="129">
        <v>0</v>
      </c>
      <c r="T591" s="129">
        <v>0</v>
      </c>
      <c r="U591" s="129">
        <v>0</v>
      </c>
      <c r="V591" s="138">
        <f t="shared" si="84"/>
        <v>3</v>
      </c>
      <c r="W591" s="138">
        <f t="shared" si="85"/>
        <v>3</v>
      </c>
      <c r="X591" s="138">
        <f t="shared" si="86"/>
        <v>1</v>
      </c>
      <c r="Y591" s="138">
        <f t="shared" si="87"/>
        <v>0</v>
      </c>
      <c r="Z591" s="138">
        <f t="shared" si="88"/>
        <v>0</v>
      </c>
      <c r="AA591" s="138">
        <f t="shared" si="89"/>
        <v>0</v>
      </c>
      <c r="AB591" s="127" t="s">
        <v>31</v>
      </c>
      <c r="AC591" s="127"/>
      <c r="AD591" s="127"/>
      <c r="AE591" s="130"/>
      <c r="AF591" s="136">
        <v>0</v>
      </c>
      <c r="AG591" s="136">
        <v>4.0599999999999996</v>
      </c>
      <c r="AH591" s="136">
        <v>0</v>
      </c>
      <c r="AI591" s="136">
        <v>2.14</v>
      </c>
      <c r="AJ591" s="136">
        <v>0</v>
      </c>
      <c r="AK591" s="136">
        <v>0.47</v>
      </c>
      <c r="AL591" s="136">
        <v>2.25</v>
      </c>
      <c r="AM591" s="136">
        <v>8.9199999999999982</v>
      </c>
      <c r="AN591" s="131"/>
      <c r="AO591" s="131"/>
      <c r="AP591" s="131"/>
      <c r="AQ591" s="131"/>
      <c r="AR591" s="131"/>
      <c r="AS591" s="131"/>
      <c r="AT591" s="131"/>
      <c r="AU591" s="91"/>
      <c r="AV591" s="91"/>
      <c r="AW591" s="131"/>
      <c r="AX591" s="131"/>
      <c r="AY591" s="131"/>
    </row>
    <row r="592" spans="1:53" ht="15" x14ac:dyDescent="0.25">
      <c r="A592" s="123"/>
      <c r="B592" s="124"/>
      <c r="C592" s="125">
        <v>8484</v>
      </c>
      <c r="D592" s="89"/>
      <c r="E592" s="86" t="s">
        <v>20</v>
      </c>
      <c r="F592" s="86" t="s">
        <v>418</v>
      </c>
      <c r="H592" s="126" t="s">
        <v>50</v>
      </c>
      <c r="I592" s="89">
        <v>1</v>
      </c>
      <c r="J592" s="127">
        <v>3157.5437999999999</v>
      </c>
      <c r="K592" s="127">
        <v>2616.88</v>
      </c>
      <c r="L592" s="127">
        <v>1264.8600000000001</v>
      </c>
      <c r="M592" s="127">
        <v>0</v>
      </c>
      <c r="N592" s="127">
        <v>0</v>
      </c>
      <c r="O592" s="127">
        <v>0</v>
      </c>
      <c r="P592" s="128">
        <f t="shared" si="81"/>
        <v>0</v>
      </c>
      <c r="Q592" s="128">
        <f t="shared" si="82"/>
        <v>0</v>
      </c>
      <c r="R592" s="128">
        <f t="shared" si="83"/>
        <v>0</v>
      </c>
      <c r="S592" s="129">
        <v>0</v>
      </c>
      <c r="T592" s="129">
        <v>0</v>
      </c>
      <c r="U592" s="129">
        <v>0</v>
      </c>
      <c r="V592" s="138">
        <f t="shared" si="84"/>
        <v>3</v>
      </c>
      <c r="W592" s="138">
        <f t="shared" si="85"/>
        <v>3</v>
      </c>
      <c r="X592" s="138">
        <f t="shared" si="86"/>
        <v>1</v>
      </c>
      <c r="Y592" s="138">
        <f t="shared" si="87"/>
        <v>0</v>
      </c>
      <c r="Z592" s="138">
        <f t="shared" si="88"/>
        <v>0</v>
      </c>
      <c r="AA592" s="138">
        <f t="shared" si="89"/>
        <v>0</v>
      </c>
      <c r="AB592" s="127" t="s">
        <v>31</v>
      </c>
      <c r="AC592" s="127"/>
      <c r="AD592" s="127"/>
      <c r="AE592" s="130"/>
      <c r="AF592" s="136">
        <v>0</v>
      </c>
      <c r="AG592" s="136">
        <v>4.0599999999999996</v>
      </c>
      <c r="AH592" s="136">
        <v>0</v>
      </c>
      <c r="AI592" s="136">
        <v>2.14</v>
      </c>
      <c r="AJ592" s="136">
        <v>0</v>
      </c>
      <c r="AK592" s="136">
        <v>0.47</v>
      </c>
      <c r="AL592" s="136">
        <v>2.25</v>
      </c>
      <c r="AM592" s="136">
        <v>8.9199999999999982</v>
      </c>
      <c r="AN592" s="131"/>
      <c r="AO592" s="131"/>
      <c r="AP592" s="131"/>
      <c r="AQ592" s="131"/>
      <c r="AR592" s="131"/>
      <c r="AS592" s="131"/>
      <c r="AT592" s="131"/>
      <c r="AU592" s="91"/>
      <c r="AV592" s="91"/>
      <c r="AW592" s="131"/>
      <c r="AX592" s="131"/>
      <c r="AY592" s="131"/>
    </row>
    <row r="593" spans="1:51" ht="15" x14ac:dyDescent="0.25">
      <c r="A593" s="123"/>
      <c r="B593" s="124"/>
      <c r="C593" s="125">
        <v>42188</v>
      </c>
      <c r="D593" s="89"/>
      <c r="E593" s="86" t="s">
        <v>20</v>
      </c>
      <c r="F593" s="86" t="s">
        <v>418</v>
      </c>
      <c r="H593" s="126" t="s">
        <v>50</v>
      </c>
      <c r="I593" s="89">
        <v>1</v>
      </c>
      <c r="J593" s="127">
        <v>3157.5437999999999</v>
      </c>
      <c r="K593" s="127">
        <v>2616.88</v>
      </c>
      <c r="L593" s="127">
        <v>1264.8600000000001</v>
      </c>
      <c r="M593" s="127">
        <v>0</v>
      </c>
      <c r="N593" s="127">
        <v>0</v>
      </c>
      <c r="O593" s="127">
        <v>0</v>
      </c>
      <c r="P593" s="128">
        <f t="shared" si="81"/>
        <v>0</v>
      </c>
      <c r="Q593" s="128">
        <f t="shared" si="82"/>
        <v>0</v>
      </c>
      <c r="R593" s="128">
        <f t="shared" si="83"/>
        <v>0</v>
      </c>
      <c r="S593" s="129">
        <v>0</v>
      </c>
      <c r="T593" s="129">
        <v>0</v>
      </c>
      <c r="U593" s="129">
        <v>0</v>
      </c>
      <c r="V593" s="138">
        <f t="shared" si="84"/>
        <v>3</v>
      </c>
      <c r="W593" s="138">
        <f t="shared" si="85"/>
        <v>3</v>
      </c>
      <c r="X593" s="138">
        <f t="shared" si="86"/>
        <v>1</v>
      </c>
      <c r="Y593" s="138">
        <f t="shared" si="87"/>
        <v>0</v>
      </c>
      <c r="Z593" s="138">
        <f t="shared" si="88"/>
        <v>0</v>
      </c>
      <c r="AA593" s="138">
        <f t="shared" si="89"/>
        <v>0</v>
      </c>
      <c r="AB593" s="127" t="s">
        <v>31</v>
      </c>
      <c r="AC593" s="127"/>
      <c r="AD593" s="127"/>
      <c r="AE593" s="130"/>
      <c r="AF593" s="136">
        <v>0</v>
      </c>
      <c r="AG593" s="136">
        <v>4.0599999999999996</v>
      </c>
      <c r="AH593" s="136">
        <v>0</v>
      </c>
      <c r="AI593" s="136">
        <v>2.14</v>
      </c>
      <c r="AJ593" s="136">
        <v>0</v>
      </c>
      <c r="AK593" s="136">
        <v>0.47</v>
      </c>
      <c r="AL593" s="136">
        <v>2.25</v>
      </c>
      <c r="AM593" s="136">
        <v>8.9199999999999982</v>
      </c>
      <c r="AN593" s="131"/>
      <c r="AO593" s="131"/>
      <c r="AP593" s="131"/>
      <c r="AQ593" s="131"/>
      <c r="AR593" s="131"/>
      <c r="AS593" s="131"/>
      <c r="AT593" s="131"/>
      <c r="AU593" s="91"/>
      <c r="AV593" s="91"/>
      <c r="AW593" s="131"/>
      <c r="AX593" s="131"/>
      <c r="AY593" s="131"/>
    </row>
    <row r="594" spans="1:51" ht="15" x14ac:dyDescent="0.25">
      <c r="A594" s="123"/>
      <c r="B594" s="124"/>
      <c r="C594" s="125">
        <v>72683</v>
      </c>
      <c r="D594" s="89"/>
      <c r="E594" s="86" t="s">
        <v>20</v>
      </c>
      <c r="F594" s="86" t="s">
        <v>418</v>
      </c>
      <c r="H594" s="126" t="s">
        <v>50</v>
      </c>
      <c r="I594" s="89">
        <v>1</v>
      </c>
      <c r="J594" s="127">
        <v>3157.5437999999999</v>
      </c>
      <c r="K594" s="127">
        <v>2616.88</v>
      </c>
      <c r="L594" s="127">
        <v>1264.8600000000001</v>
      </c>
      <c r="M594" s="127">
        <v>0</v>
      </c>
      <c r="N594" s="127">
        <v>0</v>
      </c>
      <c r="O594" s="127">
        <v>0</v>
      </c>
      <c r="P594" s="128">
        <f t="shared" si="81"/>
        <v>0</v>
      </c>
      <c r="Q594" s="128">
        <f t="shared" si="82"/>
        <v>0</v>
      </c>
      <c r="R594" s="128">
        <f t="shared" si="83"/>
        <v>0</v>
      </c>
      <c r="S594" s="129">
        <v>0</v>
      </c>
      <c r="T594" s="129">
        <v>0</v>
      </c>
      <c r="U594" s="129">
        <v>0</v>
      </c>
      <c r="V594" s="138">
        <f t="shared" si="84"/>
        <v>3</v>
      </c>
      <c r="W594" s="138">
        <f t="shared" si="85"/>
        <v>3</v>
      </c>
      <c r="X594" s="138">
        <f t="shared" si="86"/>
        <v>1</v>
      </c>
      <c r="Y594" s="138">
        <f t="shared" si="87"/>
        <v>0</v>
      </c>
      <c r="Z594" s="138">
        <f t="shared" si="88"/>
        <v>0</v>
      </c>
      <c r="AA594" s="138">
        <f t="shared" si="89"/>
        <v>0</v>
      </c>
      <c r="AB594" s="127" t="s">
        <v>31</v>
      </c>
      <c r="AC594" s="127"/>
      <c r="AD594" s="127"/>
      <c r="AE594" s="130"/>
      <c r="AF594" s="136">
        <v>0</v>
      </c>
      <c r="AG594" s="136">
        <v>4.0599999999999996</v>
      </c>
      <c r="AH594" s="136">
        <v>0</v>
      </c>
      <c r="AI594" s="136">
        <v>2.14</v>
      </c>
      <c r="AJ594" s="136">
        <v>0</v>
      </c>
      <c r="AK594" s="136">
        <v>0.47</v>
      </c>
      <c r="AL594" s="136">
        <v>2.25</v>
      </c>
      <c r="AM594" s="136">
        <v>8.9199999999999982</v>
      </c>
      <c r="AN594" s="131"/>
      <c r="AO594" s="131"/>
      <c r="AP594" s="131"/>
      <c r="AQ594" s="131"/>
      <c r="AR594" s="131"/>
      <c r="AS594" s="131"/>
      <c r="AT594" s="131"/>
      <c r="AU594" s="91"/>
      <c r="AV594" s="91"/>
      <c r="AW594" s="131"/>
      <c r="AX594" s="131"/>
      <c r="AY594" s="131"/>
    </row>
    <row r="595" spans="1:51" ht="15" x14ac:dyDescent="0.25">
      <c r="A595" s="123"/>
      <c r="B595" s="124"/>
      <c r="C595" s="125">
        <v>88214</v>
      </c>
      <c r="D595" s="89"/>
      <c r="E595" s="86" t="s">
        <v>20</v>
      </c>
      <c r="F595" s="86" t="s">
        <v>418</v>
      </c>
      <c r="H595" s="126" t="s">
        <v>50</v>
      </c>
      <c r="I595" s="89">
        <v>1</v>
      </c>
      <c r="J595" s="127">
        <v>3157.5437999999999</v>
      </c>
      <c r="K595" s="127">
        <v>2616.88</v>
      </c>
      <c r="L595" s="127">
        <v>1264.8600000000001</v>
      </c>
      <c r="M595" s="127">
        <v>0</v>
      </c>
      <c r="N595" s="127">
        <v>0</v>
      </c>
      <c r="O595" s="127">
        <v>0</v>
      </c>
      <c r="P595" s="128">
        <f t="shared" si="81"/>
        <v>0</v>
      </c>
      <c r="Q595" s="128">
        <f t="shared" si="82"/>
        <v>0</v>
      </c>
      <c r="R595" s="128">
        <f t="shared" si="83"/>
        <v>0</v>
      </c>
      <c r="S595" s="129">
        <v>0</v>
      </c>
      <c r="T595" s="129">
        <v>0</v>
      </c>
      <c r="U595" s="129">
        <v>0</v>
      </c>
      <c r="V595" s="138">
        <f t="shared" si="84"/>
        <v>3</v>
      </c>
      <c r="W595" s="138">
        <f t="shared" si="85"/>
        <v>3</v>
      </c>
      <c r="X595" s="138">
        <f t="shared" si="86"/>
        <v>1</v>
      </c>
      <c r="Y595" s="138">
        <f t="shared" si="87"/>
        <v>0</v>
      </c>
      <c r="Z595" s="138">
        <f t="shared" si="88"/>
        <v>0</v>
      </c>
      <c r="AA595" s="138">
        <f t="shared" si="89"/>
        <v>0</v>
      </c>
      <c r="AB595" s="127" t="s">
        <v>31</v>
      </c>
      <c r="AC595" s="127"/>
      <c r="AD595" s="127"/>
      <c r="AE595" s="130"/>
      <c r="AF595" s="136">
        <v>0</v>
      </c>
      <c r="AG595" s="136">
        <v>4.0599999999999996</v>
      </c>
      <c r="AH595" s="136">
        <v>0</v>
      </c>
      <c r="AI595" s="136">
        <v>2.14</v>
      </c>
      <c r="AJ595" s="136">
        <v>0</v>
      </c>
      <c r="AK595" s="136">
        <v>0.47</v>
      </c>
      <c r="AL595" s="136">
        <v>2.25</v>
      </c>
      <c r="AM595" s="136">
        <v>8.9199999999999982</v>
      </c>
      <c r="AN595" s="131"/>
      <c r="AO595" s="131"/>
      <c r="AP595" s="131"/>
      <c r="AQ595" s="131"/>
      <c r="AR595" s="131"/>
      <c r="AS595" s="131"/>
      <c r="AT595" s="131"/>
      <c r="AU595" s="91"/>
      <c r="AV595" s="91"/>
      <c r="AW595" s="131"/>
      <c r="AX595" s="131"/>
      <c r="AY595" s="131"/>
    </row>
    <row r="596" spans="1:51" ht="15" x14ac:dyDescent="0.25">
      <c r="A596" s="123"/>
      <c r="B596" s="124"/>
      <c r="C596" s="125">
        <v>110120</v>
      </c>
      <c r="D596" s="89"/>
      <c r="E596" s="86" t="s">
        <v>20</v>
      </c>
      <c r="F596" s="86" t="s">
        <v>418</v>
      </c>
      <c r="H596" s="126" t="s">
        <v>50</v>
      </c>
      <c r="I596" s="89">
        <v>1</v>
      </c>
      <c r="J596" s="127">
        <v>3157.5437999999999</v>
      </c>
      <c r="K596" s="127">
        <v>2616.88</v>
      </c>
      <c r="L596" s="127">
        <v>1264.8600000000001</v>
      </c>
      <c r="M596" s="127">
        <v>0</v>
      </c>
      <c r="N596" s="127">
        <v>0</v>
      </c>
      <c r="O596" s="127">
        <v>0</v>
      </c>
      <c r="P596" s="128">
        <f t="shared" si="81"/>
        <v>0</v>
      </c>
      <c r="Q596" s="128">
        <f t="shared" si="82"/>
        <v>0</v>
      </c>
      <c r="R596" s="128">
        <f t="shared" si="83"/>
        <v>0</v>
      </c>
      <c r="S596" s="129">
        <v>0</v>
      </c>
      <c r="T596" s="129">
        <v>0</v>
      </c>
      <c r="U596" s="129">
        <v>0</v>
      </c>
      <c r="V596" s="138">
        <f t="shared" si="84"/>
        <v>3</v>
      </c>
      <c r="W596" s="138">
        <f t="shared" si="85"/>
        <v>3</v>
      </c>
      <c r="X596" s="138">
        <f t="shared" si="86"/>
        <v>1</v>
      </c>
      <c r="Y596" s="138">
        <f t="shared" si="87"/>
        <v>0</v>
      </c>
      <c r="Z596" s="138">
        <f t="shared" si="88"/>
        <v>0</v>
      </c>
      <c r="AA596" s="138">
        <f t="shared" si="89"/>
        <v>0</v>
      </c>
      <c r="AB596" s="127" t="s">
        <v>31</v>
      </c>
      <c r="AC596" s="127"/>
      <c r="AD596" s="127"/>
      <c r="AE596" s="130"/>
      <c r="AF596" s="136">
        <v>0</v>
      </c>
      <c r="AG596" s="136">
        <v>0</v>
      </c>
      <c r="AH596" s="136">
        <v>0</v>
      </c>
      <c r="AI596" s="136">
        <v>0</v>
      </c>
      <c r="AJ596" s="136">
        <v>0</v>
      </c>
      <c r="AK596" s="136">
        <v>0</v>
      </c>
      <c r="AL596" s="136">
        <v>0</v>
      </c>
      <c r="AM596" s="136">
        <v>0</v>
      </c>
      <c r="AN596" s="131"/>
      <c r="AO596" s="131"/>
      <c r="AP596" s="131"/>
      <c r="AQ596" s="131"/>
      <c r="AR596" s="131"/>
      <c r="AS596" s="131"/>
      <c r="AT596" s="131"/>
      <c r="AU596" s="91"/>
      <c r="AV596" s="91"/>
      <c r="AW596" s="131"/>
      <c r="AX596" s="131"/>
      <c r="AY596" s="131"/>
    </row>
    <row r="597" spans="1:51" ht="15" x14ac:dyDescent="0.25">
      <c r="A597" s="123"/>
      <c r="B597" s="124"/>
      <c r="C597" s="125">
        <v>136245</v>
      </c>
      <c r="D597" s="89"/>
      <c r="E597" s="86" t="s">
        <v>20</v>
      </c>
      <c r="F597" s="86" t="s">
        <v>418</v>
      </c>
      <c r="H597" s="126" t="s">
        <v>50</v>
      </c>
      <c r="I597" s="89">
        <v>1</v>
      </c>
      <c r="J597" s="127">
        <v>3157.5437999999999</v>
      </c>
      <c r="K597" s="127">
        <v>2616.88</v>
      </c>
      <c r="L597" s="127">
        <v>1264.8600000000001</v>
      </c>
      <c r="M597" s="127">
        <v>0</v>
      </c>
      <c r="N597" s="127">
        <v>0</v>
      </c>
      <c r="O597" s="127">
        <v>0</v>
      </c>
      <c r="P597" s="128">
        <f t="shared" si="81"/>
        <v>0</v>
      </c>
      <c r="Q597" s="128">
        <f t="shared" si="82"/>
        <v>0</v>
      </c>
      <c r="R597" s="128">
        <f t="shared" si="83"/>
        <v>0</v>
      </c>
      <c r="S597" s="129">
        <v>0</v>
      </c>
      <c r="T597" s="129">
        <v>0</v>
      </c>
      <c r="U597" s="129">
        <v>0</v>
      </c>
      <c r="V597" s="138">
        <f t="shared" si="84"/>
        <v>3</v>
      </c>
      <c r="W597" s="138">
        <f t="shared" si="85"/>
        <v>3</v>
      </c>
      <c r="X597" s="138">
        <f t="shared" si="86"/>
        <v>1</v>
      </c>
      <c r="Y597" s="138">
        <f t="shared" si="87"/>
        <v>0</v>
      </c>
      <c r="Z597" s="138">
        <f t="shared" si="88"/>
        <v>0</v>
      </c>
      <c r="AA597" s="138">
        <f t="shared" si="89"/>
        <v>0</v>
      </c>
      <c r="AB597" s="127" t="s">
        <v>31</v>
      </c>
      <c r="AC597" s="127"/>
      <c r="AD597" s="127"/>
      <c r="AE597" s="130"/>
      <c r="AF597" s="136">
        <v>0</v>
      </c>
      <c r="AG597" s="136">
        <v>4.0599999999999996</v>
      </c>
      <c r="AH597" s="136">
        <v>0</v>
      </c>
      <c r="AI597" s="136">
        <v>2.14</v>
      </c>
      <c r="AJ597" s="136">
        <v>0</v>
      </c>
      <c r="AK597" s="136">
        <v>0.47</v>
      </c>
      <c r="AL597" s="136">
        <v>2.25</v>
      </c>
      <c r="AM597" s="136">
        <v>8.9199999999999982</v>
      </c>
      <c r="AN597" s="131"/>
      <c r="AO597" s="131"/>
      <c r="AP597" s="131"/>
      <c r="AQ597" s="131"/>
      <c r="AR597" s="131"/>
      <c r="AS597" s="131"/>
      <c r="AT597" s="131"/>
      <c r="AU597" s="91"/>
      <c r="AV597" s="91"/>
      <c r="AW597" s="131"/>
      <c r="AX597" s="131"/>
      <c r="AY597" s="131"/>
    </row>
    <row r="598" spans="1:51" ht="15" x14ac:dyDescent="0.25">
      <c r="A598" s="123"/>
      <c r="B598" s="124"/>
      <c r="C598" s="125">
        <v>150275</v>
      </c>
      <c r="D598" s="89"/>
      <c r="E598" s="86" t="s">
        <v>20</v>
      </c>
      <c r="F598" s="86" t="s">
        <v>418</v>
      </c>
      <c r="H598" s="126" t="s">
        <v>50</v>
      </c>
      <c r="I598" s="89">
        <v>1</v>
      </c>
      <c r="J598" s="127">
        <v>3157.5437999999999</v>
      </c>
      <c r="K598" s="127">
        <v>2616.88</v>
      </c>
      <c r="L598" s="127">
        <v>1264.8600000000001</v>
      </c>
      <c r="M598" s="127">
        <v>0</v>
      </c>
      <c r="N598" s="127">
        <v>0</v>
      </c>
      <c r="O598" s="127">
        <v>0</v>
      </c>
      <c r="P598" s="128">
        <f t="shared" si="81"/>
        <v>0</v>
      </c>
      <c r="Q598" s="128">
        <f t="shared" si="82"/>
        <v>0</v>
      </c>
      <c r="R598" s="128">
        <f t="shared" si="83"/>
        <v>0</v>
      </c>
      <c r="S598" s="129">
        <v>0</v>
      </c>
      <c r="T598" s="129">
        <v>0</v>
      </c>
      <c r="U598" s="129">
        <v>0</v>
      </c>
      <c r="V598" s="138">
        <f t="shared" si="84"/>
        <v>3</v>
      </c>
      <c r="W598" s="138">
        <f t="shared" si="85"/>
        <v>3</v>
      </c>
      <c r="X598" s="138">
        <f t="shared" si="86"/>
        <v>1</v>
      </c>
      <c r="Y598" s="138">
        <f t="shared" si="87"/>
        <v>0</v>
      </c>
      <c r="Z598" s="138">
        <f t="shared" si="88"/>
        <v>0</v>
      </c>
      <c r="AA598" s="138">
        <f t="shared" si="89"/>
        <v>0</v>
      </c>
      <c r="AB598" s="127" t="s">
        <v>31</v>
      </c>
      <c r="AC598" s="127"/>
      <c r="AD598" s="127"/>
      <c r="AE598" s="130"/>
      <c r="AF598" s="136">
        <v>0</v>
      </c>
      <c r="AG598" s="136">
        <v>4.0599999999999996</v>
      </c>
      <c r="AH598" s="136">
        <v>0</v>
      </c>
      <c r="AI598" s="136">
        <v>2.14</v>
      </c>
      <c r="AJ598" s="136">
        <v>0</v>
      </c>
      <c r="AK598" s="136">
        <v>0.47</v>
      </c>
      <c r="AL598" s="136">
        <v>2.25</v>
      </c>
      <c r="AM598" s="136">
        <v>8.9199999999999982</v>
      </c>
      <c r="AN598" s="131"/>
      <c r="AO598" s="131"/>
      <c r="AP598" s="131"/>
      <c r="AQ598" s="131"/>
      <c r="AR598" s="131"/>
      <c r="AS598" s="131"/>
      <c r="AT598" s="131"/>
      <c r="AU598" s="91"/>
      <c r="AV598" s="91"/>
      <c r="AW598" s="131"/>
      <c r="AX598" s="131"/>
      <c r="AY598" s="131"/>
    </row>
    <row r="599" spans="1:51" ht="15" x14ac:dyDescent="0.25">
      <c r="A599" s="123"/>
      <c r="B599" s="124"/>
      <c r="C599" s="125">
        <v>152583</v>
      </c>
      <c r="D599" s="89"/>
      <c r="E599" s="86" t="s">
        <v>20</v>
      </c>
      <c r="F599" s="86" t="s">
        <v>418</v>
      </c>
      <c r="H599" s="126" t="s">
        <v>50</v>
      </c>
      <c r="I599" s="89">
        <v>1</v>
      </c>
      <c r="J599" s="127">
        <v>3157.5437999999999</v>
      </c>
      <c r="K599" s="127">
        <v>2616.88</v>
      </c>
      <c r="L599" s="127">
        <v>1264.8600000000001</v>
      </c>
      <c r="M599" s="127">
        <v>0</v>
      </c>
      <c r="N599" s="127">
        <v>0</v>
      </c>
      <c r="O599" s="127">
        <v>0</v>
      </c>
      <c r="P599" s="128">
        <f t="shared" si="81"/>
        <v>0</v>
      </c>
      <c r="Q599" s="128">
        <f t="shared" si="82"/>
        <v>0</v>
      </c>
      <c r="R599" s="128">
        <f t="shared" si="83"/>
        <v>0</v>
      </c>
      <c r="S599" s="129">
        <v>0</v>
      </c>
      <c r="T599" s="129">
        <v>0</v>
      </c>
      <c r="U599" s="129">
        <v>0</v>
      </c>
      <c r="V599" s="138">
        <f t="shared" si="84"/>
        <v>3</v>
      </c>
      <c r="W599" s="138">
        <f t="shared" si="85"/>
        <v>3</v>
      </c>
      <c r="X599" s="138">
        <f t="shared" si="86"/>
        <v>1</v>
      </c>
      <c r="Y599" s="138">
        <f t="shared" si="87"/>
        <v>0</v>
      </c>
      <c r="Z599" s="138">
        <f t="shared" si="88"/>
        <v>0</v>
      </c>
      <c r="AA599" s="138">
        <f t="shared" si="89"/>
        <v>0</v>
      </c>
      <c r="AB599" s="127" t="s">
        <v>31</v>
      </c>
      <c r="AC599" s="127"/>
      <c r="AD599" s="127"/>
      <c r="AE599" s="130"/>
      <c r="AF599" s="136">
        <v>0</v>
      </c>
      <c r="AG599" s="136">
        <v>4.0599999999999996</v>
      </c>
      <c r="AH599" s="136">
        <v>0</v>
      </c>
      <c r="AI599" s="136">
        <v>2.14</v>
      </c>
      <c r="AJ599" s="136">
        <v>0</v>
      </c>
      <c r="AK599" s="136">
        <v>0.47</v>
      </c>
      <c r="AL599" s="136">
        <v>2.25</v>
      </c>
      <c r="AM599" s="136">
        <v>8.9199999999999982</v>
      </c>
      <c r="AN599" s="131"/>
      <c r="AO599" s="131"/>
      <c r="AP599" s="131"/>
      <c r="AQ599" s="131"/>
      <c r="AR599" s="131"/>
      <c r="AS599" s="131"/>
      <c r="AT599" s="131"/>
      <c r="AU599" s="91"/>
      <c r="AV599" s="91"/>
      <c r="AW599" s="131"/>
      <c r="AX599" s="131"/>
      <c r="AY599" s="131"/>
    </row>
    <row r="600" spans="1:51" ht="15" x14ac:dyDescent="0.25">
      <c r="A600" s="123"/>
      <c r="B600" s="124"/>
      <c r="C600" s="125">
        <v>252554.99999999997</v>
      </c>
      <c r="D600" s="89"/>
      <c r="E600" s="86" t="s">
        <v>20</v>
      </c>
      <c r="F600" s="86" t="s">
        <v>418</v>
      </c>
      <c r="H600" s="126" t="s">
        <v>50</v>
      </c>
      <c r="I600" s="89">
        <v>1</v>
      </c>
      <c r="J600" s="127">
        <v>3157.5437999999999</v>
      </c>
      <c r="K600" s="127">
        <v>2616.88</v>
      </c>
      <c r="L600" s="127">
        <v>1264.8600000000001</v>
      </c>
      <c r="M600" s="127">
        <v>0</v>
      </c>
      <c r="N600" s="127">
        <v>0</v>
      </c>
      <c r="O600" s="127">
        <v>0</v>
      </c>
      <c r="P600" s="128">
        <f t="shared" si="81"/>
        <v>0</v>
      </c>
      <c r="Q600" s="128">
        <f t="shared" si="82"/>
        <v>0</v>
      </c>
      <c r="R600" s="128">
        <f t="shared" si="83"/>
        <v>0</v>
      </c>
      <c r="S600" s="129">
        <v>0</v>
      </c>
      <c r="T600" s="129">
        <v>0</v>
      </c>
      <c r="U600" s="129">
        <v>0</v>
      </c>
      <c r="V600" s="138">
        <f t="shared" si="84"/>
        <v>3</v>
      </c>
      <c r="W600" s="138">
        <f t="shared" si="85"/>
        <v>3</v>
      </c>
      <c r="X600" s="138">
        <f t="shared" si="86"/>
        <v>1</v>
      </c>
      <c r="Y600" s="138">
        <f t="shared" si="87"/>
        <v>0</v>
      </c>
      <c r="Z600" s="138">
        <f t="shared" si="88"/>
        <v>0</v>
      </c>
      <c r="AA600" s="138">
        <f t="shared" si="89"/>
        <v>0</v>
      </c>
      <c r="AB600" s="127" t="s">
        <v>31</v>
      </c>
      <c r="AC600" s="127"/>
      <c r="AD600" s="127"/>
      <c r="AE600" s="130"/>
      <c r="AF600" s="136">
        <v>0</v>
      </c>
      <c r="AG600" s="136">
        <v>4.0599999999999996</v>
      </c>
      <c r="AH600" s="136">
        <v>0</v>
      </c>
      <c r="AI600" s="136">
        <v>2.14</v>
      </c>
      <c r="AJ600" s="136">
        <v>0</v>
      </c>
      <c r="AK600" s="136">
        <v>0.47</v>
      </c>
      <c r="AL600" s="136">
        <v>2.25</v>
      </c>
      <c r="AM600" s="136">
        <v>8.9199999999999982</v>
      </c>
      <c r="AN600" s="131"/>
      <c r="AO600" s="131"/>
      <c r="AP600" s="131"/>
      <c r="AQ600" s="131"/>
      <c r="AR600" s="131"/>
      <c r="AS600" s="131"/>
      <c r="AT600" s="131"/>
      <c r="AU600" s="91"/>
      <c r="AV600" s="91"/>
      <c r="AW600" s="131"/>
      <c r="AX600" s="131"/>
      <c r="AY600" s="131"/>
    </row>
    <row r="601" spans="1:51" ht="15" x14ac:dyDescent="0.25">
      <c r="A601" s="123"/>
      <c r="B601" s="124"/>
      <c r="C601" s="125">
        <v>261961.99999999997</v>
      </c>
      <c r="D601" s="89"/>
      <c r="E601" s="86" t="s">
        <v>20</v>
      </c>
      <c r="F601" s="86" t="s">
        <v>418</v>
      </c>
      <c r="H601" s="126" t="s">
        <v>50</v>
      </c>
      <c r="I601" s="89">
        <v>1</v>
      </c>
      <c r="J601" s="127">
        <v>3157.5437999999999</v>
      </c>
      <c r="K601" s="127">
        <v>2616.88</v>
      </c>
      <c r="L601" s="127">
        <v>1264.8600000000001</v>
      </c>
      <c r="M601" s="127">
        <v>0</v>
      </c>
      <c r="N601" s="127">
        <v>0</v>
      </c>
      <c r="O601" s="127">
        <v>0</v>
      </c>
      <c r="P601" s="128">
        <f t="shared" si="81"/>
        <v>0</v>
      </c>
      <c r="Q601" s="128">
        <f t="shared" si="82"/>
        <v>0</v>
      </c>
      <c r="R601" s="128">
        <f t="shared" si="83"/>
        <v>0</v>
      </c>
      <c r="S601" s="129">
        <v>0</v>
      </c>
      <c r="T601" s="129">
        <v>0</v>
      </c>
      <c r="U601" s="129">
        <v>0</v>
      </c>
      <c r="V601" s="138">
        <f t="shared" si="84"/>
        <v>3</v>
      </c>
      <c r="W601" s="138">
        <f t="shared" si="85"/>
        <v>3</v>
      </c>
      <c r="X601" s="138">
        <f t="shared" si="86"/>
        <v>1</v>
      </c>
      <c r="Y601" s="138">
        <f t="shared" si="87"/>
        <v>0</v>
      </c>
      <c r="Z601" s="138">
        <f t="shared" si="88"/>
        <v>0</v>
      </c>
      <c r="AA601" s="138">
        <f t="shared" si="89"/>
        <v>0</v>
      </c>
      <c r="AB601" s="127" t="s">
        <v>31</v>
      </c>
      <c r="AC601" s="127"/>
      <c r="AD601" s="127"/>
      <c r="AE601" s="130"/>
      <c r="AF601" s="136">
        <v>0</v>
      </c>
      <c r="AG601" s="136">
        <v>4.0599999999999996</v>
      </c>
      <c r="AH601" s="136">
        <v>0</v>
      </c>
      <c r="AI601" s="136">
        <v>2.14</v>
      </c>
      <c r="AJ601" s="136">
        <v>0</v>
      </c>
      <c r="AK601" s="136">
        <v>0.47</v>
      </c>
      <c r="AL601" s="136">
        <v>2.25</v>
      </c>
      <c r="AM601" s="136">
        <v>8.9199999999999982</v>
      </c>
      <c r="AN601" s="131"/>
      <c r="AO601" s="131"/>
      <c r="AP601" s="131"/>
      <c r="AQ601" s="131"/>
      <c r="AR601" s="131"/>
      <c r="AS601" s="131"/>
      <c r="AT601" s="131"/>
      <c r="AU601" s="91"/>
      <c r="AV601" s="91"/>
      <c r="AW601" s="131"/>
      <c r="AX601" s="131"/>
      <c r="AY601" s="131"/>
    </row>
    <row r="602" spans="1:51" ht="15" x14ac:dyDescent="0.25">
      <c r="A602" s="123"/>
      <c r="B602" s="124"/>
      <c r="C602" s="125">
        <v>276556</v>
      </c>
      <c r="D602" s="89"/>
      <c r="E602" s="86" t="s">
        <v>20</v>
      </c>
      <c r="F602" s="86" t="s">
        <v>418</v>
      </c>
      <c r="H602" s="126" t="s">
        <v>50</v>
      </c>
      <c r="I602" s="89">
        <v>1</v>
      </c>
      <c r="J602" s="127">
        <v>3157.5437999999999</v>
      </c>
      <c r="K602" s="127">
        <v>2616.88</v>
      </c>
      <c r="L602" s="127">
        <v>1264.8600000000001</v>
      </c>
      <c r="M602" s="127">
        <v>0</v>
      </c>
      <c r="N602" s="127">
        <v>0</v>
      </c>
      <c r="O602" s="127">
        <v>0</v>
      </c>
      <c r="P602" s="128">
        <f t="shared" si="81"/>
        <v>0</v>
      </c>
      <c r="Q602" s="128">
        <f t="shared" si="82"/>
        <v>0</v>
      </c>
      <c r="R602" s="128">
        <f t="shared" si="83"/>
        <v>0</v>
      </c>
      <c r="S602" s="129">
        <v>0</v>
      </c>
      <c r="T602" s="129">
        <v>0</v>
      </c>
      <c r="U602" s="129">
        <v>0</v>
      </c>
      <c r="V602" s="138">
        <f t="shared" si="84"/>
        <v>3</v>
      </c>
      <c r="W602" s="138">
        <f t="shared" si="85"/>
        <v>3</v>
      </c>
      <c r="X602" s="138">
        <f t="shared" si="86"/>
        <v>1</v>
      </c>
      <c r="Y602" s="138">
        <f t="shared" si="87"/>
        <v>0</v>
      </c>
      <c r="Z602" s="138">
        <f t="shared" si="88"/>
        <v>0</v>
      </c>
      <c r="AA602" s="138">
        <f t="shared" si="89"/>
        <v>0</v>
      </c>
      <c r="AB602" s="127" t="s">
        <v>31</v>
      </c>
      <c r="AC602" s="127"/>
      <c r="AD602" s="127"/>
      <c r="AE602" s="130"/>
      <c r="AF602" s="136">
        <v>0</v>
      </c>
      <c r="AG602" s="136">
        <v>4.0599999999999996</v>
      </c>
      <c r="AH602" s="136">
        <v>0</v>
      </c>
      <c r="AI602" s="136">
        <v>2.14</v>
      </c>
      <c r="AJ602" s="136">
        <v>0</v>
      </c>
      <c r="AK602" s="136">
        <v>0.47</v>
      </c>
      <c r="AL602" s="136">
        <v>2.25</v>
      </c>
      <c r="AM602" s="136">
        <v>8.9199999999999982</v>
      </c>
      <c r="AN602" s="131"/>
      <c r="AO602" s="131"/>
      <c r="AP602" s="131"/>
      <c r="AQ602" s="131"/>
      <c r="AR602" s="131"/>
      <c r="AS602" s="131"/>
      <c r="AT602" s="131"/>
      <c r="AU602" s="91"/>
      <c r="AV602" s="91"/>
      <c r="AW602" s="131"/>
      <c r="AX602" s="131"/>
      <c r="AY602" s="131"/>
    </row>
    <row r="603" spans="1:51" ht="15" x14ac:dyDescent="0.25">
      <c r="A603" s="123"/>
      <c r="B603" s="124"/>
      <c r="C603" s="125">
        <v>280354</v>
      </c>
      <c r="D603" s="89"/>
      <c r="E603" s="86" t="s">
        <v>20</v>
      </c>
      <c r="F603" s="86" t="s">
        <v>418</v>
      </c>
      <c r="H603" s="126" t="s">
        <v>50</v>
      </c>
      <c r="I603" s="89">
        <v>1</v>
      </c>
      <c r="J603" s="127">
        <v>3157.5437999999999</v>
      </c>
      <c r="K603" s="127">
        <v>2616.88</v>
      </c>
      <c r="L603" s="127">
        <v>1264.8600000000001</v>
      </c>
      <c r="M603" s="127">
        <v>0</v>
      </c>
      <c r="N603" s="127">
        <v>0</v>
      </c>
      <c r="O603" s="127">
        <v>0</v>
      </c>
      <c r="P603" s="128">
        <f t="shared" si="81"/>
        <v>0</v>
      </c>
      <c r="Q603" s="128">
        <f t="shared" si="82"/>
        <v>0</v>
      </c>
      <c r="R603" s="128">
        <f t="shared" si="83"/>
        <v>0</v>
      </c>
      <c r="S603" s="129">
        <v>0</v>
      </c>
      <c r="T603" s="129">
        <v>0</v>
      </c>
      <c r="U603" s="129">
        <v>0</v>
      </c>
      <c r="V603" s="138">
        <f t="shared" si="84"/>
        <v>3</v>
      </c>
      <c r="W603" s="138">
        <f t="shared" si="85"/>
        <v>3</v>
      </c>
      <c r="X603" s="138">
        <f t="shared" si="86"/>
        <v>1</v>
      </c>
      <c r="Y603" s="138">
        <f t="shared" si="87"/>
        <v>0</v>
      </c>
      <c r="Z603" s="138">
        <f t="shared" si="88"/>
        <v>0</v>
      </c>
      <c r="AA603" s="138">
        <f t="shared" si="89"/>
        <v>0</v>
      </c>
      <c r="AB603" s="127" t="s">
        <v>31</v>
      </c>
      <c r="AC603" s="127"/>
      <c r="AD603" s="127"/>
      <c r="AE603" s="130"/>
      <c r="AF603" s="136">
        <v>0</v>
      </c>
      <c r="AG603" s="136">
        <v>4.0599999999999996</v>
      </c>
      <c r="AH603" s="136">
        <v>0</v>
      </c>
      <c r="AI603" s="136">
        <v>2.14</v>
      </c>
      <c r="AJ603" s="136">
        <v>0</v>
      </c>
      <c r="AK603" s="136">
        <v>0.47</v>
      </c>
      <c r="AL603" s="136">
        <v>2.25</v>
      </c>
      <c r="AM603" s="136">
        <v>8.9199999999999982</v>
      </c>
      <c r="AN603" s="131"/>
      <c r="AO603" s="131"/>
      <c r="AP603" s="131"/>
      <c r="AQ603" s="131"/>
      <c r="AR603" s="131"/>
      <c r="AS603" s="131"/>
      <c r="AT603" s="131"/>
      <c r="AU603" s="91"/>
      <c r="AV603" s="91"/>
      <c r="AW603" s="131"/>
      <c r="AX603" s="131"/>
      <c r="AY603" s="131"/>
    </row>
    <row r="604" spans="1:51" ht="15" x14ac:dyDescent="0.25">
      <c r="A604" s="123"/>
      <c r="B604" s="124"/>
      <c r="C604" s="125">
        <v>284476</v>
      </c>
      <c r="D604" s="89"/>
      <c r="E604" s="86" t="s">
        <v>20</v>
      </c>
      <c r="F604" s="86" t="s">
        <v>418</v>
      </c>
      <c r="H604" s="126" t="s">
        <v>50</v>
      </c>
      <c r="I604" s="89">
        <v>1</v>
      </c>
      <c r="J604" s="127">
        <v>3157.5437999999999</v>
      </c>
      <c r="K604" s="127">
        <v>2616.88</v>
      </c>
      <c r="L604" s="127">
        <v>1264.8600000000001</v>
      </c>
      <c r="M604" s="127">
        <v>0</v>
      </c>
      <c r="N604" s="127">
        <v>0</v>
      </c>
      <c r="O604" s="127">
        <v>0</v>
      </c>
      <c r="P604" s="128">
        <f t="shared" si="81"/>
        <v>0</v>
      </c>
      <c r="Q604" s="128">
        <f t="shared" si="82"/>
        <v>0</v>
      </c>
      <c r="R604" s="128">
        <f t="shared" si="83"/>
        <v>0</v>
      </c>
      <c r="S604" s="129">
        <v>0</v>
      </c>
      <c r="T604" s="129">
        <v>0</v>
      </c>
      <c r="U604" s="129">
        <v>0</v>
      </c>
      <c r="V604" s="138">
        <f t="shared" si="84"/>
        <v>3</v>
      </c>
      <c r="W604" s="138">
        <f t="shared" si="85"/>
        <v>3</v>
      </c>
      <c r="X604" s="138">
        <f t="shared" si="86"/>
        <v>1</v>
      </c>
      <c r="Y604" s="138">
        <f t="shared" si="87"/>
        <v>0</v>
      </c>
      <c r="Z604" s="138">
        <f t="shared" si="88"/>
        <v>0</v>
      </c>
      <c r="AA604" s="138">
        <f t="shared" si="89"/>
        <v>0</v>
      </c>
      <c r="AB604" s="127" t="s">
        <v>31</v>
      </c>
      <c r="AC604" s="127"/>
      <c r="AD604" s="127"/>
      <c r="AE604" s="130"/>
      <c r="AF604" s="136">
        <v>0</v>
      </c>
      <c r="AG604" s="136">
        <v>4.0599999999999996</v>
      </c>
      <c r="AH604" s="136">
        <v>0</v>
      </c>
      <c r="AI604" s="136">
        <v>2.14</v>
      </c>
      <c r="AJ604" s="136">
        <v>0</v>
      </c>
      <c r="AK604" s="136">
        <v>0.47</v>
      </c>
      <c r="AL604" s="136">
        <v>2.25</v>
      </c>
      <c r="AM604" s="136">
        <v>8.9199999999999982</v>
      </c>
      <c r="AN604" s="131"/>
      <c r="AO604" s="131"/>
      <c r="AP604" s="131"/>
      <c r="AQ604" s="131"/>
      <c r="AR604" s="131"/>
      <c r="AS604" s="131"/>
      <c r="AT604" s="131"/>
      <c r="AU604" s="91"/>
      <c r="AV604" s="91"/>
      <c r="AW604" s="131"/>
      <c r="AX604" s="131"/>
      <c r="AY604" s="131"/>
    </row>
    <row r="605" spans="1:51" ht="15" x14ac:dyDescent="0.25">
      <c r="A605" s="123"/>
      <c r="B605" s="124"/>
      <c r="C605" s="125">
        <v>405231</v>
      </c>
      <c r="D605" s="89"/>
      <c r="E605" s="86" t="s">
        <v>20</v>
      </c>
      <c r="F605" s="86" t="s">
        <v>418</v>
      </c>
      <c r="H605" s="126" t="s">
        <v>50</v>
      </c>
      <c r="I605" s="89">
        <v>1</v>
      </c>
      <c r="J605" s="127">
        <v>3157.5437999999999</v>
      </c>
      <c r="K605" s="127">
        <v>2616.88</v>
      </c>
      <c r="L605" s="127">
        <v>1264.8600000000001</v>
      </c>
      <c r="M605" s="127">
        <v>0</v>
      </c>
      <c r="N605" s="127">
        <v>0</v>
      </c>
      <c r="O605" s="127">
        <v>0</v>
      </c>
      <c r="P605" s="128">
        <f t="shared" si="81"/>
        <v>0</v>
      </c>
      <c r="Q605" s="128">
        <f t="shared" si="82"/>
        <v>0</v>
      </c>
      <c r="R605" s="128">
        <f t="shared" si="83"/>
        <v>0</v>
      </c>
      <c r="S605" s="129">
        <v>0</v>
      </c>
      <c r="T605" s="129">
        <v>0</v>
      </c>
      <c r="U605" s="129">
        <v>0</v>
      </c>
      <c r="V605" s="138">
        <f t="shared" si="84"/>
        <v>3</v>
      </c>
      <c r="W605" s="138">
        <f t="shared" si="85"/>
        <v>3</v>
      </c>
      <c r="X605" s="138">
        <f t="shared" si="86"/>
        <v>1</v>
      </c>
      <c r="Y605" s="138">
        <f t="shared" si="87"/>
        <v>0</v>
      </c>
      <c r="Z605" s="138">
        <f t="shared" si="88"/>
        <v>0</v>
      </c>
      <c r="AA605" s="138">
        <f t="shared" si="89"/>
        <v>0</v>
      </c>
      <c r="AB605" s="127" t="s">
        <v>31</v>
      </c>
      <c r="AC605" s="127"/>
      <c r="AD605" s="127"/>
      <c r="AE605" s="130"/>
      <c r="AF605" s="136">
        <v>0</v>
      </c>
      <c r="AG605" s="136">
        <v>4.0599999999999996</v>
      </c>
      <c r="AH605" s="136">
        <v>0</v>
      </c>
      <c r="AI605" s="136">
        <v>2.14</v>
      </c>
      <c r="AJ605" s="136">
        <v>0</v>
      </c>
      <c r="AK605" s="136">
        <v>0.47</v>
      </c>
      <c r="AL605" s="136">
        <v>2.25</v>
      </c>
      <c r="AM605" s="136">
        <v>8.9199999999999982</v>
      </c>
      <c r="AN605" s="131"/>
      <c r="AO605" s="131"/>
      <c r="AP605" s="131"/>
      <c r="AQ605" s="131"/>
      <c r="AR605" s="131"/>
      <c r="AS605" s="131"/>
      <c r="AT605" s="131"/>
      <c r="AU605" s="91"/>
      <c r="AV605" s="91"/>
      <c r="AW605" s="131"/>
      <c r="AX605" s="131"/>
      <c r="AY605" s="131"/>
    </row>
    <row r="606" spans="1:51" ht="15" x14ac:dyDescent="0.25">
      <c r="A606" s="123"/>
      <c r="B606" s="124"/>
      <c r="C606" s="125">
        <v>435089</v>
      </c>
      <c r="D606" s="89"/>
      <c r="E606" s="86" t="s">
        <v>20</v>
      </c>
      <c r="F606" s="86" t="s">
        <v>418</v>
      </c>
      <c r="H606" s="126" t="s">
        <v>50</v>
      </c>
      <c r="I606" s="89">
        <v>1</v>
      </c>
      <c r="J606" s="127">
        <v>3157.5437999999999</v>
      </c>
      <c r="K606" s="127">
        <v>2616.88</v>
      </c>
      <c r="L606" s="127">
        <v>1264.8600000000001</v>
      </c>
      <c r="M606" s="127">
        <v>0</v>
      </c>
      <c r="N606" s="127">
        <v>0</v>
      </c>
      <c r="O606" s="127">
        <v>0</v>
      </c>
      <c r="P606" s="128">
        <f t="shared" si="81"/>
        <v>0</v>
      </c>
      <c r="Q606" s="128">
        <f t="shared" si="82"/>
        <v>0</v>
      </c>
      <c r="R606" s="128">
        <f t="shared" si="83"/>
        <v>0</v>
      </c>
      <c r="S606" s="129">
        <v>0</v>
      </c>
      <c r="T606" s="129">
        <v>0</v>
      </c>
      <c r="U606" s="129">
        <v>0</v>
      </c>
      <c r="V606" s="138">
        <f t="shared" si="84"/>
        <v>3</v>
      </c>
      <c r="W606" s="138">
        <f t="shared" si="85"/>
        <v>3</v>
      </c>
      <c r="X606" s="138">
        <f t="shared" si="86"/>
        <v>1</v>
      </c>
      <c r="Y606" s="138">
        <f t="shared" si="87"/>
        <v>0</v>
      </c>
      <c r="Z606" s="138">
        <f t="shared" si="88"/>
        <v>0</v>
      </c>
      <c r="AA606" s="138">
        <f t="shared" si="89"/>
        <v>0</v>
      </c>
      <c r="AB606" s="127" t="s">
        <v>31</v>
      </c>
      <c r="AC606" s="127"/>
      <c r="AD606" s="127"/>
      <c r="AE606" s="130"/>
      <c r="AF606" s="136">
        <v>0</v>
      </c>
      <c r="AG606" s="136">
        <v>4.0599999999999996</v>
      </c>
      <c r="AH606" s="136">
        <v>0</v>
      </c>
      <c r="AI606" s="136">
        <v>2.14</v>
      </c>
      <c r="AJ606" s="136">
        <v>0</v>
      </c>
      <c r="AK606" s="136">
        <v>0.47</v>
      </c>
      <c r="AL606" s="136">
        <v>2.25</v>
      </c>
      <c r="AM606" s="136">
        <v>8.9199999999999982</v>
      </c>
      <c r="AN606" s="131"/>
      <c r="AO606" s="131"/>
      <c r="AP606" s="131"/>
      <c r="AQ606" s="131"/>
      <c r="AR606" s="131"/>
      <c r="AS606" s="131"/>
      <c r="AT606" s="131"/>
      <c r="AU606" s="91"/>
      <c r="AV606" s="91"/>
      <c r="AW606" s="131"/>
      <c r="AX606" s="131"/>
      <c r="AY606" s="131"/>
    </row>
    <row r="607" spans="1:51" ht="15" x14ac:dyDescent="0.25">
      <c r="A607" s="123"/>
      <c r="B607" s="124"/>
      <c r="C607" s="125">
        <v>443906</v>
      </c>
      <c r="D607" s="89"/>
      <c r="E607" s="86" t="s">
        <v>20</v>
      </c>
      <c r="F607" s="86" t="s">
        <v>418</v>
      </c>
      <c r="H607" s="126" t="s">
        <v>50</v>
      </c>
      <c r="I607" s="89">
        <v>1</v>
      </c>
      <c r="J607" s="127">
        <v>3157.5437999999999</v>
      </c>
      <c r="K607" s="127">
        <v>2616.88</v>
      </c>
      <c r="L607" s="127">
        <v>1264.8600000000001</v>
      </c>
      <c r="M607" s="127">
        <v>0</v>
      </c>
      <c r="N607" s="127">
        <v>0</v>
      </c>
      <c r="O607" s="127">
        <v>0</v>
      </c>
      <c r="P607" s="128">
        <f t="shared" si="81"/>
        <v>0</v>
      </c>
      <c r="Q607" s="128">
        <f t="shared" si="82"/>
        <v>0</v>
      </c>
      <c r="R607" s="128">
        <f t="shared" si="83"/>
        <v>0</v>
      </c>
      <c r="S607" s="129">
        <v>0</v>
      </c>
      <c r="T607" s="129">
        <v>0</v>
      </c>
      <c r="U607" s="129">
        <v>0</v>
      </c>
      <c r="V607" s="138">
        <f t="shared" si="84"/>
        <v>3</v>
      </c>
      <c r="W607" s="138">
        <f t="shared" si="85"/>
        <v>3</v>
      </c>
      <c r="X607" s="138">
        <f t="shared" si="86"/>
        <v>1</v>
      </c>
      <c r="Y607" s="138">
        <f t="shared" si="87"/>
        <v>0</v>
      </c>
      <c r="Z607" s="138">
        <f t="shared" si="88"/>
        <v>0</v>
      </c>
      <c r="AA607" s="138">
        <f t="shared" si="89"/>
        <v>0</v>
      </c>
      <c r="AB607" s="127" t="s">
        <v>31</v>
      </c>
      <c r="AC607" s="127"/>
      <c r="AD607" s="127"/>
      <c r="AE607" s="130"/>
      <c r="AF607" s="136">
        <v>0</v>
      </c>
      <c r="AG607" s="136">
        <v>4.0599999999999996</v>
      </c>
      <c r="AH607" s="136">
        <v>0</v>
      </c>
      <c r="AI607" s="136">
        <v>2.14</v>
      </c>
      <c r="AJ607" s="136">
        <v>0</v>
      </c>
      <c r="AK607" s="136">
        <v>0.47</v>
      </c>
      <c r="AL607" s="136">
        <v>2.25</v>
      </c>
      <c r="AM607" s="136">
        <v>8.9199999999999982</v>
      </c>
      <c r="AN607" s="131"/>
      <c r="AO607" s="131"/>
      <c r="AP607" s="131"/>
      <c r="AQ607" s="131"/>
      <c r="AR607" s="131"/>
      <c r="AS607" s="131"/>
      <c r="AT607" s="131"/>
      <c r="AU607" s="91"/>
      <c r="AV607" s="91"/>
      <c r="AW607" s="131"/>
      <c r="AX607" s="131"/>
      <c r="AY607" s="131"/>
    </row>
    <row r="608" spans="1:51" ht="15" x14ac:dyDescent="0.25">
      <c r="A608" s="123"/>
      <c r="B608" s="124"/>
      <c r="C608" s="125">
        <v>488854</v>
      </c>
      <c r="D608" s="89"/>
      <c r="E608" s="86" t="s">
        <v>20</v>
      </c>
      <c r="F608" s="86" t="s">
        <v>418</v>
      </c>
      <c r="H608" s="126" t="s">
        <v>50</v>
      </c>
      <c r="I608" s="89">
        <v>1</v>
      </c>
      <c r="J608" s="127">
        <v>3157.5437999999999</v>
      </c>
      <c r="K608" s="127">
        <v>2616.88</v>
      </c>
      <c r="L608" s="127">
        <v>1264.8600000000001</v>
      </c>
      <c r="M608" s="127">
        <v>0</v>
      </c>
      <c r="N608" s="127">
        <v>0</v>
      </c>
      <c r="O608" s="127">
        <v>0</v>
      </c>
      <c r="P608" s="128">
        <f t="shared" si="81"/>
        <v>0</v>
      </c>
      <c r="Q608" s="128">
        <f t="shared" si="82"/>
        <v>0</v>
      </c>
      <c r="R608" s="128">
        <f t="shared" si="83"/>
        <v>0</v>
      </c>
      <c r="S608" s="129">
        <v>0</v>
      </c>
      <c r="T608" s="129">
        <v>0</v>
      </c>
      <c r="U608" s="129">
        <v>0</v>
      </c>
      <c r="V608" s="138">
        <f t="shared" si="84"/>
        <v>3</v>
      </c>
      <c r="W608" s="138">
        <f t="shared" si="85"/>
        <v>3</v>
      </c>
      <c r="X608" s="138">
        <f t="shared" si="86"/>
        <v>1</v>
      </c>
      <c r="Y608" s="138">
        <f t="shared" si="87"/>
        <v>0</v>
      </c>
      <c r="Z608" s="138">
        <f t="shared" si="88"/>
        <v>0</v>
      </c>
      <c r="AA608" s="138">
        <f t="shared" si="89"/>
        <v>0</v>
      </c>
      <c r="AB608" s="127" t="s">
        <v>31</v>
      </c>
      <c r="AC608" s="127"/>
      <c r="AD608" s="127"/>
      <c r="AE608" s="130"/>
      <c r="AF608" s="136">
        <v>0</v>
      </c>
      <c r="AG608" s="136">
        <v>4.0599999999999996</v>
      </c>
      <c r="AH608" s="136">
        <v>0</v>
      </c>
      <c r="AI608" s="136">
        <v>2.14</v>
      </c>
      <c r="AJ608" s="136">
        <v>0</v>
      </c>
      <c r="AK608" s="136">
        <v>0.47</v>
      </c>
      <c r="AL608" s="136">
        <v>2.25</v>
      </c>
      <c r="AM608" s="136">
        <v>8.9199999999999982</v>
      </c>
      <c r="AN608" s="131"/>
      <c r="AO608" s="131"/>
      <c r="AP608" s="131"/>
      <c r="AQ608" s="131"/>
      <c r="AR608" s="131"/>
      <c r="AS608" s="131"/>
      <c r="AT608" s="131"/>
      <c r="AU608" s="91"/>
      <c r="AV608" s="91"/>
      <c r="AW608" s="131"/>
      <c r="AX608" s="131"/>
      <c r="AY608" s="131"/>
    </row>
    <row r="609" spans="1:51" ht="15" x14ac:dyDescent="0.25">
      <c r="A609" s="123"/>
      <c r="B609" s="124"/>
      <c r="C609" s="125">
        <v>552189</v>
      </c>
      <c r="D609" s="89"/>
      <c r="E609" s="86" t="s">
        <v>20</v>
      </c>
      <c r="F609" s="86" t="s">
        <v>418</v>
      </c>
      <c r="H609" s="126" t="s">
        <v>50</v>
      </c>
      <c r="I609" s="89">
        <v>1</v>
      </c>
      <c r="J609" s="127">
        <v>3157.5437999999999</v>
      </c>
      <c r="K609" s="127">
        <v>2616.88</v>
      </c>
      <c r="L609" s="127">
        <v>1264.8600000000001</v>
      </c>
      <c r="M609" s="127">
        <v>0</v>
      </c>
      <c r="N609" s="127">
        <v>0</v>
      </c>
      <c r="O609" s="127">
        <v>0</v>
      </c>
      <c r="P609" s="128">
        <f t="shared" si="81"/>
        <v>0</v>
      </c>
      <c r="Q609" s="128">
        <f t="shared" si="82"/>
        <v>0</v>
      </c>
      <c r="R609" s="128">
        <f t="shared" si="83"/>
        <v>0</v>
      </c>
      <c r="S609" s="129">
        <v>0</v>
      </c>
      <c r="T609" s="129">
        <v>0</v>
      </c>
      <c r="U609" s="129">
        <v>0</v>
      </c>
      <c r="V609" s="138">
        <f t="shared" si="84"/>
        <v>3</v>
      </c>
      <c r="W609" s="138">
        <f t="shared" si="85"/>
        <v>3</v>
      </c>
      <c r="X609" s="138">
        <f t="shared" si="86"/>
        <v>1</v>
      </c>
      <c r="Y609" s="138">
        <f t="shared" si="87"/>
        <v>0</v>
      </c>
      <c r="Z609" s="138">
        <f t="shared" si="88"/>
        <v>0</v>
      </c>
      <c r="AA609" s="138">
        <f t="shared" si="89"/>
        <v>0</v>
      </c>
      <c r="AB609" s="127" t="s">
        <v>31</v>
      </c>
      <c r="AC609" s="127"/>
      <c r="AD609" s="127"/>
      <c r="AE609" s="130"/>
      <c r="AF609" s="136">
        <v>0</v>
      </c>
      <c r="AG609" s="136">
        <v>4.0599999999999996</v>
      </c>
      <c r="AH609" s="136">
        <v>0</v>
      </c>
      <c r="AI609" s="136">
        <v>2.14</v>
      </c>
      <c r="AJ609" s="136">
        <v>0</v>
      </c>
      <c r="AK609" s="136">
        <v>0.47</v>
      </c>
      <c r="AL609" s="136">
        <v>2.25</v>
      </c>
      <c r="AM609" s="136">
        <v>8.9199999999999982</v>
      </c>
      <c r="AN609" s="131"/>
      <c r="AO609" s="131"/>
      <c r="AP609" s="131"/>
      <c r="AQ609" s="131"/>
      <c r="AR609" s="131"/>
      <c r="AS609" s="131"/>
      <c r="AT609" s="131"/>
      <c r="AU609" s="91"/>
      <c r="AV609" s="91"/>
      <c r="AW609" s="131"/>
      <c r="AX609" s="131"/>
      <c r="AY609" s="131"/>
    </row>
    <row r="610" spans="1:51" ht="15" x14ac:dyDescent="0.25">
      <c r="A610" s="123"/>
      <c r="B610" s="124"/>
      <c r="C610" s="125">
        <v>656773</v>
      </c>
      <c r="D610" s="89"/>
      <c r="E610" s="86" t="s">
        <v>20</v>
      </c>
      <c r="F610" s="86" t="s">
        <v>418</v>
      </c>
      <c r="H610" s="126" t="s">
        <v>50</v>
      </c>
      <c r="I610" s="89">
        <v>1</v>
      </c>
      <c r="J610" s="127">
        <v>3157.5437999999999</v>
      </c>
      <c r="K610" s="127">
        <v>2616.88</v>
      </c>
      <c r="L610" s="127">
        <v>1264.8600000000001</v>
      </c>
      <c r="M610" s="127">
        <v>0</v>
      </c>
      <c r="N610" s="127">
        <v>0</v>
      </c>
      <c r="O610" s="127">
        <v>0</v>
      </c>
      <c r="P610" s="128">
        <f t="shared" si="81"/>
        <v>0</v>
      </c>
      <c r="Q610" s="128">
        <f t="shared" si="82"/>
        <v>0</v>
      </c>
      <c r="R610" s="128">
        <f t="shared" si="83"/>
        <v>0</v>
      </c>
      <c r="S610" s="129">
        <v>0</v>
      </c>
      <c r="T610" s="129">
        <v>0</v>
      </c>
      <c r="U610" s="129">
        <v>0</v>
      </c>
      <c r="V610" s="138">
        <f t="shared" si="84"/>
        <v>3</v>
      </c>
      <c r="W610" s="138">
        <f t="shared" si="85"/>
        <v>3</v>
      </c>
      <c r="X610" s="138">
        <f t="shared" si="86"/>
        <v>1</v>
      </c>
      <c r="Y610" s="138">
        <f t="shared" si="87"/>
        <v>0</v>
      </c>
      <c r="Z610" s="138">
        <f t="shared" si="88"/>
        <v>0</v>
      </c>
      <c r="AA610" s="138">
        <f t="shared" si="89"/>
        <v>0</v>
      </c>
      <c r="AB610" s="127" t="s">
        <v>31</v>
      </c>
      <c r="AC610" s="127"/>
      <c r="AD610" s="127"/>
      <c r="AE610" s="130"/>
      <c r="AF610" s="136">
        <v>0</v>
      </c>
      <c r="AG610" s="136">
        <v>4.0599999999999996</v>
      </c>
      <c r="AH610" s="136">
        <v>0</v>
      </c>
      <c r="AI610" s="136">
        <v>2.14</v>
      </c>
      <c r="AJ610" s="136">
        <v>0</v>
      </c>
      <c r="AK610" s="136">
        <v>0.47</v>
      </c>
      <c r="AL610" s="136">
        <v>2.25</v>
      </c>
      <c r="AM610" s="136">
        <v>8.9199999999999982</v>
      </c>
      <c r="AN610" s="131"/>
      <c r="AO610" s="131"/>
      <c r="AP610" s="131"/>
      <c r="AQ610" s="131"/>
      <c r="AR610" s="131"/>
      <c r="AS610" s="131"/>
      <c r="AT610" s="131"/>
      <c r="AU610" s="91"/>
      <c r="AV610" s="91"/>
      <c r="AW610" s="131"/>
      <c r="AX610" s="131"/>
      <c r="AY610" s="131"/>
    </row>
    <row r="611" spans="1:51" ht="15" x14ac:dyDescent="0.25">
      <c r="A611" s="123"/>
      <c r="B611" s="124"/>
      <c r="C611" s="125">
        <v>662960</v>
      </c>
      <c r="D611" s="89"/>
      <c r="E611" s="86" t="s">
        <v>20</v>
      </c>
      <c r="F611" s="86" t="s">
        <v>418</v>
      </c>
      <c r="H611" s="126" t="s">
        <v>50</v>
      </c>
      <c r="I611" s="89">
        <v>1</v>
      </c>
      <c r="J611" s="127">
        <v>3157.5437999999999</v>
      </c>
      <c r="K611" s="127">
        <v>2616.88</v>
      </c>
      <c r="L611" s="127">
        <v>1264.8600000000001</v>
      </c>
      <c r="M611" s="127">
        <v>0</v>
      </c>
      <c r="N611" s="127">
        <v>0</v>
      </c>
      <c r="O611" s="127">
        <v>0</v>
      </c>
      <c r="P611" s="128">
        <f t="shared" si="81"/>
        <v>0</v>
      </c>
      <c r="Q611" s="128">
        <f t="shared" si="82"/>
        <v>0</v>
      </c>
      <c r="R611" s="128">
        <f t="shared" si="83"/>
        <v>0</v>
      </c>
      <c r="S611" s="129">
        <v>0</v>
      </c>
      <c r="T611" s="129">
        <v>0</v>
      </c>
      <c r="U611" s="129">
        <v>0</v>
      </c>
      <c r="V611" s="138">
        <f t="shared" si="84"/>
        <v>3</v>
      </c>
      <c r="W611" s="138">
        <f t="shared" si="85"/>
        <v>3</v>
      </c>
      <c r="X611" s="138">
        <f t="shared" si="86"/>
        <v>1</v>
      </c>
      <c r="Y611" s="138">
        <f t="shared" si="87"/>
        <v>0</v>
      </c>
      <c r="Z611" s="138">
        <f t="shared" si="88"/>
        <v>0</v>
      </c>
      <c r="AA611" s="138">
        <f t="shared" si="89"/>
        <v>0</v>
      </c>
      <c r="AB611" s="127" t="s">
        <v>31</v>
      </c>
      <c r="AC611" s="127"/>
      <c r="AD611" s="127"/>
      <c r="AE611" s="130"/>
      <c r="AF611" s="136">
        <v>0</v>
      </c>
      <c r="AG611" s="136">
        <v>4.0599999999999996</v>
      </c>
      <c r="AH611" s="136">
        <v>0</v>
      </c>
      <c r="AI611" s="136">
        <v>2.14</v>
      </c>
      <c r="AJ611" s="136">
        <v>0</v>
      </c>
      <c r="AK611" s="136">
        <v>0.47</v>
      </c>
      <c r="AL611" s="136">
        <v>2.25</v>
      </c>
      <c r="AM611" s="136">
        <v>8.9199999999999982</v>
      </c>
      <c r="AN611" s="131"/>
      <c r="AO611" s="131"/>
      <c r="AP611" s="131"/>
      <c r="AQ611" s="131"/>
      <c r="AR611" s="131"/>
      <c r="AS611" s="131"/>
      <c r="AT611" s="131"/>
      <c r="AU611" s="91"/>
      <c r="AV611" s="91"/>
      <c r="AW611" s="131"/>
      <c r="AX611" s="131"/>
      <c r="AY611" s="131"/>
    </row>
    <row r="612" spans="1:51" ht="15" x14ac:dyDescent="0.25">
      <c r="A612" s="123"/>
      <c r="B612" s="124"/>
      <c r="C612" s="125">
        <v>674544</v>
      </c>
      <c r="D612" s="89"/>
      <c r="E612" s="86" t="s">
        <v>20</v>
      </c>
      <c r="F612" s="86" t="s">
        <v>418</v>
      </c>
      <c r="H612" s="126" t="s">
        <v>50</v>
      </c>
      <c r="I612" s="89">
        <v>1</v>
      </c>
      <c r="J612" s="127">
        <v>3157.5437999999999</v>
      </c>
      <c r="K612" s="127">
        <v>2616.88</v>
      </c>
      <c r="L612" s="127">
        <v>1264.8600000000001</v>
      </c>
      <c r="M612" s="127">
        <v>0</v>
      </c>
      <c r="N612" s="127">
        <v>0</v>
      </c>
      <c r="O612" s="127">
        <v>0</v>
      </c>
      <c r="P612" s="128">
        <f t="shared" si="81"/>
        <v>0</v>
      </c>
      <c r="Q612" s="128">
        <f t="shared" si="82"/>
        <v>0</v>
      </c>
      <c r="R612" s="128">
        <f t="shared" si="83"/>
        <v>0</v>
      </c>
      <c r="S612" s="129">
        <v>0</v>
      </c>
      <c r="T612" s="129">
        <v>0</v>
      </c>
      <c r="U612" s="129">
        <v>0</v>
      </c>
      <c r="V612" s="138">
        <f t="shared" si="84"/>
        <v>3</v>
      </c>
      <c r="W612" s="138">
        <f t="shared" si="85"/>
        <v>3</v>
      </c>
      <c r="X612" s="138">
        <f t="shared" si="86"/>
        <v>1</v>
      </c>
      <c r="Y612" s="138">
        <f t="shared" si="87"/>
        <v>0</v>
      </c>
      <c r="Z612" s="138">
        <f t="shared" si="88"/>
        <v>0</v>
      </c>
      <c r="AA612" s="138">
        <f t="shared" si="89"/>
        <v>0</v>
      </c>
      <c r="AB612" s="127" t="s">
        <v>31</v>
      </c>
      <c r="AC612" s="127"/>
      <c r="AD612" s="127"/>
      <c r="AE612" s="130"/>
      <c r="AF612" s="136">
        <v>0</v>
      </c>
      <c r="AG612" s="136">
        <v>4.0599999999999996</v>
      </c>
      <c r="AH612" s="136">
        <v>0</v>
      </c>
      <c r="AI612" s="136">
        <v>2.14</v>
      </c>
      <c r="AJ612" s="136">
        <v>0</v>
      </c>
      <c r="AK612" s="136">
        <v>0.47</v>
      </c>
      <c r="AL612" s="136">
        <v>2.25</v>
      </c>
      <c r="AM612" s="136">
        <v>8.9199999999999982</v>
      </c>
      <c r="AN612" s="131"/>
      <c r="AO612" s="131"/>
      <c r="AP612" s="131"/>
      <c r="AQ612" s="131"/>
      <c r="AR612" s="131"/>
      <c r="AS612" s="131"/>
      <c r="AT612" s="131"/>
      <c r="AU612" s="91"/>
      <c r="AV612" s="91"/>
      <c r="AW612" s="131"/>
      <c r="AX612" s="131"/>
      <c r="AY612" s="131"/>
    </row>
    <row r="613" spans="1:51" ht="15" x14ac:dyDescent="0.25">
      <c r="A613" s="123"/>
      <c r="B613" s="124"/>
      <c r="C613" s="125">
        <v>693971</v>
      </c>
      <c r="D613" s="89"/>
      <c r="E613" s="86" t="s">
        <v>20</v>
      </c>
      <c r="F613" s="86" t="s">
        <v>418</v>
      </c>
      <c r="H613" s="126" t="s">
        <v>50</v>
      </c>
      <c r="I613" s="89">
        <v>1</v>
      </c>
      <c r="J613" s="127">
        <v>3157.5437999999999</v>
      </c>
      <c r="K613" s="127">
        <v>2616.88</v>
      </c>
      <c r="L613" s="127">
        <v>1264.8600000000001</v>
      </c>
      <c r="M613" s="127">
        <v>0</v>
      </c>
      <c r="N613" s="127">
        <v>0</v>
      </c>
      <c r="O613" s="127">
        <v>0</v>
      </c>
      <c r="P613" s="128">
        <f t="shared" si="81"/>
        <v>0</v>
      </c>
      <c r="Q613" s="128">
        <f t="shared" si="82"/>
        <v>0</v>
      </c>
      <c r="R613" s="128">
        <f t="shared" si="83"/>
        <v>0</v>
      </c>
      <c r="S613" s="129">
        <v>0</v>
      </c>
      <c r="T613" s="129">
        <v>0</v>
      </c>
      <c r="U613" s="129">
        <v>0</v>
      </c>
      <c r="V613" s="138">
        <f t="shared" si="84"/>
        <v>3</v>
      </c>
      <c r="W613" s="138">
        <f t="shared" si="85"/>
        <v>3</v>
      </c>
      <c r="X613" s="138">
        <f t="shared" si="86"/>
        <v>1</v>
      </c>
      <c r="Y613" s="138">
        <f t="shared" si="87"/>
        <v>0</v>
      </c>
      <c r="Z613" s="138">
        <f t="shared" si="88"/>
        <v>0</v>
      </c>
      <c r="AA613" s="138">
        <f t="shared" si="89"/>
        <v>0</v>
      </c>
      <c r="AB613" s="127" t="s">
        <v>31</v>
      </c>
      <c r="AC613" s="127"/>
      <c r="AD613" s="127"/>
      <c r="AE613" s="130"/>
      <c r="AF613" s="136">
        <v>0</v>
      </c>
      <c r="AG613" s="136">
        <v>4.0599999999999996</v>
      </c>
      <c r="AH613" s="136">
        <v>0</v>
      </c>
      <c r="AI613" s="136">
        <v>2.14</v>
      </c>
      <c r="AJ613" s="136">
        <v>0</v>
      </c>
      <c r="AK613" s="136">
        <v>0.47</v>
      </c>
      <c r="AL613" s="136">
        <v>2.25</v>
      </c>
      <c r="AM613" s="136">
        <v>8.9199999999999982</v>
      </c>
      <c r="AN613" s="131"/>
      <c r="AO613" s="131"/>
      <c r="AP613" s="131"/>
      <c r="AQ613" s="131"/>
      <c r="AR613" s="131"/>
      <c r="AS613" s="131"/>
      <c r="AT613" s="131"/>
      <c r="AU613" s="91"/>
      <c r="AV613" s="91"/>
      <c r="AW613" s="131"/>
      <c r="AX613" s="131"/>
      <c r="AY613" s="131"/>
    </row>
    <row r="614" spans="1:51" ht="15" x14ac:dyDescent="0.25">
      <c r="A614" s="123"/>
      <c r="B614" s="124"/>
      <c r="C614" s="125">
        <v>732242</v>
      </c>
      <c r="D614" s="89"/>
      <c r="E614" s="86" t="s">
        <v>20</v>
      </c>
      <c r="F614" s="86" t="s">
        <v>418</v>
      </c>
      <c r="H614" s="126" t="s">
        <v>50</v>
      </c>
      <c r="I614" s="89">
        <v>1</v>
      </c>
      <c r="J614" s="127">
        <v>3157.5437999999999</v>
      </c>
      <c r="K614" s="127">
        <v>2616.88</v>
      </c>
      <c r="L614" s="127">
        <v>1264.8600000000001</v>
      </c>
      <c r="M614" s="127">
        <v>0</v>
      </c>
      <c r="N614" s="127">
        <v>0</v>
      </c>
      <c r="O614" s="127">
        <v>0</v>
      </c>
      <c r="P614" s="128">
        <f t="shared" si="81"/>
        <v>0</v>
      </c>
      <c r="Q614" s="128">
        <f t="shared" si="82"/>
        <v>0</v>
      </c>
      <c r="R614" s="128">
        <f t="shared" si="83"/>
        <v>0</v>
      </c>
      <c r="S614" s="129">
        <v>0</v>
      </c>
      <c r="T614" s="129">
        <v>0</v>
      </c>
      <c r="U614" s="129">
        <v>0</v>
      </c>
      <c r="V614" s="138">
        <f t="shared" si="84"/>
        <v>3</v>
      </c>
      <c r="W614" s="138">
        <f t="shared" si="85"/>
        <v>3</v>
      </c>
      <c r="X614" s="138">
        <f t="shared" si="86"/>
        <v>1</v>
      </c>
      <c r="Y614" s="138">
        <f t="shared" si="87"/>
        <v>0</v>
      </c>
      <c r="Z614" s="138">
        <f t="shared" si="88"/>
        <v>0</v>
      </c>
      <c r="AA614" s="138">
        <f t="shared" si="89"/>
        <v>0</v>
      </c>
      <c r="AB614" s="127" t="s">
        <v>31</v>
      </c>
      <c r="AC614" s="127"/>
      <c r="AD614" s="127"/>
      <c r="AE614" s="130"/>
      <c r="AF614" s="136">
        <v>0</v>
      </c>
      <c r="AG614" s="136">
        <v>4.0599999999999996</v>
      </c>
      <c r="AH614" s="136">
        <v>0</v>
      </c>
      <c r="AI614" s="136">
        <v>2.14</v>
      </c>
      <c r="AJ614" s="136">
        <v>0</v>
      </c>
      <c r="AK614" s="136">
        <v>0.47</v>
      </c>
      <c r="AL614" s="136">
        <v>2.25</v>
      </c>
      <c r="AM614" s="136">
        <v>8.9199999999999982</v>
      </c>
      <c r="AN614" s="131"/>
      <c r="AO614" s="131"/>
      <c r="AP614" s="131"/>
      <c r="AQ614" s="131"/>
      <c r="AR614" s="131"/>
      <c r="AS614" s="131"/>
      <c r="AT614" s="131"/>
      <c r="AU614" s="91"/>
      <c r="AV614" s="91"/>
      <c r="AW614" s="131"/>
      <c r="AX614" s="131"/>
      <c r="AY614" s="131"/>
    </row>
    <row r="615" spans="1:51" ht="15" x14ac:dyDescent="0.25">
      <c r="A615" s="123"/>
      <c r="B615" s="124"/>
      <c r="C615" s="125">
        <v>738882</v>
      </c>
      <c r="D615" s="89"/>
      <c r="E615" s="86" t="s">
        <v>20</v>
      </c>
      <c r="F615" s="86" t="s">
        <v>418</v>
      </c>
      <c r="H615" s="126" t="s">
        <v>50</v>
      </c>
      <c r="I615" s="89">
        <v>1</v>
      </c>
      <c r="J615" s="127">
        <v>3157.5437999999999</v>
      </c>
      <c r="K615" s="127">
        <v>2616.88</v>
      </c>
      <c r="L615" s="127">
        <v>1264.8600000000001</v>
      </c>
      <c r="M615" s="127">
        <v>0</v>
      </c>
      <c r="N615" s="127">
        <v>0</v>
      </c>
      <c r="O615" s="127">
        <v>0</v>
      </c>
      <c r="P615" s="128">
        <f t="shared" si="81"/>
        <v>0</v>
      </c>
      <c r="Q615" s="128">
        <f t="shared" si="82"/>
        <v>0</v>
      </c>
      <c r="R615" s="128">
        <f t="shared" si="83"/>
        <v>0</v>
      </c>
      <c r="S615" s="129">
        <v>0</v>
      </c>
      <c r="T615" s="129">
        <v>0</v>
      </c>
      <c r="U615" s="129">
        <v>0</v>
      </c>
      <c r="V615" s="138">
        <f t="shared" si="84"/>
        <v>3</v>
      </c>
      <c r="W615" s="138">
        <f t="shared" si="85"/>
        <v>3</v>
      </c>
      <c r="X615" s="138">
        <f t="shared" si="86"/>
        <v>1</v>
      </c>
      <c r="Y615" s="138">
        <f t="shared" si="87"/>
        <v>0</v>
      </c>
      <c r="Z615" s="138">
        <f t="shared" si="88"/>
        <v>0</v>
      </c>
      <c r="AA615" s="138">
        <f t="shared" si="89"/>
        <v>0</v>
      </c>
      <c r="AB615" s="127" t="s">
        <v>31</v>
      </c>
      <c r="AC615" s="127"/>
      <c r="AD615" s="127"/>
      <c r="AE615" s="130"/>
      <c r="AF615" s="136">
        <v>0</v>
      </c>
      <c r="AG615" s="136">
        <v>4.0599999999999996</v>
      </c>
      <c r="AH615" s="136">
        <v>0</v>
      </c>
      <c r="AI615" s="136">
        <v>2.14</v>
      </c>
      <c r="AJ615" s="136">
        <v>0</v>
      </c>
      <c r="AK615" s="136">
        <v>0.47</v>
      </c>
      <c r="AL615" s="136">
        <v>2.25</v>
      </c>
      <c r="AM615" s="136">
        <v>8.9199999999999982</v>
      </c>
      <c r="AN615" s="131"/>
      <c r="AO615" s="131"/>
      <c r="AP615" s="131"/>
      <c r="AQ615" s="131"/>
      <c r="AR615" s="131"/>
      <c r="AS615" s="131"/>
      <c r="AT615" s="131"/>
      <c r="AU615" s="91"/>
      <c r="AV615" s="91"/>
      <c r="AW615" s="131"/>
      <c r="AX615" s="131"/>
      <c r="AY615" s="131"/>
    </row>
    <row r="616" spans="1:51" ht="15" x14ac:dyDescent="0.25">
      <c r="A616" s="123"/>
      <c r="B616" s="124"/>
      <c r="C616" s="125">
        <v>743833</v>
      </c>
      <c r="D616" s="89"/>
      <c r="E616" s="86" t="s">
        <v>20</v>
      </c>
      <c r="F616" s="86" t="s">
        <v>418</v>
      </c>
      <c r="H616" s="126" t="s">
        <v>50</v>
      </c>
      <c r="I616" s="89">
        <v>1</v>
      </c>
      <c r="J616" s="127">
        <v>3157.5437999999999</v>
      </c>
      <c r="K616" s="127">
        <v>2616.88</v>
      </c>
      <c r="L616" s="127">
        <v>1264.8600000000001</v>
      </c>
      <c r="M616" s="127">
        <v>0</v>
      </c>
      <c r="N616" s="127">
        <v>0</v>
      </c>
      <c r="O616" s="127">
        <v>0</v>
      </c>
      <c r="P616" s="128">
        <f t="shared" si="81"/>
        <v>0</v>
      </c>
      <c r="Q616" s="128">
        <f t="shared" si="82"/>
        <v>0</v>
      </c>
      <c r="R616" s="128">
        <f t="shared" si="83"/>
        <v>0</v>
      </c>
      <c r="S616" s="129">
        <v>0</v>
      </c>
      <c r="T616" s="129">
        <v>0</v>
      </c>
      <c r="U616" s="129">
        <v>0</v>
      </c>
      <c r="V616" s="138">
        <f t="shared" si="84"/>
        <v>3</v>
      </c>
      <c r="W616" s="138">
        <f t="shared" si="85"/>
        <v>3</v>
      </c>
      <c r="X616" s="138">
        <f t="shared" si="86"/>
        <v>1</v>
      </c>
      <c r="Y616" s="138">
        <f t="shared" si="87"/>
        <v>0</v>
      </c>
      <c r="Z616" s="138">
        <f t="shared" si="88"/>
        <v>0</v>
      </c>
      <c r="AA616" s="138">
        <f t="shared" si="89"/>
        <v>0</v>
      </c>
      <c r="AB616" s="127" t="s">
        <v>31</v>
      </c>
      <c r="AC616" s="127"/>
      <c r="AD616" s="127"/>
      <c r="AE616" s="130"/>
      <c r="AF616" s="136">
        <v>0</v>
      </c>
      <c r="AG616" s="136">
        <v>4.0599999999999996</v>
      </c>
      <c r="AH616" s="136">
        <v>0</v>
      </c>
      <c r="AI616" s="136">
        <v>2.14</v>
      </c>
      <c r="AJ616" s="136">
        <v>0</v>
      </c>
      <c r="AK616" s="136">
        <v>0.47</v>
      </c>
      <c r="AL616" s="136">
        <v>2.25</v>
      </c>
      <c r="AM616" s="136">
        <v>8.9199999999999982</v>
      </c>
      <c r="AN616" s="131"/>
      <c r="AO616" s="131"/>
      <c r="AP616" s="131"/>
      <c r="AQ616" s="131"/>
      <c r="AR616" s="131"/>
      <c r="AS616" s="131"/>
      <c r="AT616" s="131"/>
      <c r="AU616" s="91"/>
      <c r="AV616" s="91"/>
      <c r="AW616" s="131"/>
      <c r="AX616" s="131"/>
      <c r="AY616" s="131"/>
    </row>
    <row r="617" spans="1:51" ht="15" x14ac:dyDescent="0.25">
      <c r="A617" s="123"/>
      <c r="B617" s="124"/>
      <c r="C617" s="125">
        <v>23534</v>
      </c>
      <c r="D617" s="89"/>
      <c r="E617" s="86" t="s">
        <v>14</v>
      </c>
      <c r="F617" s="86" t="s">
        <v>418</v>
      </c>
      <c r="H617" s="126" t="s">
        <v>51</v>
      </c>
      <c r="I617" s="89">
        <v>1</v>
      </c>
      <c r="J617" s="127">
        <v>37692.1299</v>
      </c>
      <c r="K617" s="127">
        <v>62450.3</v>
      </c>
      <c r="L617" s="127">
        <v>7501.66</v>
      </c>
      <c r="M617" s="127">
        <v>17666.129900000018</v>
      </c>
      <c r="N617" s="127">
        <v>51859.30000000001</v>
      </c>
      <c r="O617" s="127">
        <v>6634.66</v>
      </c>
      <c r="P617" s="128">
        <f t="shared" si="81"/>
        <v>0.46869545305265486</v>
      </c>
      <c r="Q617" s="128">
        <f t="shared" si="82"/>
        <v>0.83040914134920096</v>
      </c>
      <c r="R617" s="128">
        <f t="shared" si="83"/>
        <v>0.88442558047152231</v>
      </c>
      <c r="S617" s="129">
        <v>1</v>
      </c>
      <c r="T617" s="129">
        <v>1</v>
      </c>
      <c r="U617" s="129">
        <v>1</v>
      </c>
      <c r="V617" s="138">
        <f t="shared" si="84"/>
        <v>3</v>
      </c>
      <c r="W617" s="138">
        <f t="shared" si="85"/>
        <v>3</v>
      </c>
      <c r="X617" s="138">
        <f t="shared" si="86"/>
        <v>1</v>
      </c>
      <c r="Y617" s="138">
        <f t="shared" si="87"/>
        <v>3</v>
      </c>
      <c r="Z617" s="138">
        <f t="shared" si="88"/>
        <v>3</v>
      </c>
      <c r="AA617" s="138">
        <f t="shared" si="89"/>
        <v>1</v>
      </c>
      <c r="AB617" s="127" t="s">
        <v>32</v>
      </c>
      <c r="AC617" s="127"/>
      <c r="AD617" s="127"/>
      <c r="AE617" s="130"/>
      <c r="AF617" s="136">
        <v>9.7100000000000009</v>
      </c>
      <c r="AG617" s="136">
        <v>11.33</v>
      </c>
      <c r="AH617" s="136">
        <v>28.49</v>
      </c>
      <c r="AI617" s="136">
        <v>5.99</v>
      </c>
      <c r="AJ617" s="136">
        <v>3.75</v>
      </c>
      <c r="AK617" s="136">
        <v>0.49</v>
      </c>
      <c r="AL617" s="136">
        <v>3.31</v>
      </c>
      <c r="AM617" s="136">
        <v>63.070000000000007</v>
      </c>
      <c r="AN617" s="131"/>
      <c r="AO617" s="131"/>
      <c r="AP617" s="131"/>
      <c r="AQ617" s="131"/>
      <c r="AR617" s="131"/>
      <c r="AS617" s="131"/>
      <c r="AT617" s="131"/>
      <c r="AU617" s="91"/>
      <c r="AV617" s="91"/>
      <c r="AW617" s="131"/>
      <c r="AX617" s="131"/>
      <c r="AY617" s="131"/>
    </row>
    <row r="618" spans="1:51" ht="15" x14ac:dyDescent="0.25">
      <c r="A618" s="123"/>
      <c r="B618" s="124"/>
      <c r="C618" s="125">
        <v>43622</v>
      </c>
      <c r="D618" s="89"/>
      <c r="E618" s="86" t="s">
        <v>14</v>
      </c>
      <c r="F618" s="86" t="s">
        <v>418</v>
      </c>
      <c r="H618" s="126" t="s">
        <v>51</v>
      </c>
      <c r="I618" s="89">
        <v>1</v>
      </c>
      <c r="J618" s="127">
        <v>37692.1299</v>
      </c>
      <c r="K618" s="127">
        <v>62450.3</v>
      </c>
      <c r="L618" s="127">
        <v>7501.66</v>
      </c>
      <c r="M618" s="127">
        <v>17666.129900000018</v>
      </c>
      <c r="N618" s="127">
        <v>51859.30000000001</v>
      </c>
      <c r="O618" s="127">
        <v>6634.66</v>
      </c>
      <c r="P618" s="128">
        <f t="shared" si="81"/>
        <v>0.46869545305265486</v>
      </c>
      <c r="Q618" s="128">
        <f t="shared" si="82"/>
        <v>0.83040914134920096</v>
      </c>
      <c r="R618" s="128">
        <f t="shared" si="83"/>
        <v>0.88442558047152231</v>
      </c>
      <c r="S618" s="129">
        <v>1</v>
      </c>
      <c r="T618" s="129">
        <v>1</v>
      </c>
      <c r="U618" s="129">
        <v>1</v>
      </c>
      <c r="V618" s="138">
        <f t="shared" si="84"/>
        <v>3</v>
      </c>
      <c r="W618" s="138">
        <f t="shared" si="85"/>
        <v>3</v>
      </c>
      <c r="X618" s="138">
        <f t="shared" si="86"/>
        <v>1</v>
      </c>
      <c r="Y618" s="138">
        <f t="shared" si="87"/>
        <v>3</v>
      </c>
      <c r="Z618" s="138">
        <f t="shared" si="88"/>
        <v>3</v>
      </c>
      <c r="AA618" s="138">
        <f t="shared" si="89"/>
        <v>1</v>
      </c>
      <c r="AB618" s="127" t="s">
        <v>32</v>
      </c>
      <c r="AC618" s="127"/>
      <c r="AD618" s="127"/>
      <c r="AE618" s="130"/>
      <c r="AF618" s="136">
        <v>9.7100000000000009</v>
      </c>
      <c r="AG618" s="136">
        <v>11.33</v>
      </c>
      <c r="AH618" s="136">
        <v>28.49</v>
      </c>
      <c r="AI618" s="136">
        <v>5.99</v>
      </c>
      <c r="AJ618" s="136">
        <v>3.75</v>
      </c>
      <c r="AK618" s="136">
        <v>0.49</v>
      </c>
      <c r="AL618" s="136">
        <v>3.31</v>
      </c>
      <c r="AM618" s="136">
        <v>63.070000000000007</v>
      </c>
      <c r="AN618" s="131"/>
      <c r="AO618" s="131"/>
      <c r="AP618" s="131"/>
      <c r="AQ618" s="131"/>
      <c r="AR618" s="131"/>
      <c r="AS618" s="131"/>
      <c r="AT618" s="131"/>
      <c r="AU618" s="91"/>
      <c r="AV618" s="91"/>
      <c r="AW618" s="131"/>
      <c r="AX618" s="131"/>
      <c r="AY618" s="131"/>
    </row>
    <row r="619" spans="1:51" ht="15" x14ac:dyDescent="0.25">
      <c r="A619" s="123"/>
      <c r="B619" s="124"/>
      <c r="C619" s="125">
        <v>54354</v>
      </c>
      <c r="D619" s="89"/>
      <c r="E619" s="86" t="s">
        <v>14</v>
      </c>
      <c r="F619" s="86" t="s">
        <v>418</v>
      </c>
      <c r="H619" s="126" t="s">
        <v>51</v>
      </c>
      <c r="I619" s="89">
        <v>1</v>
      </c>
      <c r="J619" s="127">
        <v>37692.1299</v>
      </c>
      <c r="K619" s="127">
        <v>62450.3</v>
      </c>
      <c r="L619" s="127">
        <v>7501.66</v>
      </c>
      <c r="M619" s="127">
        <v>17666.129900000018</v>
      </c>
      <c r="N619" s="127">
        <v>51859.30000000001</v>
      </c>
      <c r="O619" s="127">
        <v>6634.66</v>
      </c>
      <c r="P619" s="128">
        <f t="shared" si="81"/>
        <v>0.46869545305265486</v>
      </c>
      <c r="Q619" s="128">
        <f t="shared" si="82"/>
        <v>0.83040914134920096</v>
      </c>
      <c r="R619" s="128">
        <f t="shared" si="83"/>
        <v>0.88442558047152231</v>
      </c>
      <c r="S619" s="129">
        <v>1</v>
      </c>
      <c r="T619" s="129">
        <v>1</v>
      </c>
      <c r="U619" s="129">
        <v>1</v>
      </c>
      <c r="V619" s="138">
        <f t="shared" si="84"/>
        <v>3</v>
      </c>
      <c r="W619" s="138">
        <f t="shared" si="85"/>
        <v>3</v>
      </c>
      <c r="X619" s="138">
        <f t="shared" si="86"/>
        <v>1</v>
      </c>
      <c r="Y619" s="138">
        <f t="shared" si="87"/>
        <v>3</v>
      </c>
      <c r="Z619" s="138">
        <f t="shared" si="88"/>
        <v>3</v>
      </c>
      <c r="AA619" s="138">
        <f t="shared" si="89"/>
        <v>1</v>
      </c>
      <c r="AB619" s="127" t="s">
        <v>32</v>
      </c>
      <c r="AC619" s="127"/>
      <c r="AD619" s="127"/>
      <c r="AE619" s="130"/>
      <c r="AF619" s="136">
        <v>9.7100000000000009</v>
      </c>
      <c r="AG619" s="136">
        <v>11.33</v>
      </c>
      <c r="AH619" s="136">
        <v>28.49</v>
      </c>
      <c r="AI619" s="136">
        <v>5.99</v>
      </c>
      <c r="AJ619" s="136">
        <v>3.75</v>
      </c>
      <c r="AK619" s="136">
        <v>0.49</v>
      </c>
      <c r="AL619" s="136">
        <v>3.31</v>
      </c>
      <c r="AM619" s="136">
        <v>63.070000000000007</v>
      </c>
      <c r="AN619" s="131"/>
      <c r="AO619" s="131"/>
      <c r="AP619" s="131"/>
      <c r="AQ619" s="131"/>
      <c r="AR619" s="131"/>
      <c r="AS619" s="131"/>
      <c r="AT619" s="131"/>
      <c r="AU619" s="91"/>
      <c r="AV619" s="91"/>
      <c r="AW619" s="131"/>
      <c r="AX619" s="131"/>
      <c r="AY619" s="131"/>
    </row>
    <row r="620" spans="1:51" ht="15" x14ac:dyDescent="0.25">
      <c r="A620" s="123"/>
      <c r="B620" s="124"/>
      <c r="C620" s="125">
        <v>56837</v>
      </c>
      <c r="D620" s="89"/>
      <c r="E620" s="86" t="s">
        <v>14</v>
      </c>
      <c r="F620" s="86" t="s">
        <v>418</v>
      </c>
      <c r="H620" s="126" t="s">
        <v>51</v>
      </c>
      <c r="I620" s="89">
        <v>1</v>
      </c>
      <c r="J620" s="127">
        <v>37692.1299</v>
      </c>
      <c r="K620" s="127">
        <v>62450.3</v>
      </c>
      <c r="L620" s="127">
        <v>7501.66</v>
      </c>
      <c r="M620" s="127">
        <v>17666.129900000018</v>
      </c>
      <c r="N620" s="127">
        <v>51859.30000000001</v>
      </c>
      <c r="O620" s="127">
        <v>6634.66</v>
      </c>
      <c r="P620" s="128">
        <f t="shared" si="81"/>
        <v>0.46869545305265486</v>
      </c>
      <c r="Q620" s="128">
        <f t="shared" si="82"/>
        <v>0.83040914134920096</v>
      </c>
      <c r="R620" s="128">
        <f t="shared" si="83"/>
        <v>0.88442558047152231</v>
      </c>
      <c r="S620" s="129">
        <v>1</v>
      </c>
      <c r="T620" s="129">
        <v>1</v>
      </c>
      <c r="U620" s="129">
        <v>1</v>
      </c>
      <c r="V620" s="138">
        <f t="shared" si="84"/>
        <v>3</v>
      </c>
      <c r="W620" s="138">
        <f t="shared" si="85"/>
        <v>3</v>
      </c>
      <c r="X620" s="138">
        <f t="shared" si="86"/>
        <v>1</v>
      </c>
      <c r="Y620" s="138">
        <f t="shared" si="87"/>
        <v>3</v>
      </c>
      <c r="Z620" s="138">
        <f t="shared" si="88"/>
        <v>3</v>
      </c>
      <c r="AA620" s="138">
        <f t="shared" si="89"/>
        <v>1</v>
      </c>
      <c r="AB620" s="127" t="s">
        <v>32</v>
      </c>
      <c r="AC620" s="127"/>
      <c r="AD620" s="127"/>
      <c r="AE620" s="130"/>
      <c r="AF620" s="136">
        <v>9.7100000000000009</v>
      </c>
      <c r="AG620" s="136">
        <v>11.33</v>
      </c>
      <c r="AH620" s="136">
        <v>28.49</v>
      </c>
      <c r="AI620" s="136">
        <v>5.99</v>
      </c>
      <c r="AJ620" s="136">
        <v>3.75</v>
      </c>
      <c r="AK620" s="136">
        <v>0.49</v>
      </c>
      <c r="AL620" s="136">
        <v>3.31</v>
      </c>
      <c r="AM620" s="136">
        <v>63.070000000000007</v>
      </c>
      <c r="AN620" s="131"/>
      <c r="AO620" s="131"/>
      <c r="AP620" s="131"/>
      <c r="AQ620" s="131"/>
      <c r="AR620" s="131"/>
      <c r="AS620" s="131"/>
      <c r="AT620" s="131"/>
      <c r="AU620" s="91"/>
      <c r="AV620" s="91"/>
      <c r="AW620" s="131"/>
      <c r="AX620" s="131"/>
      <c r="AY620" s="131"/>
    </row>
    <row r="621" spans="1:51" ht="15" x14ac:dyDescent="0.25">
      <c r="A621" s="123"/>
      <c r="B621" s="124"/>
      <c r="C621" s="125">
        <v>80382</v>
      </c>
      <c r="D621" s="89"/>
      <c r="E621" s="86" t="s">
        <v>14</v>
      </c>
      <c r="F621" s="86" t="s">
        <v>418</v>
      </c>
      <c r="H621" s="126" t="s">
        <v>51</v>
      </c>
      <c r="I621" s="89">
        <v>2</v>
      </c>
      <c r="J621" s="127">
        <v>37692.1299</v>
      </c>
      <c r="K621" s="127">
        <v>62450.3</v>
      </c>
      <c r="L621" s="127">
        <v>7501.66</v>
      </c>
      <c r="M621" s="127">
        <v>17666.129900000018</v>
      </c>
      <c r="N621" s="127">
        <v>51859.30000000001</v>
      </c>
      <c r="O621" s="127">
        <v>6634.66</v>
      </c>
      <c r="P621" s="128">
        <f t="shared" si="81"/>
        <v>0.46869545305265486</v>
      </c>
      <c r="Q621" s="128">
        <f t="shared" si="82"/>
        <v>0.83040914134920096</v>
      </c>
      <c r="R621" s="128">
        <f t="shared" si="83"/>
        <v>0.88442558047152231</v>
      </c>
      <c r="S621" s="129">
        <v>1</v>
      </c>
      <c r="T621" s="129">
        <v>1</v>
      </c>
      <c r="U621" s="129">
        <v>1</v>
      </c>
      <c r="V621" s="138">
        <f t="shared" si="84"/>
        <v>4</v>
      </c>
      <c r="W621" s="138">
        <f t="shared" si="85"/>
        <v>4</v>
      </c>
      <c r="X621" s="138">
        <f t="shared" si="86"/>
        <v>2</v>
      </c>
      <c r="Y621" s="138">
        <f t="shared" si="87"/>
        <v>4</v>
      </c>
      <c r="Z621" s="138">
        <f t="shared" si="88"/>
        <v>4</v>
      </c>
      <c r="AA621" s="138">
        <f t="shared" si="89"/>
        <v>1</v>
      </c>
      <c r="AB621" s="127" t="s">
        <v>32</v>
      </c>
      <c r="AC621" s="127"/>
      <c r="AD621" s="127"/>
      <c r="AE621" s="130"/>
      <c r="AF621" s="136">
        <v>12.94</v>
      </c>
      <c r="AG621" s="136">
        <v>11.33</v>
      </c>
      <c r="AH621" s="136">
        <v>37.99</v>
      </c>
      <c r="AI621" s="136">
        <v>5.99</v>
      </c>
      <c r="AJ621" s="136">
        <v>3.75</v>
      </c>
      <c r="AK621" s="136">
        <v>0.49</v>
      </c>
      <c r="AL621" s="136">
        <v>3.31</v>
      </c>
      <c r="AM621" s="136">
        <v>75.8</v>
      </c>
      <c r="AN621" s="131"/>
      <c r="AO621" s="131"/>
      <c r="AP621" s="131"/>
      <c r="AQ621" s="131"/>
      <c r="AR621" s="131"/>
      <c r="AS621" s="131"/>
      <c r="AT621" s="131"/>
      <c r="AU621" s="91"/>
      <c r="AV621" s="91"/>
      <c r="AW621" s="131"/>
      <c r="AX621" s="131"/>
      <c r="AY621" s="131"/>
    </row>
    <row r="622" spans="1:51" ht="15" x14ac:dyDescent="0.25">
      <c r="A622" s="123"/>
      <c r="B622" s="124"/>
      <c r="C622" s="125">
        <v>84408</v>
      </c>
      <c r="D622" s="89"/>
      <c r="E622" s="86" t="s">
        <v>14</v>
      </c>
      <c r="F622" s="86" t="s">
        <v>418</v>
      </c>
      <c r="H622" s="126" t="s">
        <v>51</v>
      </c>
      <c r="I622" s="89">
        <v>1</v>
      </c>
      <c r="J622" s="127">
        <v>37692.1299</v>
      </c>
      <c r="K622" s="127">
        <v>62450.3</v>
      </c>
      <c r="L622" s="127">
        <v>7501.66</v>
      </c>
      <c r="M622" s="127">
        <v>17666.129900000018</v>
      </c>
      <c r="N622" s="127">
        <v>51859.30000000001</v>
      </c>
      <c r="O622" s="127">
        <v>6634.66</v>
      </c>
      <c r="P622" s="128">
        <f t="shared" si="81"/>
        <v>0.46869545305265486</v>
      </c>
      <c r="Q622" s="128">
        <f t="shared" si="82"/>
        <v>0.83040914134920096</v>
      </c>
      <c r="R622" s="128">
        <f t="shared" si="83"/>
        <v>0.88442558047152231</v>
      </c>
      <c r="S622" s="129">
        <v>1</v>
      </c>
      <c r="T622" s="129">
        <v>1</v>
      </c>
      <c r="U622" s="129">
        <v>1</v>
      </c>
      <c r="V622" s="138">
        <f t="shared" si="84"/>
        <v>3</v>
      </c>
      <c r="W622" s="138">
        <f t="shared" si="85"/>
        <v>3</v>
      </c>
      <c r="X622" s="138">
        <f t="shared" si="86"/>
        <v>1</v>
      </c>
      <c r="Y622" s="138">
        <f t="shared" si="87"/>
        <v>3</v>
      </c>
      <c r="Z622" s="138">
        <f t="shared" si="88"/>
        <v>3</v>
      </c>
      <c r="AA622" s="138">
        <f t="shared" si="89"/>
        <v>1</v>
      </c>
      <c r="AB622" s="127" t="s">
        <v>32</v>
      </c>
      <c r="AC622" s="127"/>
      <c r="AD622" s="127"/>
      <c r="AE622" s="130"/>
      <c r="AF622" s="136">
        <v>9.7100000000000009</v>
      </c>
      <c r="AG622" s="136">
        <v>11.33</v>
      </c>
      <c r="AH622" s="136">
        <v>28.49</v>
      </c>
      <c r="AI622" s="136">
        <v>5.99</v>
      </c>
      <c r="AJ622" s="136">
        <v>3.75</v>
      </c>
      <c r="AK622" s="136">
        <v>0.49</v>
      </c>
      <c r="AL622" s="136">
        <v>3.31</v>
      </c>
      <c r="AM622" s="136">
        <v>63.070000000000007</v>
      </c>
      <c r="AN622" s="131"/>
      <c r="AO622" s="131"/>
      <c r="AP622" s="131"/>
      <c r="AQ622" s="131"/>
      <c r="AR622" s="131"/>
      <c r="AS622" s="131"/>
      <c r="AT622" s="131"/>
      <c r="AU622" s="91"/>
      <c r="AV622" s="91"/>
      <c r="AW622" s="131"/>
      <c r="AX622" s="131"/>
      <c r="AY622" s="131"/>
    </row>
    <row r="623" spans="1:51" ht="15" x14ac:dyDescent="0.25">
      <c r="A623" s="123"/>
      <c r="B623" s="124"/>
      <c r="C623" s="125">
        <v>119276</v>
      </c>
      <c r="D623" s="89"/>
      <c r="E623" s="86" t="s">
        <v>14</v>
      </c>
      <c r="F623" s="86" t="s">
        <v>418</v>
      </c>
      <c r="H623" s="126" t="s">
        <v>51</v>
      </c>
      <c r="I623" s="89">
        <v>1</v>
      </c>
      <c r="J623" s="127">
        <v>37692.1299</v>
      </c>
      <c r="K623" s="127">
        <v>62450.3</v>
      </c>
      <c r="L623" s="127">
        <v>7501.66</v>
      </c>
      <c r="M623" s="127">
        <v>17666.129900000018</v>
      </c>
      <c r="N623" s="127">
        <v>51859.30000000001</v>
      </c>
      <c r="O623" s="127">
        <v>6634.66</v>
      </c>
      <c r="P623" s="128">
        <f t="shared" si="81"/>
        <v>0.46869545305265486</v>
      </c>
      <c r="Q623" s="128">
        <f t="shared" si="82"/>
        <v>0.83040914134920096</v>
      </c>
      <c r="R623" s="128">
        <f t="shared" si="83"/>
        <v>0.88442558047152231</v>
      </c>
      <c r="S623" s="129">
        <v>1</v>
      </c>
      <c r="T623" s="129">
        <v>1</v>
      </c>
      <c r="U623" s="129">
        <v>1</v>
      </c>
      <c r="V623" s="138">
        <f t="shared" si="84"/>
        <v>3</v>
      </c>
      <c r="W623" s="138">
        <f t="shared" si="85"/>
        <v>3</v>
      </c>
      <c r="X623" s="138">
        <f t="shared" si="86"/>
        <v>1</v>
      </c>
      <c r="Y623" s="138">
        <f t="shared" si="87"/>
        <v>3</v>
      </c>
      <c r="Z623" s="138">
        <f t="shared" si="88"/>
        <v>3</v>
      </c>
      <c r="AA623" s="138">
        <f t="shared" si="89"/>
        <v>1</v>
      </c>
      <c r="AB623" s="127" t="s">
        <v>32</v>
      </c>
      <c r="AC623" s="127"/>
      <c r="AD623" s="127"/>
      <c r="AE623" s="130"/>
      <c r="AF623" s="136">
        <v>9.7100000000000009</v>
      </c>
      <c r="AG623" s="136">
        <v>11.33</v>
      </c>
      <c r="AH623" s="136">
        <v>28.49</v>
      </c>
      <c r="AI623" s="136">
        <v>5.99</v>
      </c>
      <c r="AJ623" s="136">
        <v>3.75</v>
      </c>
      <c r="AK623" s="136">
        <v>0.49</v>
      </c>
      <c r="AL623" s="136">
        <v>3.31</v>
      </c>
      <c r="AM623" s="136">
        <v>63.070000000000007</v>
      </c>
      <c r="AN623" s="131"/>
      <c r="AO623" s="131"/>
      <c r="AP623" s="131"/>
      <c r="AQ623" s="131"/>
      <c r="AR623" s="131"/>
      <c r="AS623" s="131"/>
      <c r="AT623" s="131"/>
      <c r="AU623" s="91"/>
      <c r="AV623" s="91"/>
      <c r="AW623" s="131"/>
      <c r="AX623" s="131"/>
      <c r="AY623" s="131"/>
    </row>
    <row r="624" spans="1:51" ht="15" x14ac:dyDescent="0.25">
      <c r="A624" s="123"/>
      <c r="B624" s="124"/>
      <c r="C624" s="125">
        <v>175639</v>
      </c>
      <c r="D624" s="89"/>
      <c r="E624" s="86" t="s">
        <v>14</v>
      </c>
      <c r="F624" s="86" t="s">
        <v>418</v>
      </c>
      <c r="H624" s="126" t="s">
        <v>51</v>
      </c>
      <c r="I624" s="89">
        <v>1</v>
      </c>
      <c r="J624" s="127">
        <v>37692.1299</v>
      </c>
      <c r="K624" s="127">
        <v>62450.3</v>
      </c>
      <c r="L624" s="127">
        <v>7501.66</v>
      </c>
      <c r="M624" s="127">
        <v>17666.129900000018</v>
      </c>
      <c r="N624" s="127">
        <v>51859.30000000001</v>
      </c>
      <c r="O624" s="127">
        <v>6634.66</v>
      </c>
      <c r="P624" s="128">
        <f t="shared" si="81"/>
        <v>0.46869545305265486</v>
      </c>
      <c r="Q624" s="128">
        <f t="shared" si="82"/>
        <v>0.83040914134920096</v>
      </c>
      <c r="R624" s="128">
        <f t="shared" si="83"/>
        <v>0.88442558047152231</v>
      </c>
      <c r="S624" s="129">
        <v>1</v>
      </c>
      <c r="T624" s="129">
        <v>1</v>
      </c>
      <c r="U624" s="129">
        <v>1</v>
      </c>
      <c r="V624" s="138">
        <f t="shared" si="84"/>
        <v>3</v>
      </c>
      <c r="W624" s="138">
        <f t="shared" si="85"/>
        <v>3</v>
      </c>
      <c r="X624" s="138">
        <f t="shared" si="86"/>
        <v>1</v>
      </c>
      <c r="Y624" s="138">
        <f t="shared" si="87"/>
        <v>3</v>
      </c>
      <c r="Z624" s="138">
        <f t="shared" si="88"/>
        <v>3</v>
      </c>
      <c r="AA624" s="138">
        <f t="shared" si="89"/>
        <v>1</v>
      </c>
      <c r="AB624" s="127" t="s">
        <v>32</v>
      </c>
      <c r="AC624" s="127"/>
      <c r="AD624" s="127"/>
      <c r="AE624" s="130"/>
      <c r="AF624" s="136">
        <v>9.7100000000000009</v>
      </c>
      <c r="AG624" s="136">
        <v>11.33</v>
      </c>
      <c r="AH624" s="136">
        <v>28.49</v>
      </c>
      <c r="AI624" s="136">
        <v>5.99</v>
      </c>
      <c r="AJ624" s="136">
        <v>3.75</v>
      </c>
      <c r="AK624" s="136">
        <v>0.49</v>
      </c>
      <c r="AL624" s="136">
        <v>3.31</v>
      </c>
      <c r="AM624" s="136">
        <v>63.070000000000007</v>
      </c>
      <c r="AN624" s="131"/>
      <c r="AO624" s="131"/>
      <c r="AP624" s="131"/>
      <c r="AQ624" s="131"/>
      <c r="AR624" s="131"/>
      <c r="AS624" s="131"/>
      <c r="AT624" s="131"/>
      <c r="AU624" s="91"/>
      <c r="AV624" s="91"/>
      <c r="AW624" s="131"/>
      <c r="AX624" s="131"/>
      <c r="AY624" s="131"/>
    </row>
    <row r="625" spans="1:51" ht="15" x14ac:dyDescent="0.25">
      <c r="A625" s="123"/>
      <c r="B625" s="124"/>
      <c r="C625" s="125">
        <v>194280</v>
      </c>
      <c r="D625" s="89"/>
      <c r="E625" s="86" t="s">
        <v>14</v>
      </c>
      <c r="F625" s="86" t="s">
        <v>418</v>
      </c>
      <c r="H625" s="126" t="s">
        <v>51</v>
      </c>
      <c r="I625" s="89">
        <v>1</v>
      </c>
      <c r="J625" s="127">
        <v>37692.1299</v>
      </c>
      <c r="K625" s="127">
        <v>62450.3</v>
      </c>
      <c r="L625" s="127">
        <v>7501.66</v>
      </c>
      <c r="M625" s="127">
        <v>17666.129900000018</v>
      </c>
      <c r="N625" s="127">
        <v>51859.30000000001</v>
      </c>
      <c r="O625" s="127">
        <v>6634.66</v>
      </c>
      <c r="P625" s="128">
        <f t="shared" si="81"/>
        <v>0.46869545305265486</v>
      </c>
      <c r="Q625" s="128">
        <f t="shared" si="82"/>
        <v>0.83040914134920096</v>
      </c>
      <c r="R625" s="128">
        <f t="shared" si="83"/>
        <v>0.88442558047152231</v>
      </c>
      <c r="S625" s="129">
        <v>1</v>
      </c>
      <c r="T625" s="129">
        <v>1</v>
      </c>
      <c r="U625" s="129">
        <v>1</v>
      </c>
      <c r="V625" s="138">
        <f t="shared" si="84"/>
        <v>3</v>
      </c>
      <c r="W625" s="138">
        <f t="shared" si="85"/>
        <v>3</v>
      </c>
      <c r="X625" s="138">
        <f t="shared" si="86"/>
        <v>1</v>
      </c>
      <c r="Y625" s="138">
        <f t="shared" si="87"/>
        <v>3</v>
      </c>
      <c r="Z625" s="138">
        <f t="shared" si="88"/>
        <v>3</v>
      </c>
      <c r="AA625" s="138">
        <f t="shared" si="89"/>
        <v>1</v>
      </c>
      <c r="AB625" s="127" t="s">
        <v>32</v>
      </c>
      <c r="AC625" s="127"/>
      <c r="AD625" s="127"/>
      <c r="AE625" s="130"/>
      <c r="AF625" s="136">
        <v>9.7100000000000009</v>
      </c>
      <c r="AG625" s="136">
        <v>11.33</v>
      </c>
      <c r="AH625" s="136">
        <v>28.49</v>
      </c>
      <c r="AI625" s="136">
        <v>5.99</v>
      </c>
      <c r="AJ625" s="136">
        <v>3.75</v>
      </c>
      <c r="AK625" s="136">
        <v>0.49</v>
      </c>
      <c r="AL625" s="136">
        <v>3.31</v>
      </c>
      <c r="AM625" s="136">
        <v>63.070000000000007</v>
      </c>
      <c r="AN625" s="131"/>
      <c r="AO625" s="131"/>
      <c r="AP625" s="131"/>
      <c r="AQ625" s="131"/>
      <c r="AR625" s="131"/>
      <c r="AS625" s="131"/>
      <c r="AT625" s="131"/>
      <c r="AU625" s="91"/>
      <c r="AV625" s="91"/>
      <c r="AW625" s="131"/>
      <c r="AX625" s="131"/>
      <c r="AY625" s="131"/>
    </row>
    <row r="626" spans="1:51" ht="15" x14ac:dyDescent="0.25">
      <c r="A626" s="123"/>
      <c r="B626" s="124"/>
      <c r="C626" s="125">
        <v>222182</v>
      </c>
      <c r="D626" s="89"/>
      <c r="E626" s="86" t="s">
        <v>14</v>
      </c>
      <c r="F626" s="86" t="s">
        <v>418</v>
      </c>
      <c r="H626" s="126" t="s">
        <v>51</v>
      </c>
      <c r="I626" s="89">
        <v>1</v>
      </c>
      <c r="J626" s="127">
        <v>37692.1299</v>
      </c>
      <c r="K626" s="127">
        <v>62450.3</v>
      </c>
      <c r="L626" s="127">
        <v>7501.66</v>
      </c>
      <c r="M626" s="127">
        <v>17666.129900000018</v>
      </c>
      <c r="N626" s="127">
        <v>51859.30000000001</v>
      </c>
      <c r="O626" s="127">
        <v>6634.66</v>
      </c>
      <c r="P626" s="128">
        <f t="shared" si="81"/>
        <v>0.46869545305265486</v>
      </c>
      <c r="Q626" s="128">
        <f t="shared" si="82"/>
        <v>0.83040914134920096</v>
      </c>
      <c r="R626" s="128">
        <f t="shared" si="83"/>
        <v>0.88442558047152231</v>
      </c>
      <c r="S626" s="129">
        <v>1</v>
      </c>
      <c r="T626" s="129">
        <v>1</v>
      </c>
      <c r="U626" s="129">
        <v>1</v>
      </c>
      <c r="V626" s="138">
        <f t="shared" si="84"/>
        <v>3</v>
      </c>
      <c r="W626" s="138">
        <f t="shared" si="85"/>
        <v>3</v>
      </c>
      <c r="X626" s="138">
        <f t="shared" si="86"/>
        <v>1</v>
      </c>
      <c r="Y626" s="138">
        <f t="shared" si="87"/>
        <v>3</v>
      </c>
      <c r="Z626" s="138">
        <f t="shared" si="88"/>
        <v>3</v>
      </c>
      <c r="AA626" s="138">
        <f t="shared" si="89"/>
        <v>1</v>
      </c>
      <c r="AB626" s="127" t="s">
        <v>32</v>
      </c>
      <c r="AC626" s="127"/>
      <c r="AD626" s="127"/>
      <c r="AE626" s="130"/>
      <c r="AF626" s="136">
        <v>9.7100000000000009</v>
      </c>
      <c r="AG626" s="136">
        <v>11.33</v>
      </c>
      <c r="AH626" s="136">
        <v>28.49</v>
      </c>
      <c r="AI626" s="136">
        <v>5.99</v>
      </c>
      <c r="AJ626" s="136">
        <v>3.75</v>
      </c>
      <c r="AK626" s="136">
        <v>0.49</v>
      </c>
      <c r="AL626" s="136">
        <v>3.31</v>
      </c>
      <c r="AM626" s="136">
        <v>63.070000000000007</v>
      </c>
      <c r="AN626" s="131"/>
      <c r="AO626" s="131"/>
      <c r="AP626" s="131"/>
      <c r="AQ626" s="131"/>
      <c r="AR626" s="131"/>
      <c r="AS626" s="131"/>
      <c r="AT626" s="131"/>
      <c r="AU626" s="91"/>
      <c r="AV626" s="91"/>
      <c r="AW626" s="131"/>
      <c r="AX626" s="131"/>
      <c r="AY626" s="131"/>
    </row>
    <row r="627" spans="1:51" ht="15" x14ac:dyDescent="0.25">
      <c r="A627" s="123"/>
      <c r="B627" s="124"/>
      <c r="C627" s="125">
        <v>245455</v>
      </c>
      <c r="D627" s="89"/>
      <c r="E627" s="86" t="s">
        <v>14</v>
      </c>
      <c r="F627" s="86" t="s">
        <v>418</v>
      </c>
      <c r="H627" s="126" t="s">
        <v>51</v>
      </c>
      <c r="I627" s="89">
        <v>1</v>
      </c>
      <c r="J627" s="127">
        <v>37692.1299</v>
      </c>
      <c r="K627" s="127">
        <v>62450.3</v>
      </c>
      <c r="L627" s="127">
        <v>7501.66</v>
      </c>
      <c r="M627" s="127">
        <v>17666.129900000018</v>
      </c>
      <c r="N627" s="127">
        <v>51859.30000000001</v>
      </c>
      <c r="O627" s="127">
        <v>6634.66</v>
      </c>
      <c r="P627" s="128">
        <f t="shared" si="81"/>
        <v>0.46869545305265486</v>
      </c>
      <c r="Q627" s="128">
        <f t="shared" si="82"/>
        <v>0.83040914134920096</v>
      </c>
      <c r="R627" s="128">
        <f t="shared" si="83"/>
        <v>0.88442558047152231</v>
      </c>
      <c r="S627" s="129">
        <v>1</v>
      </c>
      <c r="T627" s="129">
        <v>1</v>
      </c>
      <c r="U627" s="129">
        <v>1</v>
      </c>
      <c r="V627" s="138">
        <f t="shared" si="84"/>
        <v>3</v>
      </c>
      <c r="W627" s="138">
        <f t="shared" si="85"/>
        <v>3</v>
      </c>
      <c r="X627" s="138">
        <f t="shared" si="86"/>
        <v>1</v>
      </c>
      <c r="Y627" s="138">
        <f t="shared" si="87"/>
        <v>3</v>
      </c>
      <c r="Z627" s="138">
        <f t="shared" si="88"/>
        <v>3</v>
      </c>
      <c r="AA627" s="138">
        <f t="shared" si="89"/>
        <v>1</v>
      </c>
      <c r="AB627" s="127" t="s">
        <v>32</v>
      </c>
      <c r="AC627" s="127"/>
      <c r="AD627" s="127"/>
      <c r="AE627" s="130"/>
      <c r="AF627" s="136">
        <v>9.7100000000000009</v>
      </c>
      <c r="AG627" s="136">
        <v>11.33</v>
      </c>
      <c r="AH627" s="136">
        <v>28.49</v>
      </c>
      <c r="AI627" s="136">
        <v>5.99</v>
      </c>
      <c r="AJ627" s="136">
        <v>3.75</v>
      </c>
      <c r="AK627" s="136">
        <v>0.49</v>
      </c>
      <c r="AL627" s="136">
        <v>3.31</v>
      </c>
      <c r="AM627" s="136">
        <v>63.070000000000007</v>
      </c>
      <c r="AN627" s="131"/>
      <c r="AO627" s="131"/>
      <c r="AP627" s="131"/>
      <c r="AQ627" s="131"/>
      <c r="AR627" s="131"/>
      <c r="AS627" s="131"/>
      <c r="AT627" s="131"/>
      <c r="AU627" s="91"/>
      <c r="AV627" s="91"/>
      <c r="AW627" s="131"/>
      <c r="AX627" s="131"/>
      <c r="AY627" s="131"/>
    </row>
    <row r="628" spans="1:51" ht="15" x14ac:dyDescent="0.25">
      <c r="A628" s="123"/>
      <c r="B628" s="124"/>
      <c r="C628" s="125">
        <v>268453</v>
      </c>
      <c r="D628" s="89"/>
      <c r="E628" s="86" t="s">
        <v>14</v>
      </c>
      <c r="F628" s="86" t="s">
        <v>418</v>
      </c>
      <c r="H628" s="126" t="s">
        <v>51</v>
      </c>
      <c r="I628" s="89">
        <v>1</v>
      </c>
      <c r="J628" s="127">
        <v>37692.1299</v>
      </c>
      <c r="K628" s="127">
        <v>62450.3</v>
      </c>
      <c r="L628" s="127">
        <v>7501.66</v>
      </c>
      <c r="M628" s="127">
        <v>17666.129900000018</v>
      </c>
      <c r="N628" s="127">
        <v>51859.30000000001</v>
      </c>
      <c r="O628" s="127">
        <v>6634.66</v>
      </c>
      <c r="P628" s="128">
        <f t="shared" si="81"/>
        <v>0.46869545305265486</v>
      </c>
      <c r="Q628" s="128">
        <f t="shared" si="82"/>
        <v>0.83040914134920096</v>
      </c>
      <c r="R628" s="128">
        <f t="shared" si="83"/>
        <v>0.88442558047152231</v>
      </c>
      <c r="S628" s="129">
        <v>1</v>
      </c>
      <c r="T628" s="129">
        <v>1</v>
      </c>
      <c r="U628" s="129">
        <v>1</v>
      </c>
      <c r="V628" s="138">
        <f t="shared" si="84"/>
        <v>3</v>
      </c>
      <c r="W628" s="138">
        <f t="shared" si="85"/>
        <v>3</v>
      </c>
      <c r="X628" s="138">
        <f t="shared" si="86"/>
        <v>1</v>
      </c>
      <c r="Y628" s="138">
        <f t="shared" si="87"/>
        <v>3</v>
      </c>
      <c r="Z628" s="138">
        <f t="shared" si="88"/>
        <v>3</v>
      </c>
      <c r="AA628" s="138">
        <f t="shared" si="89"/>
        <v>1</v>
      </c>
      <c r="AB628" s="127" t="s">
        <v>32</v>
      </c>
      <c r="AC628" s="127"/>
      <c r="AD628" s="127"/>
      <c r="AE628" s="130"/>
      <c r="AF628" s="136">
        <v>9.7100000000000009</v>
      </c>
      <c r="AG628" s="136">
        <v>11.33</v>
      </c>
      <c r="AH628" s="136">
        <v>28.49</v>
      </c>
      <c r="AI628" s="136">
        <v>5.99</v>
      </c>
      <c r="AJ628" s="136">
        <v>3.75</v>
      </c>
      <c r="AK628" s="136">
        <v>0.49</v>
      </c>
      <c r="AL628" s="136">
        <v>3.31</v>
      </c>
      <c r="AM628" s="136">
        <v>63.070000000000007</v>
      </c>
      <c r="AN628" s="131"/>
      <c r="AO628" s="131"/>
      <c r="AP628" s="131"/>
      <c r="AQ628" s="131"/>
      <c r="AR628" s="131"/>
      <c r="AS628" s="131"/>
      <c r="AT628" s="131"/>
      <c r="AU628" s="91"/>
      <c r="AV628" s="91"/>
      <c r="AW628" s="131"/>
      <c r="AX628" s="131"/>
      <c r="AY628" s="131"/>
    </row>
    <row r="629" spans="1:51" ht="15" x14ac:dyDescent="0.25">
      <c r="A629" s="123"/>
      <c r="B629" s="124"/>
      <c r="C629" s="125">
        <v>287199</v>
      </c>
      <c r="D629" s="89"/>
      <c r="E629" s="86" t="s">
        <v>14</v>
      </c>
      <c r="F629" s="86" t="s">
        <v>418</v>
      </c>
      <c r="H629" s="126" t="s">
        <v>51</v>
      </c>
      <c r="I629" s="89">
        <v>2</v>
      </c>
      <c r="J629" s="127">
        <v>37692.1299</v>
      </c>
      <c r="K629" s="127">
        <v>62450.3</v>
      </c>
      <c r="L629" s="127">
        <v>7501.66</v>
      </c>
      <c r="M629" s="127">
        <v>17666.129900000018</v>
      </c>
      <c r="N629" s="127">
        <v>51859.30000000001</v>
      </c>
      <c r="O629" s="127">
        <v>6634.66</v>
      </c>
      <c r="P629" s="128">
        <f t="shared" si="81"/>
        <v>0.46869545305265486</v>
      </c>
      <c r="Q629" s="128">
        <f t="shared" si="82"/>
        <v>0.83040914134920096</v>
      </c>
      <c r="R629" s="128">
        <f t="shared" si="83"/>
        <v>0.88442558047152231</v>
      </c>
      <c r="S629" s="129">
        <v>1</v>
      </c>
      <c r="T629" s="129">
        <v>1</v>
      </c>
      <c r="U629" s="129">
        <v>1</v>
      </c>
      <c r="V629" s="138">
        <f t="shared" si="84"/>
        <v>4</v>
      </c>
      <c r="W629" s="138">
        <f t="shared" si="85"/>
        <v>4</v>
      </c>
      <c r="X629" s="138">
        <f t="shared" si="86"/>
        <v>2</v>
      </c>
      <c r="Y629" s="138">
        <f t="shared" si="87"/>
        <v>4</v>
      </c>
      <c r="Z629" s="138">
        <f t="shared" si="88"/>
        <v>4</v>
      </c>
      <c r="AA629" s="138">
        <f t="shared" si="89"/>
        <v>1</v>
      </c>
      <c r="AB629" s="127" t="s">
        <v>32</v>
      </c>
      <c r="AC629" s="127"/>
      <c r="AD629" s="127"/>
      <c r="AE629" s="130"/>
      <c r="AF629" s="136">
        <v>12.94</v>
      </c>
      <c r="AG629" s="136">
        <v>11.33</v>
      </c>
      <c r="AH629" s="136">
        <v>37.99</v>
      </c>
      <c r="AI629" s="136">
        <v>5.99</v>
      </c>
      <c r="AJ629" s="136">
        <v>3.75</v>
      </c>
      <c r="AK629" s="136">
        <v>0.49</v>
      </c>
      <c r="AL629" s="136">
        <v>3.31</v>
      </c>
      <c r="AM629" s="136">
        <v>75.8</v>
      </c>
      <c r="AN629" s="131"/>
      <c r="AO629" s="131"/>
      <c r="AP629" s="131"/>
      <c r="AQ629" s="131"/>
      <c r="AR629" s="131"/>
      <c r="AS629" s="131"/>
      <c r="AT629" s="131"/>
      <c r="AU629" s="91"/>
      <c r="AV629" s="91"/>
      <c r="AW629" s="131"/>
      <c r="AX629" s="131"/>
      <c r="AY629" s="131"/>
    </row>
    <row r="630" spans="1:51" ht="15" x14ac:dyDescent="0.25">
      <c r="A630" s="123"/>
      <c r="B630" s="124"/>
      <c r="C630" s="125">
        <v>305284</v>
      </c>
      <c r="D630" s="89"/>
      <c r="E630" s="86" t="s">
        <v>14</v>
      </c>
      <c r="F630" s="86" t="s">
        <v>418</v>
      </c>
      <c r="H630" s="126" t="s">
        <v>51</v>
      </c>
      <c r="I630" s="89">
        <v>1</v>
      </c>
      <c r="J630" s="127">
        <v>37692.1299</v>
      </c>
      <c r="K630" s="127">
        <v>62450.3</v>
      </c>
      <c r="L630" s="127">
        <v>7501.66</v>
      </c>
      <c r="M630" s="127">
        <v>17666.129900000018</v>
      </c>
      <c r="N630" s="127">
        <v>51859.30000000001</v>
      </c>
      <c r="O630" s="127">
        <v>6634.66</v>
      </c>
      <c r="P630" s="128">
        <f t="shared" si="81"/>
        <v>0.46869545305265486</v>
      </c>
      <c r="Q630" s="128">
        <f t="shared" si="82"/>
        <v>0.83040914134920096</v>
      </c>
      <c r="R630" s="128">
        <f t="shared" si="83"/>
        <v>0.88442558047152231</v>
      </c>
      <c r="S630" s="129">
        <v>1</v>
      </c>
      <c r="T630" s="129">
        <v>1</v>
      </c>
      <c r="U630" s="129">
        <v>1</v>
      </c>
      <c r="V630" s="138">
        <f t="shared" si="84"/>
        <v>3</v>
      </c>
      <c r="W630" s="138">
        <f t="shared" si="85"/>
        <v>3</v>
      </c>
      <c r="X630" s="138">
        <f t="shared" si="86"/>
        <v>1</v>
      </c>
      <c r="Y630" s="138">
        <f t="shared" si="87"/>
        <v>3</v>
      </c>
      <c r="Z630" s="138">
        <f t="shared" si="88"/>
        <v>3</v>
      </c>
      <c r="AA630" s="138">
        <f t="shared" si="89"/>
        <v>1</v>
      </c>
      <c r="AB630" s="127" t="s">
        <v>32</v>
      </c>
      <c r="AC630" s="127"/>
      <c r="AD630" s="127"/>
      <c r="AE630" s="130"/>
      <c r="AF630" s="136">
        <v>9.7100000000000009</v>
      </c>
      <c r="AG630" s="136">
        <v>11.33</v>
      </c>
      <c r="AH630" s="136">
        <v>28.49</v>
      </c>
      <c r="AI630" s="136">
        <v>5.99</v>
      </c>
      <c r="AJ630" s="136">
        <v>3.75</v>
      </c>
      <c r="AK630" s="136">
        <v>0.49</v>
      </c>
      <c r="AL630" s="136">
        <v>3.31</v>
      </c>
      <c r="AM630" s="136">
        <v>63.070000000000007</v>
      </c>
      <c r="AN630" s="131"/>
      <c r="AO630" s="131"/>
      <c r="AP630" s="131"/>
      <c r="AQ630" s="131"/>
      <c r="AR630" s="131"/>
      <c r="AS630" s="131"/>
      <c r="AT630" s="131"/>
      <c r="AU630" s="91"/>
      <c r="AV630" s="91"/>
      <c r="AW630" s="131"/>
      <c r="AX630" s="131"/>
      <c r="AY630" s="131"/>
    </row>
    <row r="631" spans="1:51" ht="15" x14ac:dyDescent="0.25">
      <c r="A631" s="123"/>
      <c r="B631" s="124"/>
      <c r="C631" s="125">
        <v>305353</v>
      </c>
      <c r="D631" s="89"/>
      <c r="E631" s="86" t="s">
        <v>14</v>
      </c>
      <c r="F631" s="86" t="s">
        <v>418</v>
      </c>
      <c r="H631" s="126" t="s">
        <v>51</v>
      </c>
      <c r="I631" s="89">
        <v>1</v>
      </c>
      <c r="J631" s="127">
        <v>37692.1299</v>
      </c>
      <c r="K631" s="127">
        <v>62450.3</v>
      </c>
      <c r="L631" s="127">
        <v>7501.66</v>
      </c>
      <c r="M631" s="127">
        <v>17666.129900000018</v>
      </c>
      <c r="N631" s="127">
        <v>51859.30000000001</v>
      </c>
      <c r="O631" s="127">
        <v>6634.66</v>
      </c>
      <c r="P631" s="128">
        <f t="shared" si="81"/>
        <v>0.46869545305265486</v>
      </c>
      <c r="Q631" s="128">
        <f t="shared" si="82"/>
        <v>0.83040914134920096</v>
      </c>
      <c r="R631" s="128">
        <f t="shared" si="83"/>
        <v>0.88442558047152231</v>
      </c>
      <c r="S631" s="129">
        <v>1</v>
      </c>
      <c r="T631" s="129">
        <v>1</v>
      </c>
      <c r="U631" s="129">
        <v>1</v>
      </c>
      <c r="V631" s="138">
        <f t="shared" si="84"/>
        <v>3</v>
      </c>
      <c r="W631" s="138">
        <f t="shared" si="85"/>
        <v>3</v>
      </c>
      <c r="X631" s="138">
        <f t="shared" si="86"/>
        <v>1</v>
      </c>
      <c r="Y631" s="138">
        <f t="shared" si="87"/>
        <v>3</v>
      </c>
      <c r="Z631" s="138">
        <f t="shared" si="88"/>
        <v>3</v>
      </c>
      <c r="AA631" s="138">
        <f t="shared" si="89"/>
        <v>1</v>
      </c>
      <c r="AB631" s="127" t="s">
        <v>32</v>
      </c>
      <c r="AC631" s="127"/>
      <c r="AD631" s="127"/>
      <c r="AE631" s="130"/>
      <c r="AF631" s="136">
        <v>9.7100000000000009</v>
      </c>
      <c r="AG631" s="136">
        <v>11.33</v>
      </c>
      <c r="AH631" s="136">
        <v>28.49</v>
      </c>
      <c r="AI631" s="136">
        <v>5.99</v>
      </c>
      <c r="AJ631" s="136">
        <v>3.75</v>
      </c>
      <c r="AK631" s="136">
        <v>0.49</v>
      </c>
      <c r="AL631" s="136">
        <v>3.31</v>
      </c>
      <c r="AM631" s="136">
        <v>63.070000000000007</v>
      </c>
      <c r="AN631" s="131"/>
      <c r="AO631" s="131"/>
      <c r="AP631" s="131"/>
      <c r="AQ631" s="131"/>
      <c r="AR631" s="131"/>
      <c r="AS631" s="131"/>
      <c r="AT631" s="131"/>
      <c r="AU631" s="91"/>
      <c r="AV631" s="91"/>
      <c r="AW631" s="131"/>
      <c r="AX631" s="131"/>
      <c r="AY631" s="131"/>
    </row>
    <row r="632" spans="1:51" ht="15" x14ac:dyDescent="0.25">
      <c r="A632" s="123"/>
      <c r="B632" s="124"/>
      <c r="C632" s="125">
        <v>306554</v>
      </c>
      <c r="D632" s="89"/>
      <c r="E632" s="86" t="s">
        <v>14</v>
      </c>
      <c r="F632" s="86" t="s">
        <v>418</v>
      </c>
      <c r="H632" s="126" t="s">
        <v>51</v>
      </c>
      <c r="I632" s="89">
        <v>1</v>
      </c>
      <c r="J632" s="127">
        <v>37692.1299</v>
      </c>
      <c r="K632" s="127">
        <v>62450.3</v>
      </c>
      <c r="L632" s="127">
        <v>7501.66</v>
      </c>
      <c r="M632" s="127">
        <v>17666.129900000018</v>
      </c>
      <c r="N632" s="127">
        <v>51859.30000000001</v>
      </c>
      <c r="O632" s="127">
        <v>6634.66</v>
      </c>
      <c r="P632" s="128">
        <f t="shared" si="81"/>
        <v>0.46869545305265486</v>
      </c>
      <c r="Q632" s="128">
        <f t="shared" si="82"/>
        <v>0.83040914134920096</v>
      </c>
      <c r="R632" s="128">
        <f t="shared" si="83"/>
        <v>0.88442558047152231</v>
      </c>
      <c r="S632" s="129">
        <v>1</v>
      </c>
      <c r="T632" s="129">
        <v>1</v>
      </c>
      <c r="U632" s="129">
        <v>1</v>
      </c>
      <c r="V632" s="138">
        <f t="shared" si="84"/>
        <v>3</v>
      </c>
      <c r="W632" s="138">
        <f t="shared" si="85"/>
        <v>3</v>
      </c>
      <c r="X632" s="138">
        <f t="shared" si="86"/>
        <v>1</v>
      </c>
      <c r="Y632" s="138">
        <f t="shared" si="87"/>
        <v>3</v>
      </c>
      <c r="Z632" s="138">
        <f t="shared" si="88"/>
        <v>3</v>
      </c>
      <c r="AA632" s="138">
        <f t="shared" si="89"/>
        <v>1</v>
      </c>
      <c r="AB632" s="127" t="s">
        <v>32</v>
      </c>
      <c r="AC632" s="127"/>
      <c r="AD632" s="127"/>
      <c r="AE632" s="130"/>
      <c r="AF632" s="136">
        <v>9.7100000000000009</v>
      </c>
      <c r="AG632" s="136">
        <v>11.33</v>
      </c>
      <c r="AH632" s="136">
        <v>28.49</v>
      </c>
      <c r="AI632" s="136">
        <v>5.99</v>
      </c>
      <c r="AJ632" s="136">
        <v>3.75</v>
      </c>
      <c r="AK632" s="136">
        <v>0.49</v>
      </c>
      <c r="AL632" s="136">
        <v>3.31</v>
      </c>
      <c r="AM632" s="136">
        <v>63.070000000000007</v>
      </c>
      <c r="AN632" s="131"/>
      <c r="AO632" s="131"/>
      <c r="AP632" s="131"/>
      <c r="AQ632" s="131"/>
      <c r="AR632" s="131"/>
      <c r="AS632" s="131"/>
      <c r="AT632" s="131"/>
      <c r="AU632" s="91"/>
      <c r="AV632" s="91"/>
      <c r="AW632" s="131"/>
      <c r="AX632" s="131"/>
      <c r="AY632" s="131"/>
    </row>
    <row r="633" spans="1:51" ht="15" x14ac:dyDescent="0.25">
      <c r="A633" s="123"/>
      <c r="B633" s="124"/>
      <c r="C633" s="125">
        <v>369881</v>
      </c>
      <c r="D633" s="89"/>
      <c r="E633" s="86" t="s">
        <v>14</v>
      </c>
      <c r="F633" s="86" t="s">
        <v>418</v>
      </c>
      <c r="H633" s="126" t="s">
        <v>51</v>
      </c>
      <c r="I633" s="89">
        <v>1</v>
      </c>
      <c r="J633" s="127">
        <v>37692.1299</v>
      </c>
      <c r="K633" s="127">
        <v>62450.3</v>
      </c>
      <c r="L633" s="127">
        <v>7501.66</v>
      </c>
      <c r="M633" s="127">
        <v>17666.129900000018</v>
      </c>
      <c r="N633" s="127">
        <v>51859.30000000001</v>
      </c>
      <c r="O633" s="127">
        <v>6634.66</v>
      </c>
      <c r="P633" s="128">
        <f t="shared" si="81"/>
        <v>0.46869545305265486</v>
      </c>
      <c r="Q633" s="128">
        <f t="shared" si="82"/>
        <v>0.83040914134920096</v>
      </c>
      <c r="R633" s="128">
        <f t="shared" si="83"/>
        <v>0.88442558047152231</v>
      </c>
      <c r="S633" s="129">
        <v>1</v>
      </c>
      <c r="T633" s="129">
        <v>1</v>
      </c>
      <c r="U633" s="129">
        <v>1</v>
      </c>
      <c r="V633" s="138">
        <f t="shared" si="84"/>
        <v>3</v>
      </c>
      <c r="W633" s="138">
        <f t="shared" si="85"/>
        <v>3</v>
      </c>
      <c r="X633" s="138">
        <f t="shared" si="86"/>
        <v>1</v>
      </c>
      <c r="Y633" s="138">
        <f t="shared" si="87"/>
        <v>3</v>
      </c>
      <c r="Z633" s="138">
        <f t="shared" si="88"/>
        <v>3</v>
      </c>
      <c r="AA633" s="138">
        <f t="shared" si="89"/>
        <v>1</v>
      </c>
      <c r="AB633" s="127" t="s">
        <v>32</v>
      </c>
      <c r="AC633" s="127"/>
      <c r="AD633" s="127"/>
      <c r="AE633" s="130"/>
      <c r="AF633" s="136">
        <v>9.7100000000000009</v>
      </c>
      <c r="AG633" s="136">
        <v>11.33</v>
      </c>
      <c r="AH633" s="136">
        <v>28.49</v>
      </c>
      <c r="AI633" s="136">
        <v>5.99</v>
      </c>
      <c r="AJ633" s="136">
        <v>3.75</v>
      </c>
      <c r="AK633" s="136">
        <v>0.49</v>
      </c>
      <c r="AL633" s="136">
        <v>3.31</v>
      </c>
      <c r="AM633" s="136">
        <v>63.070000000000007</v>
      </c>
      <c r="AN633" s="131"/>
      <c r="AO633" s="131"/>
      <c r="AP633" s="131"/>
      <c r="AQ633" s="131"/>
      <c r="AR633" s="131"/>
      <c r="AS633" s="131"/>
      <c r="AT633" s="131"/>
      <c r="AU633" s="91"/>
      <c r="AV633" s="91"/>
      <c r="AW633" s="131"/>
      <c r="AX633" s="131"/>
      <c r="AY633" s="131"/>
    </row>
    <row r="634" spans="1:51" ht="15" x14ac:dyDescent="0.25">
      <c r="A634" s="123"/>
      <c r="B634" s="124"/>
      <c r="C634" s="125">
        <v>445287</v>
      </c>
      <c r="D634" s="89"/>
      <c r="E634" s="86" t="s">
        <v>14</v>
      </c>
      <c r="F634" s="86" t="s">
        <v>418</v>
      </c>
      <c r="H634" s="126" t="s">
        <v>51</v>
      </c>
      <c r="I634" s="89">
        <v>1</v>
      </c>
      <c r="J634" s="127">
        <v>37692.1299</v>
      </c>
      <c r="K634" s="127">
        <v>62450.3</v>
      </c>
      <c r="L634" s="127">
        <v>7501.66</v>
      </c>
      <c r="M634" s="127">
        <v>17666.129900000018</v>
      </c>
      <c r="N634" s="127">
        <v>51859.30000000001</v>
      </c>
      <c r="O634" s="127">
        <v>6634.66</v>
      </c>
      <c r="P634" s="128">
        <f t="shared" si="81"/>
        <v>0.46869545305265486</v>
      </c>
      <c r="Q634" s="128">
        <f t="shared" si="82"/>
        <v>0.83040914134920096</v>
      </c>
      <c r="R634" s="128">
        <f t="shared" si="83"/>
        <v>0.88442558047152231</v>
      </c>
      <c r="S634" s="129">
        <v>1</v>
      </c>
      <c r="T634" s="129">
        <v>1</v>
      </c>
      <c r="U634" s="129">
        <v>1</v>
      </c>
      <c r="V634" s="138">
        <f t="shared" si="84"/>
        <v>3</v>
      </c>
      <c r="W634" s="138">
        <f t="shared" si="85"/>
        <v>3</v>
      </c>
      <c r="X634" s="138">
        <f t="shared" si="86"/>
        <v>1</v>
      </c>
      <c r="Y634" s="138">
        <f t="shared" si="87"/>
        <v>3</v>
      </c>
      <c r="Z634" s="138">
        <f t="shared" si="88"/>
        <v>3</v>
      </c>
      <c r="AA634" s="138">
        <f t="shared" si="89"/>
        <v>1</v>
      </c>
      <c r="AB634" s="127" t="s">
        <v>32</v>
      </c>
      <c r="AC634" s="127"/>
      <c r="AD634" s="127"/>
      <c r="AE634" s="130"/>
      <c r="AF634" s="136">
        <v>9.7100000000000009</v>
      </c>
      <c r="AG634" s="136">
        <v>11.33</v>
      </c>
      <c r="AH634" s="136">
        <v>28.49</v>
      </c>
      <c r="AI634" s="136">
        <v>5.99</v>
      </c>
      <c r="AJ634" s="136">
        <v>3.75</v>
      </c>
      <c r="AK634" s="136">
        <v>0.49</v>
      </c>
      <c r="AL634" s="136">
        <v>3.31</v>
      </c>
      <c r="AM634" s="136">
        <v>63.070000000000007</v>
      </c>
      <c r="AN634" s="131"/>
      <c r="AO634" s="131"/>
      <c r="AP634" s="131"/>
      <c r="AQ634" s="131"/>
      <c r="AR634" s="131"/>
      <c r="AS634" s="131"/>
      <c r="AT634" s="131"/>
      <c r="AU634" s="91"/>
      <c r="AV634" s="91"/>
      <c r="AW634" s="131"/>
      <c r="AX634" s="131"/>
      <c r="AY634" s="131"/>
    </row>
    <row r="635" spans="1:51" ht="15" x14ac:dyDescent="0.25">
      <c r="A635" s="123"/>
      <c r="B635" s="124"/>
      <c r="C635" s="125">
        <v>469673</v>
      </c>
      <c r="D635" s="89"/>
      <c r="E635" s="86" t="s">
        <v>14</v>
      </c>
      <c r="F635" s="86" t="s">
        <v>418</v>
      </c>
      <c r="H635" s="126" t="s">
        <v>51</v>
      </c>
      <c r="I635" s="89">
        <v>1</v>
      </c>
      <c r="J635" s="127">
        <v>37692.1299</v>
      </c>
      <c r="K635" s="127">
        <v>62450.3</v>
      </c>
      <c r="L635" s="127">
        <v>7501.66</v>
      </c>
      <c r="M635" s="127">
        <v>17666.129900000018</v>
      </c>
      <c r="N635" s="127">
        <v>51859.30000000001</v>
      </c>
      <c r="O635" s="127">
        <v>6634.66</v>
      </c>
      <c r="P635" s="128">
        <f t="shared" si="81"/>
        <v>0.46869545305265486</v>
      </c>
      <c r="Q635" s="128">
        <f t="shared" si="82"/>
        <v>0.83040914134920096</v>
      </c>
      <c r="R635" s="128">
        <f t="shared" si="83"/>
        <v>0.88442558047152231</v>
      </c>
      <c r="S635" s="129">
        <v>1</v>
      </c>
      <c r="T635" s="129">
        <v>1</v>
      </c>
      <c r="U635" s="129">
        <v>1</v>
      </c>
      <c r="V635" s="138">
        <f t="shared" si="84"/>
        <v>3</v>
      </c>
      <c r="W635" s="138">
        <f t="shared" si="85"/>
        <v>3</v>
      </c>
      <c r="X635" s="138">
        <f t="shared" si="86"/>
        <v>1</v>
      </c>
      <c r="Y635" s="138">
        <f t="shared" si="87"/>
        <v>3</v>
      </c>
      <c r="Z635" s="138">
        <f t="shared" si="88"/>
        <v>3</v>
      </c>
      <c r="AA635" s="138">
        <f t="shared" si="89"/>
        <v>1</v>
      </c>
      <c r="AB635" s="127" t="s">
        <v>32</v>
      </c>
      <c r="AC635" s="127"/>
      <c r="AD635" s="127"/>
      <c r="AE635" s="130"/>
      <c r="AF635" s="136">
        <v>9.7100000000000009</v>
      </c>
      <c r="AG635" s="136">
        <v>11.33</v>
      </c>
      <c r="AH635" s="136">
        <v>28.49</v>
      </c>
      <c r="AI635" s="136">
        <v>5.99</v>
      </c>
      <c r="AJ635" s="136">
        <v>3.75</v>
      </c>
      <c r="AK635" s="136">
        <v>0.49</v>
      </c>
      <c r="AL635" s="136">
        <v>3.31</v>
      </c>
      <c r="AM635" s="136">
        <v>63.070000000000007</v>
      </c>
      <c r="AN635" s="131"/>
      <c r="AO635" s="131"/>
      <c r="AP635" s="131"/>
      <c r="AQ635" s="131"/>
      <c r="AR635" s="131"/>
      <c r="AS635" s="131"/>
      <c r="AT635" s="131"/>
      <c r="AU635" s="91"/>
      <c r="AV635" s="91"/>
      <c r="AW635" s="131"/>
      <c r="AX635" s="131"/>
      <c r="AY635" s="131"/>
    </row>
    <row r="636" spans="1:51" ht="15" x14ac:dyDescent="0.25">
      <c r="A636" s="123"/>
      <c r="B636" s="124"/>
      <c r="C636" s="125">
        <v>520242</v>
      </c>
      <c r="D636" s="89"/>
      <c r="E636" s="86" t="s">
        <v>14</v>
      </c>
      <c r="F636" s="86" t="s">
        <v>418</v>
      </c>
      <c r="H636" s="126" t="s">
        <v>51</v>
      </c>
      <c r="I636" s="89">
        <v>1</v>
      </c>
      <c r="J636" s="127">
        <v>37692.1299</v>
      </c>
      <c r="K636" s="127">
        <v>62450.3</v>
      </c>
      <c r="L636" s="127">
        <v>7501.66</v>
      </c>
      <c r="M636" s="127">
        <v>17666.129900000018</v>
      </c>
      <c r="N636" s="127">
        <v>51859.30000000001</v>
      </c>
      <c r="O636" s="127">
        <v>6634.66</v>
      </c>
      <c r="P636" s="128">
        <f t="shared" si="81"/>
        <v>0.46869545305265486</v>
      </c>
      <c r="Q636" s="128">
        <f t="shared" si="82"/>
        <v>0.83040914134920096</v>
      </c>
      <c r="R636" s="128">
        <f t="shared" si="83"/>
        <v>0.88442558047152231</v>
      </c>
      <c r="S636" s="129">
        <v>1</v>
      </c>
      <c r="T636" s="129">
        <v>1</v>
      </c>
      <c r="U636" s="129">
        <v>1</v>
      </c>
      <c r="V636" s="138">
        <f t="shared" si="84"/>
        <v>3</v>
      </c>
      <c r="W636" s="138">
        <f t="shared" si="85"/>
        <v>3</v>
      </c>
      <c r="X636" s="138">
        <f t="shared" si="86"/>
        <v>1</v>
      </c>
      <c r="Y636" s="138">
        <f t="shared" si="87"/>
        <v>3</v>
      </c>
      <c r="Z636" s="138">
        <f t="shared" si="88"/>
        <v>3</v>
      </c>
      <c r="AA636" s="138">
        <f t="shared" si="89"/>
        <v>1</v>
      </c>
      <c r="AB636" s="127" t="s">
        <v>32</v>
      </c>
      <c r="AC636" s="127"/>
      <c r="AD636" s="127"/>
      <c r="AE636" s="130"/>
      <c r="AF636" s="136">
        <v>9.7100000000000009</v>
      </c>
      <c r="AG636" s="136">
        <v>11.33</v>
      </c>
      <c r="AH636" s="136">
        <v>28.49</v>
      </c>
      <c r="AI636" s="136">
        <v>5.99</v>
      </c>
      <c r="AJ636" s="136">
        <v>3.75</v>
      </c>
      <c r="AK636" s="136">
        <v>0.49</v>
      </c>
      <c r="AL636" s="136">
        <v>3.31</v>
      </c>
      <c r="AM636" s="136">
        <v>63.070000000000007</v>
      </c>
      <c r="AN636" s="131"/>
      <c r="AO636" s="131"/>
      <c r="AP636" s="131"/>
      <c r="AQ636" s="131"/>
      <c r="AR636" s="131"/>
      <c r="AS636" s="131"/>
      <c r="AT636" s="131"/>
      <c r="AU636" s="91"/>
      <c r="AV636" s="91"/>
      <c r="AW636" s="131"/>
      <c r="AX636" s="131"/>
      <c r="AY636" s="131"/>
    </row>
    <row r="637" spans="1:51" ht="15" x14ac:dyDescent="0.25">
      <c r="A637" s="123"/>
      <c r="B637" s="124"/>
      <c r="C637" s="125">
        <v>525147</v>
      </c>
      <c r="D637" s="89"/>
      <c r="E637" s="86" t="s">
        <v>14</v>
      </c>
      <c r="F637" s="86" t="s">
        <v>418</v>
      </c>
      <c r="H637" s="126" t="s">
        <v>51</v>
      </c>
      <c r="I637" s="89">
        <v>1</v>
      </c>
      <c r="J637" s="127">
        <v>37692.1299</v>
      </c>
      <c r="K637" s="127">
        <v>62450.3</v>
      </c>
      <c r="L637" s="127">
        <v>7501.66</v>
      </c>
      <c r="M637" s="127">
        <v>17666.129900000018</v>
      </c>
      <c r="N637" s="127">
        <v>51859.30000000001</v>
      </c>
      <c r="O637" s="127">
        <v>6634.66</v>
      </c>
      <c r="P637" s="128">
        <f t="shared" si="81"/>
        <v>0.46869545305265486</v>
      </c>
      <c r="Q637" s="128">
        <f t="shared" si="82"/>
        <v>0.83040914134920096</v>
      </c>
      <c r="R637" s="128">
        <f t="shared" si="83"/>
        <v>0.88442558047152231</v>
      </c>
      <c r="S637" s="129">
        <v>1</v>
      </c>
      <c r="T637" s="129">
        <v>1</v>
      </c>
      <c r="U637" s="129">
        <v>1</v>
      </c>
      <c r="V637" s="138">
        <f t="shared" si="84"/>
        <v>3</v>
      </c>
      <c r="W637" s="138">
        <f t="shared" si="85"/>
        <v>3</v>
      </c>
      <c r="X637" s="138">
        <f t="shared" si="86"/>
        <v>1</v>
      </c>
      <c r="Y637" s="138">
        <f t="shared" si="87"/>
        <v>3</v>
      </c>
      <c r="Z637" s="138">
        <f t="shared" si="88"/>
        <v>3</v>
      </c>
      <c r="AA637" s="138">
        <f t="shared" si="89"/>
        <v>1</v>
      </c>
      <c r="AB637" s="127" t="s">
        <v>32</v>
      </c>
      <c r="AC637" s="127"/>
      <c r="AD637" s="127"/>
      <c r="AE637" s="130"/>
      <c r="AF637" s="136">
        <v>9.7100000000000009</v>
      </c>
      <c r="AG637" s="136">
        <v>11.33</v>
      </c>
      <c r="AH637" s="136">
        <v>28.49</v>
      </c>
      <c r="AI637" s="136">
        <v>5.99</v>
      </c>
      <c r="AJ637" s="136">
        <v>3.75</v>
      </c>
      <c r="AK637" s="136">
        <v>0.49</v>
      </c>
      <c r="AL637" s="136">
        <v>3.31</v>
      </c>
      <c r="AM637" s="136">
        <v>63.070000000000007</v>
      </c>
      <c r="AN637" s="131"/>
      <c r="AO637" s="131"/>
      <c r="AP637" s="131"/>
      <c r="AQ637" s="131"/>
      <c r="AR637" s="131"/>
      <c r="AS637" s="131"/>
      <c r="AT637" s="131"/>
      <c r="AU637" s="91"/>
      <c r="AV637" s="91"/>
      <c r="AW637" s="131"/>
      <c r="AX637" s="131"/>
      <c r="AY637" s="131"/>
    </row>
    <row r="638" spans="1:51" ht="15" x14ac:dyDescent="0.25">
      <c r="A638" s="123"/>
      <c r="B638" s="124"/>
      <c r="C638" s="125">
        <v>562932</v>
      </c>
      <c r="D638" s="89"/>
      <c r="E638" s="86" t="s">
        <v>14</v>
      </c>
      <c r="F638" s="86" t="s">
        <v>418</v>
      </c>
      <c r="H638" s="126" t="s">
        <v>51</v>
      </c>
      <c r="I638" s="89">
        <v>1</v>
      </c>
      <c r="J638" s="127">
        <v>37692.1299</v>
      </c>
      <c r="K638" s="127">
        <v>62450.3</v>
      </c>
      <c r="L638" s="127">
        <v>7501.66</v>
      </c>
      <c r="M638" s="127">
        <v>17666.129900000018</v>
      </c>
      <c r="N638" s="127">
        <v>51859.30000000001</v>
      </c>
      <c r="O638" s="127">
        <v>6634.66</v>
      </c>
      <c r="P638" s="128">
        <f t="shared" si="81"/>
        <v>0.46869545305265486</v>
      </c>
      <c r="Q638" s="128">
        <f t="shared" si="82"/>
        <v>0.83040914134920096</v>
      </c>
      <c r="R638" s="128">
        <f t="shared" si="83"/>
        <v>0.88442558047152231</v>
      </c>
      <c r="S638" s="129">
        <v>1</v>
      </c>
      <c r="T638" s="129">
        <v>1</v>
      </c>
      <c r="U638" s="129">
        <v>1</v>
      </c>
      <c r="V638" s="138">
        <f t="shared" si="84"/>
        <v>3</v>
      </c>
      <c r="W638" s="138">
        <f t="shared" si="85"/>
        <v>3</v>
      </c>
      <c r="X638" s="138">
        <f t="shared" si="86"/>
        <v>1</v>
      </c>
      <c r="Y638" s="138">
        <f t="shared" si="87"/>
        <v>3</v>
      </c>
      <c r="Z638" s="138">
        <f t="shared" si="88"/>
        <v>3</v>
      </c>
      <c r="AA638" s="138">
        <f t="shared" si="89"/>
        <v>1</v>
      </c>
      <c r="AB638" s="127" t="s">
        <v>32</v>
      </c>
      <c r="AC638" s="127"/>
      <c r="AD638" s="127"/>
      <c r="AE638" s="130"/>
      <c r="AF638" s="136">
        <v>9.7100000000000009</v>
      </c>
      <c r="AG638" s="136">
        <v>11.33</v>
      </c>
      <c r="AH638" s="136">
        <v>28.49</v>
      </c>
      <c r="AI638" s="136">
        <v>5.99</v>
      </c>
      <c r="AJ638" s="136">
        <v>3.75</v>
      </c>
      <c r="AK638" s="136">
        <v>0.49</v>
      </c>
      <c r="AL638" s="136">
        <v>3.31</v>
      </c>
      <c r="AM638" s="136">
        <v>63.070000000000007</v>
      </c>
      <c r="AN638" s="131"/>
      <c r="AO638" s="131"/>
      <c r="AP638" s="131"/>
      <c r="AQ638" s="131"/>
      <c r="AR638" s="131"/>
      <c r="AS638" s="131"/>
      <c r="AT638" s="131"/>
      <c r="AU638" s="91"/>
      <c r="AV638" s="91"/>
      <c r="AW638" s="131"/>
      <c r="AX638" s="131"/>
      <c r="AY638" s="131"/>
    </row>
    <row r="639" spans="1:51" ht="15" x14ac:dyDescent="0.25">
      <c r="A639" s="123"/>
      <c r="B639" s="124"/>
      <c r="C639" s="125">
        <v>642621</v>
      </c>
      <c r="D639" s="89"/>
      <c r="E639" s="86" t="s">
        <v>14</v>
      </c>
      <c r="F639" s="86" t="s">
        <v>418</v>
      </c>
      <c r="H639" s="126" t="s">
        <v>51</v>
      </c>
      <c r="I639" s="89">
        <v>1</v>
      </c>
      <c r="J639" s="127">
        <v>37692.1299</v>
      </c>
      <c r="K639" s="127">
        <v>62450.3</v>
      </c>
      <c r="L639" s="127">
        <v>7501.66</v>
      </c>
      <c r="M639" s="127">
        <v>17666.129900000018</v>
      </c>
      <c r="N639" s="127">
        <v>51859.30000000001</v>
      </c>
      <c r="O639" s="127">
        <v>6634.66</v>
      </c>
      <c r="P639" s="128">
        <f t="shared" si="81"/>
        <v>0.46869545305265486</v>
      </c>
      <c r="Q639" s="128">
        <f t="shared" si="82"/>
        <v>0.83040914134920096</v>
      </c>
      <c r="R639" s="128">
        <f t="shared" si="83"/>
        <v>0.88442558047152231</v>
      </c>
      <c r="S639" s="129">
        <v>1</v>
      </c>
      <c r="T639" s="129">
        <v>1</v>
      </c>
      <c r="U639" s="129">
        <v>1</v>
      </c>
      <c r="V639" s="138">
        <f t="shared" si="84"/>
        <v>3</v>
      </c>
      <c r="W639" s="138">
        <f t="shared" si="85"/>
        <v>3</v>
      </c>
      <c r="X639" s="138">
        <f t="shared" si="86"/>
        <v>1</v>
      </c>
      <c r="Y639" s="138">
        <f t="shared" si="87"/>
        <v>3</v>
      </c>
      <c r="Z639" s="138">
        <f t="shared" si="88"/>
        <v>3</v>
      </c>
      <c r="AA639" s="138">
        <f t="shared" si="89"/>
        <v>1</v>
      </c>
      <c r="AB639" s="127" t="s">
        <v>32</v>
      </c>
      <c r="AC639" s="127"/>
      <c r="AD639" s="127"/>
      <c r="AE639" s="130"/>
      <c r="AF639" s="136">
        <v>9.7100000000000009</v>
      </c>
      <c r="AG639" s="136">
        <v>11.33</v>
      </c>
      <c r="AH639" s="136">
        <v>28.49</v>
      </c>
      <c r="AI639" s="136">
        <v>5.99</v>
      </c>
      <c r="AJ639" s="136">
        <v>3.75</v>
      </c>
      <c r="AK639" s="136">
        <v>0.49</v>
      </c>
      <c r="AL639" s="136">
        <v>3.31</v>
      </c>
      <c r="AM639" s="136">
        <v>63.070000000000007</v>
      </c>
      <c r="AN639" s="131"/>
      <c r="AO639" s="131"/>
      <c r="AP639" s="131"/>
      <c r="AQ639" s="131"/>
      <c r="AR639" s="131"/>
      <c r="AS639" s="131"/>
      <c r="AT639" s="131"/>
      <c r="AU639" s="91"/>
      <c r="AV639" s="91"/>
      <c r="AW639" s="131"/>
      <c r="AX639" s="131"/>
      <c r="AY639" s="131"/>
    </row>
    <row r="640" spans="1:51" ht="15" x14ac:dyDescent="0.25">
      <c r="A640" s="123"/>
      <c r="B640" s="124"/>
      <c r="C640" s="125">
        <v>729922</v>
      </c>
      <c r="D640" s="89"/>
      <c r="E640" s="86" t="s">
        <v>14</v>
      </c>
      <c r="F640" s="86" t="s">
        <v>418</v>
      </c>
      <c r="H640" s="126" t="s">
        <v>51</v>
      </c>
      <c r="I640" s="89">
        <v>1</v>
      </c>
      <c r="J640" s="127">
        <v>37692.1299</v>
      </c>
      <c r="K640" s="127">
        <v>62450.3</v>
      </c>
      <c r="L640" s="127">
        <v>7501.66</v>
      </c>
      <c r="M640" s="127">
        <v>17666.129900000018</v>
      </c>
      <c r="N640" s="127">
        <v>51859.30000000001</v>
      </c>
      <c r="O640" s="127">
        <v>6634.66</v>
      </c>
      <c r="P640" s="128">
        <f t="shared" si="81"/>
        <v>0.46869545305265486</v>
      </c>
      <c r="Q640" s="128">
        <f t="shared" si="82"/>
        <v>0.83040914134920096</v>
      </c>
      <c r="R640" s="128">
        <f t="shared" si="83"/>
        <v>0.88442558047152231</v>
      </c>
      <c r="S640" s="129">
        <v>1</v>
      </c>
      <c r="T640" s="129">
        <v>1</v>
      </c>
      <c r="U640" s="129">
        <v>1</v>
      </c>
      <c r="V640" s="138">
        <f t="shared" si="84"/>
        <v>3</v>
      </c>
      <c r="W640" s="138">
        <f t="shared" si="85"/>
        <v>3</v>
      </c>
      <c r="X640" s="138">
        <f t="shared" si="86"/>
        <v>1</v>
      </c>
      <c r="Y640" s="138">
        <f t="shared" si="87"/>
        <v>3</v>
      </c>
      <c r="Z640" s="138">
        <f t="shared" si="88"/>
        <v>3</v>
      </c>
      <c r="AA640" s="138">
        <f t="shared" si="89"/>
        <v>1</v>
      </c>
      <c r="AB640" s="127" t="s">
        <v>32</v>
      </c>
      <c r="AC640" s="127"/>
      <c r="AD640" s="127"/>
      <c r="AE640" s="130"/>
      <c r="AF640" s="136">
        <v>9.7100000000000009</v>
      </c>
      <c r="AG640" s="136">
        <v>11.33</v>
      </c>
      <c r="AH640" s="136">
        <v>28.49</v>
      </c>
      <c r="AI640" s="136">
        <v>5.99</v>
      </c>
      <c r="AJ640" s="136">
        <v>3.75</v>
      </c>
      <c r="AK640" s="136">
        <v>0.49</v>
      </c>
      <c r="AL640" s="136">
        <v>3.31</v>
      </c>
      <c r="AM640" s="136">
        <v>63.070000000000007</v>
      </c>
      <c r="AN640" s="131"/>
      <c r="AO640" s="131"/>
      <c r="AP640" s="131"/>
      <c r="AQ640" s="131"/>
      <c r="AR640" s="131"/>
      <c r="AS640" s="131"/>
      <c r="AT640" s="131"/>
      <c r="AU640" s="91"/>
      <c r="AV640" s="91"/>
      <c r="AW640" s="131"/>
      <c r="AX640" s="131"/>
      <c r="AY640" s="131"/>
    </row>
    <row r="641" spans="1:51" ht="15" x14ac:dyDescent="0.25">
      <c r="A641" s="123"/>
      <c r="B641" s="124"/>
      <c r="C641" s="125">
        <v>759962</v>
      </c>
      <c r="D641" s="89"/>
      <c r="E641" s="86" t="s">
        <v>14</v>
      </c>
      <c r="F641" s="86" t="s">
        <v>418</v>
      </c>
      <c r="H641" s="126" t="s">
        <v>51</v>
      </c>
      <c r="I641" s="89">
        <v>1</v>
      </c>
      <c r="J641" s="127">
        <v>37692.1299</v>
      </c>
      <c r="K641" s="127">
        <v>62450.3</v>
      </c>
      <c r="L641" s="127">
        <v>7501.66</v>
      </c>
      <c r="M641" s="127">
        <v>17666.129900000018</v>
      </c>
      <c r="N641" s="127">
        <v>51859.30000000001</v>
      </c>
      <c r="O641" s="127">
        <v>6634.66</v>
      </c>
      <c r="P641" s="128">
        <f t="shared" si="81"/>
        <v>0.46869545305265486</v>
      </c>
      <c r="Q641" s="128">
        <f t="shared" si="82"/>
        <v>0.83040914134920096</v>
      </c>
      <c r="R641" s="128">
        <f t="shared" si="83"/>
        <v>0.88442558047152231</v>
      </c>
      <c r="S641" s="129">
        <v>1</v>
      </c>
      <c r="T641" s="129">
        <v>1</v>
      </c>
      <c r="U641" s="129">
        <v>1</v>
      </c>
      <c r="V641" s="138">
        <f t="shared" si="84"/>
        <v>3</v>
      </c>
      <c r="W641" s="138">
        <f t="shared" si="85"/>
        <v>3</v>
      </c>
      <c r="X641" s="138">
        <f t="shared" si="86"/>
        <v>1</v>
      </c>
      <c r="Y641" s="138">
        <f t="shared" si="87"/>
        <v>3</v>
      </c>
      <c r="Z641" s="138">
        <f t="shared" si="88"/>
        <v>3</v>
      </c>
      <c r="AA641" s="138">
        <f t="shared" si="89"/>
        <v>1</v>
      </c>
      <c r="AB641" s="127" t="s">
        <v>32</v>
      </c>
      <c r="AC641" s="127"/>
      <c r="AD641" s="127"/>
      <c r="AE641" s="130"/>
      <c r="AF641" s="136">
        <v>9.7100000000000009</v>
      </c>
      <c r="AG641" s="136">
        <v>11.33</v>
      </c>
      <c r="AH641" s="136">
        <v>28.49</v>
      </c>
      <c r="AI641" s="136">
        <v>5.99</v>
      </c>
      <c r="AJ641" s="136">
        <v>3.75</v>
      </c>
      <c r="AK641" s="136">
        <v>0.49</v>
      </c>
      <c r="AL641" s="136">
        <v>3.31</v>
      </c>
      <c r="AM641" s="136">
        <v>63.070000000000007</v>
      </c>
      <c r="AN641" s="131"/>
      <c r="AO641" s="131"/>
      <c r="AP641" s="131"/>
      <c r="AQ641" s="131"/>
      <c r="AR641" s="131"/>
      <c r="AS641" s="131"/>
      <c r="AT641" s="131"/>
      <c r="AU641" s="91"/>
      <c r="AV641" s="91"/>
      <c r="AW641" s="131"/>
      <c r="AX641" s="131"/>
      <c r="AY641" s="131"/>
    </row>
    <row r="642" spans="1:51" ht="15" x14ac:dyDescent="0.25">
      <c r="A642" s="123"/>
      <c r="B642" s="124"/>
      <c r="C642" s="125">
        <v>765827</v>
      </c>
      <c r="D642" s="89"/>
      <c r="E642" s="86" t="s">
        <v>14</v>
      </c>
      <c r="F642" s="86" t="s">
        <v>418</v>
      </c>
      <c r="H642" s="126" t="s">
        <v>51</v>
      </c>
      <c r="I642" s="89">
        <v>1</v>
      </c>
      <c r="J642" s="127">
        <v>37692.1299</v>
      </c>
      <c r="K642" s="127">
        <v>62450.3</v>
      </c>
      <c r="L642" s="127">
        <v>7501.66</v>
      </c>
      <c r="M642" s="127">
        <v>17666.129900000018</v>
      </c>
      <c r="N642" s="127">
        <v>51859.30000000001</v>
      </c>
      <c r="O642" s="127">
        <v>6634.66</v>
      </c>
      <c r="P642" s="128">
        <f t="shared" si="81"/>
        <v>0.46869545305265486</v>
      </c>
      <c r="Q642" s="128">
        <f t="shared" si="82"/>
        <v>0.83040914134920096</v>
      </c>
      <c r="R642" s="128">
        <f t="shared" si="83"/>
        <v>0.88442558047152231</v>
      </c>
      <c r="S642" s="129">
        <v>1</v>
      </c>
      <c r="T642" s="129">
        <v>1</v>
      </c>
      <c r="U642" s="129">
        <v>1</v>
      </c>
      <c r="V642" s="138">
        <f t="shared" si="84"/>
        <v>3</v>
      </c>
      <c r="W642" s="138">
        <f t="shared" si="85"/>
        <v>3</v>
      </c>
      <c r="X642" s="138">
        <f t="shared" si="86"/>
        <v>1</v>
      </c>
      <c r="Y642" s="138">
        <f t="shared" si="87"/>
        <v>3</v>
      </c>
      <c r="Z642" s="138">
        <f t="shared" si="88"/>
        <v>3</v>
      </c>
      <c r="AA642" s="138">
        <f t="shared" si="89"/>
        <v>1</v>
      </c>
      <c r="AB642" s="127" t="s">
        <v>32</v>
      </c>
      <c r="AC642" s="127"/>
      <c r="AD642" s="127"/>
      <c r="AE642" s="130"/>
      <c r="AF642" s="136">
        <v>9.7100000000000009</v>
      </c>
      <c r="AG642" s="136">
        <v>11.33</v>
      </c>
      <c r="AH642" s="136">
        <v>28.49</v>
      </c>
      <c r="AI642" s="136">
        <v>5.99</v>
      </c>
      <c r="AJ642" s="136">
        <v>3.75</v>
      </c>
      <c r="AK642" s="136">
        <v>0.49</v>
      </c>
      <c r="AL642" s="136">
        <v>3.31</v>
      </c>
      <c r="AM642" s="136">
        <v>63.070000000000007</v>
      </c>
      <c r="AN642" s="131"/>
      <c r="AO642" s="131"/>
      <c r="AP642" s="131"/>
      <c r="AQ642" s="131"/>
      <c r="AR642" s="131"/>
      <c r="AS642" s="131"/>
      <c r="AT642" s="131"/>
      <c r="AU642" s="91"/>
      <c r="AV642" s="91"/>
      <c r="AW642" s="131"/>
      <c r="AX642" s="131"/>
      <c r="AY642" s="131"/>
    </row>
    <row r="643" spans="1:51" ht="15" x14ac:dyDescent="0.25">
      <c r="A643" s="123"/>
      <c r="B643" s="124"/>
      <c r="C643" s="125">
        <v>790853</v>
      </c>
      <c r="D643" s="89"/>
      <c r="E643" s="86" t="s">
        <v>14</v>
      </c>
      <c r="F643" s="86" t="s">
        <v>418</v>
      </c>
      <c r="H643" s="126" t="s">
        <v>51</v>
      </c>
      <c r="I643" s="89">
        <v>1</v>
      </c>
      <c r="J643" s="127">
        <v>37692.1299</v>
      </c>
      <c r="K643" s="127">
        <v>62450.3</v>
      </c>
      <c r="L643" s="127">
        <v>7501.66</v>
      </c>
      <c r="M643" s="127">
        <v>17666.129900000018</v>
      </c>
      <c r="N643" s="127">
        <v>51859.30000000001</v>
      </c>
      <c r="O643" s="127">
        <v>6634.66</v>
      </c>
      <c r="P643" s="128">
        <f t="shared" si="81"/>
        <v>0.46869545305265486</v>
      </c>
      <c r="Q643" s="128">
        <f t="shared" si="82"/>
        <v>0.83040914134920096</v>
      </c>
      <c r="R643" s="128">
        <f t="shared" si="83"/>
        <v>0.88442558047152231</v>
      </c>
      <c r="S643" s="129">
        <v>1</v>
      </c>
      <c r="T643" s="129">
        <v>1</v>
      </c>
      <c r="U643" s="129">
        <v>1</v>
      </c>
      <c r="V643" s="138">
        <f t="shared" si="84"/>
        <v>3</v>
      </c>
      <c r="W643" s="138">
        <f t="shared" si="85"/>
        <v>3</v>
      </c>
      <c r="X643" s="138">
        <f t="shared" si="86"/>
        <v>1</v>
      </c>
      <c r="Y643" s="138">
        <f t="shared" si="87"/>
        <v>3</v>
      </c>
      <c r="Z643" s="138">
        <f t="shared" si="88"/>
        <v>3</v>
      </c>
      <c r="AA643" s="138">
        <f t="shared" si="89"/>
        <v>1</v>
      </c>
      <c r="AB643" s="127" t="s">
        <v>32</v>
      </c>
      <c r="AC643" s="127"/>
      <c r="AD643" s="127"/>
      <c r="AE643" s="130"/>
      <c r="AF643" s="136">
        <v>9.7100000000000009</v>
      </c>
      <c r="AG643" s="136">
        <v>11.33</v>
      </c>
      <c r="AH643" s="136">
        <v>28.49</v>
      </c>
      <c r="AI643" s="136">
        <v>5.99</v>
      </c>
      <c r="AJ643" s="136">
        <v>3.75</v>
      </c>
      <c r="AK643" s="136">
        <v>0.49</v>
      </c>
      <c r="AL643" s="136">
        <v>3.31</v>
      </c>
      <c r="AM643" s="136">
        <v>63.070000000000007</v>
      </c>
      <c r="AN643" s="131"/>
      <c r="AO643" s="131"/>
      <c r="AP643" s="131"/>
      <c r="AQ643" s="131"/>
      <c r="AR643" s="131"/>
      <c r="AS643" s="131"/>
      <c r="AT643" s="131"/>
      <c r="AU643" s="91"/>
      <c r="AV643" s="91"/>
      <c r="AW643" s="131"/>
      <c r="AX643" s="131"/>
      <c r="AY643" s="131"/>
    </row>
    <row r="644" spans="1:51" ht="15" x14ac:dyDescent="0.25">
      <c r="A644" s="123"/>
      <c r="B644" s="124"/>
      <c r="C644" s="125">
        <v>804144</v>
      </c>
      <c r="D644" s="89"/>
      <c r="E644" s="86" t="s">
        <v>14</v>
      </c>
      <c r="F644" s="86" t="s">
        <v>418</v>
      </c>
      <c r="H644" s="126" t="s">
        <v>51</v>
      </c>
      <c r="I644" s="89">
        <v>1</v>
      </c>
      <c r="J644" s="127">
        <v>37692.1299</v>
      </c>
      <c r="K644" s="127">
        <v>62450.3</v>
      </c>
      <c r="L644" s="127">
        <v>7501.66</v>
      </c>
      <c r="M644" s="127">
        <v>17666.129900000018</v>
      </c>
      <c r="N644" s="127">
        <v>51859.30000000001</v>
      </c>
      <c r="O644" s="127">
        <v>6634.66</v>
      </c>
      <c r="P644" s="128">
        <f t="shared" si="81"/>
        <v>0.46869545305265486</v>
      </c>
      <c r="Q644" s="128">
        <f t="shared" si="82"/>
        <v>0.83040914134920096</v>
      </c>
      <c r="R644" s="128">
        <f t="shared" si="83"/>
        <v>0.88442558047152231</v>
      </c>
      <c r="S644" s="129">
        <v>1</v>
      </c>
      <c r="T644" s="129">
        <v>1</v>
      </c>
      <c r="U644" s="129">
        <v>1</v>
      </c>
      <c r="V644" s="138">
        <f t="shared" si="84"/>
        <v>3</v>
      </c>
      <c r="W644" s="138">
        <f t="shared" si="85"/>
        <v>3</v>
      </c>
      <c r="X644" s="138">
        <f t="shared" si="86"/>
        <v>1</v>
      </c>
      <c r="Y644" s="138">
        <f t="shared" si="87"/>
        <v>3</v>
      </c>
      <c r="Z644" s="138">
        <f t="shared" si="88"/>
        <v>3</v>
      </c>
      <c r="AA644" s="138">
        <f t="shared" si="89"/>
        <v>1</v>
      </c>
      <c r="AB644" s="127" t="s">
        <v>32</v>
      </c>
      <c r="AC644" s="127"/>
      <c r="AD644" s="127"/>
      <c r="AE644" s="130"/>
      <c r="AF644" s="136">
        <v>9.7100000000000009</v>
      </c>
      <c r="AG644" s="136">
        <v>11.33</v>
      </c>
      <c r="AH644" s="136">
        <v>28.49</v>
      </c>
      <c r="AI644" s="136">
        <v>5.99</v>
      </c>
      <c r="AJ644" s="136">
        <v>3.75</v>
      </c>
      <c r="AK644" s="136">
        <v>0.49</v>
      </c>
      <c r="AL644" s="136">
        <v>3.31</v>
      </c>
      <c r="AM644" s="136">
        <v>63.070000000000007</v>
      </c>
      <c r="AN644" s="131"/>
      <c r="AO644" s="131"/>
      <c r="AP644" s="131"/>
      <c r="AQ644" s="131"/>
      <c r="AR644" s="131"/>
      <c r="AS644" s="131"/>
      <c r="AT644" s="131"/>
      <c r="AU644" s="91"/>
      <c r="AV644" s="91"/>
      <c r="AW644" s="131"/>
      <c r="AX644" s="131"/>
      <c r="AY644" s="131"/>
    </row>
    <row r="645" spans="1:51" ht="15" x14ac:dyDescent="0.25">
      <c r="A645" s="123"/>
      <c r="B645" s="124"/>
      <c r="C645" s="125">
        <v>899586</v>
      </c>
      <c r="D645" s="89"/>
      <c r="E645" s="86" t="s">
        <v>14</v>
      </c>
      <c r="F645" s="86" t="s">
        <v>418</v>
      </c>
      <c r="H645" s="126" t="s">
        <v>51</v>
      </c>
      <c r="I645" s="89">
        <v>1</v>
      </c>
      <c r="J645" s="127">
        <v>37692.1299</v>
      </c>
      <c r="K645" s="127">
        <v>62450.3</v>
      </c>
      <c r="L645" s="127">
        <v>7501.66</v>
      </c>
      <c r="M645" s="127">
        <v>17666.129900000018</v>
      </c>
      <c r="N645" s="127">
        <v>51859.30000000001</v>
      </c>
      <c r="O645" s="127">
        <v>6634.66</v>
      </c>
      <c r="P645" s="128">
        <f t="shared" si="81"/>
        <v>0.46869545305265486</v>
      </c>
      <c r="Q645" s="128">
        <f t="shared" si="82"/>
        <v>0.83040914134920096</v>
      </c>
      <c r="R645" s="128">
        <f t="shared" si="83"/>
        <v>0.88442558047152231</v>
      </c>
      <c r="S645" s="129">
        <v>1</v>
      </c>
      <c r="T645" s="129">
        <v>1</v>
      </c>
      <c r="U645" s="129">
        <v>1</v>
      </c>
      <c r="V645" s="138">
        <f t="shared" si="84"/>
        <v>3</v>
      </c>
      <c r="W645" s="138">
        <f t="shared" si="85"/>
        <v>3</v>
      </c>
      <c r="X645" s="138">
        <f t="shared" si="86"/>
        <v>1</v>
      </c>
      <c r="Y645" s="138">
        <f t="shared" si="87"/>
        <v>3</v>
      </c>
      <c r="Z645" s="138">
        <f t="shared" si="88"/>
        <v>3</v>
      </c>
      <c r="AA645" s="138">
        <f t="shared" si="89"/>
        <v>1</v>
      </c>
      <c r="AB645" s="127" t="s">
        <v>32</v>
      </c>
      <c r="AC645" s="127"/>
      <c r="AD645" s="127"/>
      <c r="AE645" s="130"/>
      <c r="AF645" s="136">
        <v>9.7100000000000009</v>
      </c>
      <c r="AG645" s="136">
        <v>11.33</v>
      </c>
      <c r="AH645" s="136">
        <v>28.49</v>
      </c>
      <c r="AI645" s="136">
        <v>5.99</v>
      </c>
      <c r="AJ645" s="136">
        <v>3.75</v>
      </c>
      <c r="AK645" s="136">
        <v>0.49</v>
      </c>
      <c r="AL645" s="136">
        <v>3.31</v>
      </c>
      <c r="AM645" s="136">
        <v>63.070000000000007</v>
      </c>
      <c r="AN645" s="131"/>
      <c r="AO645" s="131"/>
      <c r="AP645" s="131"/>
      <c r="AQ645" s="131"/>
      <c r="AR645" s="131"/>
      <c r="AS645" s="131"/>
      <c r="AT645" s="131"/>
      <c r="AU645" s="91"/>
      <c r="AV645" s="91"/>
      <c r="AW645" s="131"/>
      <c r="AX645" s="131"/>
      <c r="AY645" s="131"/>
    </row>
    <row r="646" spans="1:51" ht="15" x14ac:dyDescent="0.25">
      <c r="A646" s="123"/>
      <c r="B646" s="124"/>
      <c r="C646" s="125">
        <v>933216</v>
      </c>
      <c r="D646" s="89"/>
      <c r="E646" s="86" t="s">
        <v>14</v>
      </c>
      <c r="F646" s="86" t="s">
        <v>418</v>
      </c>
      <c r="H646" s="126" t="s">
        <v>51</v>
      </c>
      <c r="I646" s="89">
        <v>1</v>
      </c>
      <c r="J646" s="127">
        <v>37692.1299</v>
      </c>
      <c r="K646" s="127">
        <v>62450.3</v>
      </c>
      <c r="L646" s="127">
        <v>7501.66</v>
      </c>
      <c r="M646" s="127">
        <v>17666.129900000018</v>
      </c>
      <c r="N646" s="127">
        <v>51859.30000000001</v>
      </c>
      <c r="O646" s="127">
        <v>6634.66</v>
      </c>
      <c r="P646" s="128">
        <f t="shared" ref="P646:P709" si="90">M646/J646</f>
        <v>0.46869545305265486</v>
      </c>
      <c r="Q646" s="128">
        <f t="shared" ref="Q646:Q709" si="91">N646/K646</f>
        <v>0.83040914134920096</v>
      </c>
      <c r="R646" s="128">
        <f t="shared" ref="R646:R709" si="92">O646/L646</f>
        <v>0.88442558047152231</v>
      </c>
      <c r="S646" s="129">
        <v>1</v>
      </c>
      <c r="T646" s="129">
        <v>1</v>
      </c>
      <c r="U646" s="129">
        <v>1</v>
      </c>
      <c r="V646" s="138">
        <f t="shared" ref="V646:V709" si="93">I646+2</f>
        <v>3</v>
      </c>
      <c r="W646" s="138">
        <f t="shared" ref="W646:W709" si="94">I646+2</f>
        <v>3</v>
      </c>
      <c r="X646" s="138">
        <f t="shared" ref="X646:X709" si="95">I646</f>
        <v>1</v>
      </c>
      <c r="Y646" s="138">
        <f t="shared" ref="Y646:Y709" si="96">IF(S646=0,0,V646)</f>
        <v>3</v>
      </c>
      <c r="Z646" s="138">
        <f t="shared" ref="Z646:Z709" si="97">IF(T646=0,0,W646)</f>
        <v>3</v>
      </c>
      <c r="AA646" s="138">
        <f t="shared" ref="AA646:AA709" si="98">IF(U646=0,0,1)</f>
        <v>1</v>
      </c>
      <c r="AB646" s="127" t="s">
        <v>32</v>
      </c>
      <c r="AC646" s="127"/>
      <c r="AD646" s="127"/>
      <c r="AE646" s="130"/>
      <c r="AF646" s="136">
        <v>9.7100000000000009</v>
      </c>
      <c r="AG646" s="136">
        <v>11.33</v>
      </c>
      <c r="AH646" s="136">
        <v>28.49</v>
      </c>
      <c r="AI646" s="136">
        <v>5.99</v>
      </c>
      <c r="AJ646" s="136">
        <v>3.75</v>
      </c>
      <c r="AK646" s="136">
        <v>0.49</v>
      </c>
      <c r="AL646" s="136">
        <v>3.31</v>
      </c>
      <c r="AM646" s="136">
        <v>63.070000000000007</v>
      </c>
      <c r="AN646" s="131"/>
      <c r="AO646" s="131"/>
      <c r="AP646" s="131"/>
      <c r="AQ646" s="131"/>
      <c r="AR646" s="131"/>
      <c r="AS646" s="131"/>
      <c r="AT646" s="131"/>
      <c r="AU646" s="91"/>
      <c r="AV646" s="91"/>
      <c r="AW646" s="131"/>
      <c r="AX646" s="131"/>
      <c r="AY646" s="131"/>
    </row>
    <row r="647" spans="1:51" ht="15" x14ac:dyDescent="0.25">
      <c r="A647" s="123"/>
      <c r="B647" s="124"/>
      <c r="C647" s="125">
        <v>945372</v>
      </c>
      <c r="D647" s="89"/>
      <c r="E647" s="86" t="s">
        <v>14</v>
      </c>
      <c r="F647" s="86" t="s">
        <v>418</v>
      </c>
      <c r="H647" s="126" t="s">
        <v>51</v>
      </c>
      <c r="I647" s="89">
        <v>1</v>
      </c>
      <c r="J647" s="127">
        <v>37692.1299</v>
      </c>
      <c r="K647" s="127">
        <v>62450.3</v>
      </c>
      <c r="L647" s="127">
        <v>7501.66</v>
      </c>
      <c r="M647" s="127">
        <v>17666.129900000018</v>
      </c>
      <c r="N647" s="127">
        <v>51859.30000000001</v>
      </c>
      <c r="O647" s="127">
        <v>6634.66</v>
      </c>
      <c r="P647" s="128">
        <f t="shared" si="90"/>
        <v>0.46869545305265486</v>
      </c>
      <c r="Q647" s="128">
        <f t="shared" si="91"/>
        <v>0.83040914134920096</v>
      </c>
      <c r="R647" s="128">
        <f t="shared" si="92"/>
        <v>0.88442558047152231</v>
      </c>
      <c r="S647" s="129">
        <v>1</v>
      </c>
      <c r="T647" s="129">
        <v>1</v>
      </c>
      <c r="U647" s="129">
        <v>1</v>
      </c>
      <c r="V647" s="138">
        <f t="shared" si="93"/>
        <v>3</v>
      </c>
      <c r="W647" s="138">
        <f t="shared" si="94"/>
        <v>3</v>
      </c>
      <c r="X647" s="138">
        <f t="shared" si="95"/>
        <v>1</v>
      </c>
      <c r="Y647" s="138">
        <f t="shared" si="96"/>
        <v>3</v>
      </c>
      <c r="Z647" s="138">
        <f t="shared" si="97"/>
        <v>3</v>
      </c>
      <c r="AA647" s="138">
        <f t="shared" si="98"/>
        <v>1</v>
      </c>
      <c r="AB647" s="127" t="s">
        <v>32</v>
      </c>
      <c r="AC647" s="127"/>
      <c r="AD647" s="127"/>
      <c r="AE647" s="130"/>
      <c r="AF647" s="136">
        <v>9.7100000000000009</v>
      </c>
      <c r="AG647" s="136">
        <v>11.33</v>
      </c>
      <c r="AH647" s="136">
        <v>28.49</v>
      </c>
      <c r="AI647" s="136">
        <v>5.99</v>
      </c>
      <c r="AJ647" s="136">
        <v>3.75</v>
      </c>
      <c r="AK647" s="136">
        <v>0.49</v>
      </c>
      <c r="AL647" s="136">
        <v>3.31</v>
      </c>
      <c r="AM647" s="136">
        <v>63.070000000000007</v>
      </c>
      <c r="AN647" s="131"/>
      <c r="AO647" s="131"/>
      <c r="AP647" s="131"/>
      <c r="AQ647" s="131"/>
      <c r="AR647" s="131"/>
      <c r="AS647" s="131"/>
      <c r="AT647" s="131"/>
      <c r="AU647" s="91"/>
      <c r="AV647" s="91"/>
      <c r="AW647" s="131"/>
      <c r="AX647" s="131"/>
      <c r="AY647" s="131"/>
    </row>
    <row r="648" spans="1:51" ht="15" x14ac:dyDescent="0.25">
      <c r="A648" s="123"/>
      <c r="B648" s="124"/>
      <c r="C648" s="125">
        <v>961766</v>
      </c>
      <c r="D648" s="89"/>
      <c r="E648" s="86" t="s">
        <v>14</v>
      </c>
      <c r="F648" s="86" t="s">
        <v>418</v>
      </c>
      <c r="H648" s="126" t="s">
        <v>51</v>
      </c>
      <c r="I648" s="89">
        <v>1</v>
      </c>
      <c r="J648" s="127">
        <v>37692.1299</v>
      </c>
      <c r="K648" s="127">
        <v>62450.3</v>
      </c>
      <c r="L648" s="127">
        <v>7501.66</v>
      </c>
      <c r="M648" s="127">
        <v>17666.129900000018</v>
      </c>
      <c r="N648" s="127">
        <v>51859.30000000001</v>
      </c>
      <c r="O648" s="127">
        <v>6634.66</v>
      </c>
      <c r="P648" s="128">
        <f t="shared" si="90"/>
        <v>0.46869545305265486</v>
      </c>
      <c r="Q648" s="128">
        <f t="shared" si="91"/>
        <v>0.83040914134920096</v>
      </c>
      <c r="R648" s="128">
        <f t="shared" si="92"/>
        <v>0.88442558047152231</v>
      </c>
      <c r="S648" s="129">
        <v>1</v>
      </c>
      <c r="T648" s="129">
        <v>1</v>
      </c>
      <c r="U648" s="129">
        <v>1</v>
      </c>
      <c r="V648" s="138">
        <f t="shared" si="93"/>
        <v>3</v>
      </c>
      <c r="W648" s="138">
        <f t="shared" si="94"/>
        <v>3</v>
      </c>
      <c r="X648" s="138">
        <f t="shared" si="95"/>
        <v>1</v>
      </c>
      <c r="Y648" s="138">
        <f t="shared" si="96"/>
        <v>3</v>
      </c>
      <c r="Z648" s="138">
        <f t="shared" si="97"/>
        <v>3</v>
      </c>
      <c r="AA648" s="138">
        <f t="shared" si="98"/>
        <v>1</v>
      </c>
      <c r="AB648" s="127" t="s">
        <v>32</v>
      </c>
      <c r="AC648" s="127"/>
      <c r="AD648" s="127"/>
      <c r="AE648" s="130"/>
      <c r="AF648" s="136">
        <v>9.7100000000000009</v>
      </c>
      <c r="AG648" s="136">
        <v>11.33</v>
      </c>
      <c r="AH648" s="136">
        <v>28.49</v>
      </c>
      <c r="AI648" s="136">
        <v>5.99</v>
      </c>
      <c r="AJ648" s="136">
        <v>3.75</v>
      </c>
      <c r="AK648" s="136">
        <v>0.49</v>
      </c>
      <c r="AL648" s="136">
        <v>3.31</v>
      </c>
      <c r="AM648" s="136">
        <v>63.070000000000007</v>
      </c>
      <c r="AN648" s="131"/>
      <c r="AO648" s="131"/>
      <c r="AP648" s="131"/>
      <c r="AQ648" s="131"/>
      <c r="AR648" s="131"/>
      <c r="AS648" s="131"/>
      <c r="AT648" s="131"/>
      <c r="AU648" s="91"/>
      <c r="AV648" s="91"/>
      <c r="AW648" s="131"/>
      <c r="AX648" s="131"/>
      <c r="AY648" s="131"/>
    </row>
    <row r="649" spans="1:51" ht="15" x14ac:dyDescent="0.25">
      <c r="A649" s="123"/>
      <c r="B649" s="124"/>
      <c r="C649" s="125">
        <v>961798</v>
      </c>
      <c r="D649" s="89"/>
      <c r="E649" s="86" t="s">
        <v>14</v>
      </c>
      <c r="F649" s="86" t="s">
        <v>418</v>
      </c>
      <c r="H649" s="126" t="s">
        <v>51</v>
      </c>
      <c r="I649" s="89">
        <v>1</v>
      </c>
      <c r="J649" s="127">
        <v>37692.1299</v>
      </c>
      <c r="K649" s="127">
        <v>62450.3</v>
      </c>
      <c r="L649" s="127">
        <v>7501.66</v>
      </c>
      <c r="M649" s="127">
        <v>17666.129900000018</v>
      </c>
      <c r="N649" s="127">
        <v>51859.30000000001</v>
      </c>
      <c r="O649" s="127">
        <v>6634.66</v>
      </c>
      <c r="P649" s="128">
        <f t="shared" si="90"/>
        <v>0.46869545305265486</v>
      </c>
      <c r="Q649" s="128">
        <f t="shared" si="91"/>
        <v>0.83040914134920096</v>
      </c>
      <c r="R649" s="128">
        <f t="shared" si="92"/>
        <v>0.88442558047152231</v>
      </c>
      <c r="S649" s="129">
        <v>1</v>
      </c>
      <c r="T649" s="129">
        <v>1</v>
      </c>
      <c r="U649" s="129">
        <v>1</v>
      </c>
      <c r="V649" s="138">
        <f t="shared" si="93"/>
        <v>3</v>
      </c>
      <c r="W649" s="138">
        <f t="shared" si="94"/>
        <v>3</v>
      </c>
      <c r="X649" s="138">
        <f t="shared" si="95"/>
        <v>1</v>
      </c>
      <c r="Y649" s="138">
        <f t="shared" si="96"/>
        <v>3</v>
      </c>
      <c r="Z649" s="138">
        <f t="shared" si="97"/>
        <v>3</v>
      </c>
      <c r="AA649" s="138">
        <f t="shared" si="98"/>
        <v>1</v>
      </c>
      <c r="AB649" s="127" t="s">
        <v>32</v>
      </c>
      <c r="AC649" s="127"/>
      <c r="AD649" s="127"/>
      <c r="AE649" s="130"/>
      <c r="AF649" s="136">
        <v>9.7100000000000009</v>
      </c>
      <c r="AG649" s="136">
        <v>11.33</v>
      </c>
      <c r="AH649" s="136">
        <v>28.49</v>
      </c>
      <c r="AI649" s="136">
        <v>5.99</v>
      </c>
      <c r="AJ649" s="136">
        <v>3.75</v>
      </c>
      <c r="AK649" s="136">
        <v>0.49</v>
      </c>
      <c r="AL649" s="136">
        <v>3.31</v>
      </c>
      <c r="AM649" s="136">
        <v>63.070000000000007</v>
      </c>
      <c r="AN649" s="131"/>
      <c r="AO649" s="131"/>
      <c r="AP649" s="131"/>
      <c r="AQ649" s="131"/>
      <c r="AR649" s="131"/>
      <c r="AS649" s="131"/>
      <c r="AT649" s="131"/>
      <c r="AU649" s="91"/>
      <c r="AV649" s="91"/>
      <c r="AW649" s="131"/>
      <c r="AX649" s="131"/>
      <c r="AY649" s="131"/>
    </row>
    <row r="650" spans="1:51" ht="15" x14ac:dyDescent="0.25">
      <c r="A650" s="123"/>
      <c r="B650" s="124"/>
      <c r="C650" s="125">
        <v>985196</v>
      </c>
      <c r="D650" s="89"/>
      <c r="E650" s="86" t="s">
        <v>14</v>
      </c>
      <c r="F650" s="86" t="s">
        <v>418</v>
      </c>
      <c r="H650" s="126" t="s">
        <v>51</v>
      </c>
      <c r="I650" s="89">
        <v>2</v>
      </c>
      <c r="J650" s="127">
        <v>37692.1299</v>
      </c>
      <c r="K650" s="127">
        <v>62450.3</v>
      </c>
      <c r="L650" s="127">
        <v>7501.66</v>
      </c>
      <c r="M650" s="127">
        <v>17666.129900000018</v>
      </c>
      <c r="N650" s="127">
        <v>51859.30000000001</v>
      </c>
      <c r="O650" s="127">
        <v>6634.66</v>
      </c>
      <c r="P650" s="128">
        <f t="shared" si="90"/>
        <v>0.46869545305265486</v>
      </c>
      <c r="Q650" s="128">
        <f t="shared" si="91"/>
        <v>0.83040914134920096</v>
      </c>
      <c r="R650" s="128">
        <f t="shared" si="92"/>
        <v>0.88442558047152231</v>
      </c>
      <c r="S650" s="129">
        <v>1</v>
      </c>
      <c r="T650" s="129">
        <v>1</v>
      </c>
      <c r="U650" s="129">
        <v>1</v>
      </c>
      <c r="V650" s="138">
        <f t="shared" si="93"/>
        <v>4</v>
      </c>
      <c r="W650" s="138">
        <f t="shared" si="94"/>
        <v>4</v>
      </c>
      <c r="X650" s="138">
        <f t="shared" si="95"/>
        <v>2</v>
      </c>
      <c r="Y650" s="138">
        <f t="shared" si="96"/>
        <v>4</v>
      </c>
      <c r="Z650" s="138">
        <f t="shared" si="97"/>
        <v>4</v>
      </c>
      <c r="AA650" s="138">
        <f t="shared" si="98"/>
        <v>1</v>
      </c>
      <c r="AB650" s="127" t="s">
        <v>32</v>
      </c>
      <c r="AC650" s="127"/>
      <c r="AD650" s="127"/>
      <c r="AE650" s="130"/>
      <c r="AF650" s="136">
        <v>12.94</v>
      </c>
      <c r="AG650" s="136">
        <v>11.33</v>
      </c>
      <c r="AH650" s="136">
        <v>37.99</v>
      </c>
      <c r="AI650" s="136">
        <v>5.99</v>
      </c>
      <c r="AJ650" s="136">
        <v>3.75</v>
      </c>
      <c r="AK650" s="136">
        <v>0.49</v>
      </c>
      <c r="AL650" s="136">
        <v>3.31</v>
      </c>
      <c r="AM650" s="136">
        <v>75.8</v>
      </c>
      <c r="AN650" s="131"/>
      <c r="AO650" s="131"/>
      <c r="AP650" s="131"/>
      <c r="AQ650" s="131"/>
      <c r="AR650" s="131"/>
      <c r="AS650" s="131"/>
      <c r="AT650" s="131"/>
      <c r="AU650" s="91"/>
      <c r="AV650" s="91"/>
      <c r="AW650" s="131"/>
      <c r="AX650" s="131"/>
      <c r="AY650" s="131"/>
    </row>
    <row r="651" spans="1:51" ht="15" x14ac:dyDescent="0.25">
      <c r="A651" s="123"/>
      <c r="B651" s="124"/>
      <c r="C651" s="125">
        <v>8306</v>
      </c>
      <c r="D651" s="89"/>
      <c r="E651" s="86" t="s">
        <v>22</v>
      </c>
      <c r="F651" s="86" t="s">
        <v>418</v>
      </c>
      <c r="H651" s="126" t="s">
        <v>51</v>
      </c>
      <c r="I651" s="89">
        <v>1</v>
      </c>
      <c r="J651" s="127">
        <v>13880.7399</v>
      </c>
      <c r="K651" s="127">
        <v>52654.229999999996</v>
      </c>
      <c r="L651" s="127">
        <v>1465.6299999999997</v>
      </c>
      <c r="M651" s="127">
        <v>0</v>
      </c>
      <c r="N651" s="127">
        <v>43309.229999999996</v>
      </c>
      <c r="O651" s="127">
        <v>0</v>
      </c>
      <c r="P651" s="128">
        <f t="shared" si="90"/>
        <v>0</v>
      </c>
      <c r="Q651" s="128">
        <f t="shared" si="91"/>
        <v>0.82252138147305542</v>
      </c>
      <c r="R651" s="128">
        <f t="shared" si="92"/>
        <v>0</v>
      </c>
      <c r="S651" s="129">
        <v>0</v>
      </c>
      <c r="T651" s="129">
        <v>1</v>
      </c>
      <c r="U651" s="129">
        <v>0</v>
      </c>
      <c r="V651" s="138">
        <f t="shared" si="93"/>
        <v>3</v>
      </c>
      <c r="W651" s="138">
        <f t="shared" si="94"/>
        <v>3</v>
      </c>
      <c r="X651" s="138">
        <f t="shared" si="95"/>
        <v>1</v>
      </c>
      <c r="Y651" s="138">
        <f t="shared" si="96"/>
        <v>0</v>
      </c>
      <c r="Z651" s="138">
        <f t="shared" si="97"/>
        <v>3</v>
      </c>
      <c r="AA651" s="138">
        <f t="shared" si="98"/>
        <v>0</v>
      </c>
      <c r="AB651" s="127" t="s">
        <v>32</v>
      </c>
      <c r="AC651" s="127" t="s">
        <v>31</v>
      </c>
      <c r="AD651" s="127"/>
      <c r="AE651" s="130"/>
      <c r="AF651" s="136">
        <v>0</v>
      </c>
      <c r="AG651" s="136">
        <v>4.0599999999999996</v>
      </c>
      <c r="AH651" s="136">
        <v>27.76</v>
      </c>
      <c r="AI651" s="136">
        <v>5.99</v>
      </c>
      <c r="AJ651" s="136">
        <v>0</v>
      </c>
      <c r="AK651" s="136">
        <v>0.49</v>
      </c>
      <c r="AL651" s="136">
        <v>3.31</v>
      </c>
      <c r="AM651" s="136">
        <v>41.610000000000007</v>
      </c>
      <c r="AN651" s="131"/>
      <c r="AO651" s="131"/>
      <c r="AP651" s="131"/>
      <c r="AQ651" s="131"/>
      <c r="AR651" s="131"/>
      <c r="AS651" s="131"/>
      <c r="AT651" s="131"/>
      <c r="AU651" s="91"/>
      <c r="AV651" s="91"/>
      <c r="AW651" s="131"/>
      <c r="AX651" s="131"/>
      <c r="AY651" s="131"/>
    </row>
    <row r="652" spans="1:51" ht="15" x14ac:dyDescent="0.25">
      <c r="A652" s="123"/>
      <c r="B652" s="124"/>
      <c r="C652" s="125">
        <v>22262</v>
      </c>
      <c r="D652" s="89"/>
      <c r="E652" s="86" t="s">
        <v>22</v>
      </c>
      <c r="F652" s="86" t="s">
        <v>418</v>
      </c>
      <c r="H652" s="126" t="s">
        <v>51</v>
      </c>
      <c r="I652" s="89">
        <v>1</v>
      </c>
      <c r="J652" s="127">
        <v>13880.7399</v>
      </c>
      <c r="K652" s="127">
        <v>52654.229999999996</v>
      </c>
      <c r="L652" s="127">
        <v>1465.6299999999997</v>
      </c>
      <c r="M652" s="127">
        <v>0</v>
      </c>
      <c r="N652" s="127">
        <v>43309.229999999996</v>
      </c>
      <c r="O652" s="127">
        <v>0</v>
      </c>
      <c r="P652" s="128">
        <f t="shared" si="90"/>
        <v>0</v>
      </c>
      <c r="Q652" s="128">
        <f t="shared" si="91"/>
        <v>0.82252138147305542</v>
      </c>
      <c r="R652" s="128">
        <f t="shared" si="92"/>
        <v>0</v>
      </c>
      <c r="S652" s="129">
        <v>0</v>
      </c>
      <c r="T652" s="129">
        <v>1</v>
      </c>
      <c r="U652" s="129">
        <v>0</v>
      </c>
      <c r="V652" s="138">
        <f t="shared" si="93"/>
        <v>3</v>
      </c>
      <c r="W652" s="138">
        <f t="shared" si="94"/>
        <v>3</v>
      </c>
      <c r="X652" s="138">
        <f t="shared" si="95"/>
        <v>1</v>
      </c>
      <c r="Y652" s="138">
        <f t="shared" si="96"/>
        <v>0</v>
      </c>
      <c r="Z652" s="138">
        <f t="shared" si="97"/>
        <v>3</v>
      </c>
      <c r="AA652" s="138">
        <f t="shared" si="98"/>
        <v>0</v>
      </c>
      <c r="AB652" s="127" t="s">
        <v>32</v>
      </c>
      <c r="AC652" s="127" t="s">
        <v>31</v>
      </c>
      <c r="AD652" s="127"/>
      <c r="AE652" s="130"/>
      <c r="AF652" s="136">
        <v>0</v>
      </c>
      <c r="AG652" s="136">
        <v>4.0599999999999996</v>
      </c>
      <c r="AH652" s="136">
        <v>27.76</v>
      </c>
      <c r="AI652" s="136">
        <v>5.99</v>
      </c>
      <c r="AJ652" s="136">
        <v>0</v>
      </c>
      <c r="AK652" s="136">
        <v>0.49</v>
      </c>
      <c r="AL652" s="136">
        <v>3.31</v>
      </c>
      <c r="AM652" s="136">
        <v>41.610000000000007</v>
      </c>
      <c r="AN652" s="131"/>
      <c r="AO652" s="131"/>
      <c r="AP652" s="131"/>
      <c r="AQ652" s="131"/>
      <c r="AR652" s="131"/>
      <c r="AS652" s="131"/>
      <c r="AT652" s="131"/>
      <c r="AU652" s="91"/>
      <c r="AV652" s="91"/>
      <c r="AW652" s="131"/>
      <c r="AX652" s="131"/>
      <c r="AY652" s="131"/>
    </row>
    <row r="653" spans="1:51" ht="15" x14ac:dyDescent="0.25">
      <c r="A653" s="123"/>
      <c r="B653" s="124"/>
      <c r="C653" s="125">
        <v>57919</v>
      </c>
      <c r="D653" s="89"/>
      <c r="E653" s="86" t="s">
        <v>22</v>
      </c>
      <c r="F653" s="86" t="s">
        <v>418</v>
      </c>
      <c r="H653" s="126" t="s">
        <v>51</v>
      </c>
      <c r="I653" s="89">
        <v>1</v>
      </c>
      <c r="J653" s="127">
        <v>13880.7399</v>
      </c>
      <c r="K653" s="127">
        <v>52654.229999999996</v>
      </c>
      <c r="L653" s="127">
        <v>1465.6299999999997</v>
      </c>
      <c r="M653" s="127">
        <v>0</v>
      </c>
      <c r="N653" s="127">
        <v>43309.229999999996</v>
      </c>
      <c r="O653" s="127">
        <v>0</v>
      </c>
      <c r="P653" s="128">
        <f t="shared" si="90"/>
        <v>0</v>
      </c>
      <c r="Q653" s="128">
        <f t="shared" si="91"/>
        <v>0.82252138147305542</v>
      </c>
      <c r="R653" s="128">
        <f t="shared" si="92"/>
        <v>0</v>
      </c>
      <c r="S653" s="129">
        <v>0</v>
      </c>
      <c r="T653" s="129">
        <v>1</v>
      </c>
      <c r="U653" s="129">
        <v>0</v>
      </c>
      <c r="V653" s="138">
        <f t="shared" si="93"/>
        <v>3</v>
      </c>
      <c r="W653" s="138">
        <f t="shared" si="94"/>
        <v>3</v>
      </c>
      <c r="X653" s="138">
        <f t="shared" si="95"/>
        <v>1</v>
      </c>
      <c r="Y653" s="138">
        <f t="shared" si="96"/>
        <v>0</v>
      </c>
      <c r="Z653" s="138">
        <f t="shared" si="97"/>
        <v>3</v>
      </c>
      <c r="AA653" s="138">
        <f t="shared" si="98"/>
        <v>0</v>
      </c>
      <c r="AB653" s="127" t="s">
        <v>32</v>
      </c>
      <c r="AC653" s="127" t="s">
        <v>31</v>
      </c>
      <c r="AD653" s="127"/>
      <c r="AE653" s="130"/>
      <c r="AF653" s="136">
        <v>0</v>
      </c>
      <c r="AG653" s="136">
        <v>4.0599999999999996</v>
      </c>
      <c r="AH653" s="136">
        <v>27.76</v>
      </c>
      <c r="AI653" s="136">
        <v>5.99</v>
      </c>
      <c r="AJ653" s="136">
        <v>0</v>
      </c>
      <c r="AK653" s="136">
        <v>0.49</v>
      </c>
      <c r="AL653" s="136">
        <v>3.31</v>
      </c>
      <c r="AM653" s="136">
        <v>41.610000000000007</v>
      </c>
      <c r="AN653" s="131"/>
      <c r="AO653" s="131"/>
      <c r="AP653" s="131"/>
      <c r="AQ653" s="131"/>
      <c r="AR653" s="131"/>
      <c r="AS653" s="131"/>
      <c r="AT653" s="131"/>
      <c r="AU653" s="91"/>
      <c r="AV653" s="91"/>
      <c r="AW653" s="131"/>
      <c r="AX653" s="131"/>
      <c r="AY653" s="131"/>
    </row>
    <row r="654" spans="1:51" ht="15" x14ac:dyDescent="0.25">
      <c r="A654" s="123"/>
      <c r="B654" s="124"/>
      <c r="C654" s="125">
        <v>73064</v>
      </c>
      <c r="D654" s="89"/>
      <c r="E654" s="86" t="s">
        <v>22</v>
      </c>
      <c r="F654" s="86" t="s">
        <v>418</v>
      </c>
      <c r="H654" s="126" t="s">
        <v>51</v>
      </c>
      <c r="I654" s="89">
        <v>1</v>
      </c>
      <c r="J654" s="127">
        <v>13880.7399</v>
      </c>
      <c r="K654" s="127">
        <v>52654.229999999996</v>
      </c>
      <c r="L654" s="127">
        <v>1465.6299999999997</v>
      </c>
      <c r="M654" s="127">
        <v>0</v>
      </c>
      <c r="N654" s="127">
        <v>43309.229999999996</v>
      </c>
      <c r="O654" s="127">
        <v>0</v>
      </c>
      <c r="P654" s="128">
        <f t="shared" si="90"/>
        <v>0</v>
      </c>
      <c r="Q654" s="128">
        <f t="shared" si="91"/>
        <v>0.82252138147305542</v>
      </c>
      <c r="R654" s="128">
        <f t="shared" si="92"/>
        <v>0</v>
      </c>
      <c r="S654" s="129">
        <v>0</v>
      </c>
      <c r="T654" s="129">
        <v>1</v>
      </c>
      <c r="U654" s="129">
        <v>0</v>
      </c>
      <c r="V654" s="138">
        <f t="shared" si="93"/>
        <v>3</v>
      </c>
      <c r="W654" s="138">
        <f t="shared" si="94"/>
        <v>3</v>
      </c>
      <c r="X654" s="138">
        <f t="shared" si="95"/>
        <v>1</v>
      </c>
      <c r="Y654" s="138">
        <f t="shared" si="96"/>
        <v>0</v>
      </c>
      <c r="Z654" s="138">
        <f t="shared" si="97"/>
        <v>3</v>
      </c>
      <c r="AA654" s="138">
        <f t="shared" si="98"/>
        <v>0</v>
      </c>
      <c r="AB654" s="127" t="s">
        <v>32</v>
      </c>
      <c r="AC654" s="127" t="s">
        <v>31</v>
      </c>
      <c r="AD654" s="127"/>
      <c r="AE654" s="130"/>
      <c r="AF654" s="136">
        <v>0</v>
      </c>
      <c r="AG654" s="136">
        <v>4.0599999999999996</v>
      </c>
      <c r="AH654" s="136">
        <v>27.76</v>
      </c>
      <c r="AI654" s="136">
        <v>5.99</v>
      </c>
      <c r="AJ654" s="136">
        <v>0</v>
      </c>
      <c r="AK654" s="136">
        <v>0.49</v>
      </c>
      <c r="AL654" s="136">
        <v>3.31</v>
      </c>
      <c r="AM654" s="136">
        <v>41.610000000000007</v>
      </c>
      <c r="AN654" s="131"/>
      <c r="AO654" s="131"/>
      <c r="AP654" s="131"/>
      <c r="AQ654" s="131"/>
      <c r="AR654" s="131"/>
      <c r="AS654" s="131"/>
      <c r="AT654" s="131"/>
      <c r="AU654" s="91"/>
      <c r="AV654" s="91"/>
      <c r="AW654" s="131"/>
      <c r="AX654" s="131"/>
      <c r="AY654" s="131"/>
    </row>
    <row r="655" spans="1:51" ht="15" x14ac:dyDescent="0.25">
      <c r="A655" s="123"/>
      <c r="B655" s="124"/>
      <c r="C655" s="125">
        <v>101759</v>
      </c>
      <c r="D655" s="89"/>
      <c r="E655" s="86" t="s">
        <v>22</v>
      </c>
      <c r="F655" s="86" t="s">
        <v>418</v>
      </c>
      <c r="H655" s="126" t="s">
        <v>51</v>
      </c>
      <c r="I655" s="89">
        <v>1</v>
      </c>
      <c r="J655" s="127">
        <v>13880.7399</v>
      </c>
      <c r="K655" s="127">
        <v>52654.229999999996</v>
      </c>
      <c r="L655" s="127">
        <v>1465.6299999999997</v>
      </c>
      <c r="M655" s="127">
        <v>0</v>
      </c>
      <c r="N655" s="127">
        <v>43309.229999999996</v>
      </c>
      <c r="O655" s="127">
        <v>0</v>
      </c>
      <c r="P655" s="128">
        <f t="shared" si="90"/>
        <v>0</v>
      </c>
      <c r="Q655" s="128">
        <f t="shared" si="91"/>
        <v>0.82252138147305542</v>
      </c>
      <c r="R655" s="128">
        <f t="shared" si="92"/>
        <v>0</v>
      </c>
      <c r="S655" s="129">
        <v>0</v>
      </c>
      <c r="T655" s="129">
        <v>1</v>
      </c>
      <c r="U655" s="129">
        <v>0</v>
      </c>
      <c r="V655" s="138">
        <f t="shared" si="93"/>
        <v>3</v>
      </c>
      <c r="W655" s="138">
        <f t="shared" si="94"/>
        <v>3</v>
      </c>
      <c r="X655" s="138">
        <f t="shared" si="95"/>
        <v>1</v>
      </c>
      <c r="Y655" s="138">
        <f t="shared" si="96"/>
        <v>0</v>
      </c>
      <c r="Z655" s="138">
        <f t="shared" si="97"/>
        <v>3</v>
      </c>
      <c r="AA655" s="138">
        <f t="shared" si="98"/>
        <v>0</v>
      </c>
      <c r="AB655" s="127" t="s">
        <v>32</v>
      </c>
      <c r="AC655" s="127" t="s">
        <v>31</v>
      </c>
      <c r="AD655" s="127"/>
      <c r="AE655" s="130"/>
      <c r="AF655" s="136">
        <v>0</v>
      </c>
      <c r="AG655" s="136">
        <v>4.0599999999999996</v>
      </c>
      <c r="AH655" s="136">
        <v>27.76</v>
      </c>
      <c r="AI655" s="136">
        <v>5.99</v>
      </c>
      <c r="AJ655" s="136">
        <v>0</v>
      </c>
      <c r="AK655" s="136">
        <v>0.49</v>
      </c>
      <c r="AL655" s="136">
        <v>3.31</v>
      </c>
      <c r="AM655" s="136">
        <v>41.610000000000007</v>
      </c>
      <c r="AN655" s="131"/>
      <c r="AO655" s="131"/>
      <c r="AP655" s="131"/>
      <c r="AQ655" s="131"/>
      <c r="AR655" s="131"/>
      <c r="AS655" s="131"/>
      <c r="AT655" s="131"/>
      <c r="AU655" s="91"/>
      <c r="AV655" s="91"/>
      <c r="AW655" s="131"/>
      <c r="AX655" s="131"/>
      <c r="AY655" s="131"/>
    </row>
    <row r="656" spans="1:51" ht="15" x14ac:dyDescent="0.25">
      <c r="A656" s="123"/>
      <c r="B656" s="124"/>
      <c r="C656" s="125">
        <v>125170</v>
      </c>
      <c r="D656" s="89"/>
      <c r="E656" s="86" t="s">
        <v>22</v>
      </c>
      <c r="F656" s="86" t="s">
        <v>418</v>
      </c>
      <c r="H656" s="126" t="s">
        <v>51</v>
      </c>
      <c r="I656" s="89">
        <v>1</v>
      </c>
      <c r="J656" s="127">
        <v>13880.7399</v>
      </c>
      <c r="K656" s="127">
        <v>52654.229999999996</v>
      </c>
      <c r="L656" s="127">
        <v>1465.6299999999997</v>
      </c>
      <c r="M656" s="127">
        <v>0</v>
      </c>
      <c r="N656" s="127">
        <v>43309.229999999996</v>
      </c>
      <c r="O656" s="127">
        <v>0</v>
      </c>
      <c r="P656" s="128">
        <f t="shared" si="90"/>
        <v>0</v>
      </c>
      <c r="Q656" s="128">
        <f t="shared" si="91"/>
        <v>0.82252138147305542</v>
      </c>
      <c r="R656" s="128">
        <f t="shared" si="92"/>
        <v>0</v>
      </c>
      <c r="S656" s="129">
        <v>0</v>
      </c>
      <c r="T656" s="129">
        <v>1</v>
      </c>
      <c r="U656" s="129">
        <v>0</v>
      </c>
      <c r="V656" s="138">
        <f t="shared" si="93"/>
        <v>3</v>
      </c>
      <c r="W656" s="138">
        <f t="shared" si="94"/>
        <v>3</v>
      </c>
      <c r="X656" s="138">
        <f t="shared" si="95"/>
        <v>1</v>
      </c>
      <c r="Y656" s="138">
        <f t="shared" si="96"/>
        <v>0</v>
      </c>
      <c r="Z656" s="138">
        <f t="shared" si="97"/>
        <v>3</v>
      </c>
      <c r="AA656" s="138">
        <f t="shared" si="98"/>
        <v>0</v>
      </c>
      <c r="AB656" s="127" t="s">
        <v>32</v>
      </c>
      <c r="AC656" s="127" t="s">
        <v>31</v>
      </c>
      <c r="AD656" s="127"/>
      <c r="AE656" s="130"/>
      <c r="AF656" s="136">
        <v>0</v>
      </c>
      <c r="AG656" s="136">
        <v>4.0599999999999996</v>
      </c>
      <c r="AH656" s="136">
        <v>27.76</v>
      </c>
      <c r="AI656" s="136">
        <v>5.99</v>
      </c>
      <c r="AJ656" s="136">
        <v>0</v>
      </c>
      <c r="AK656" s="136">
        <v>0.49</v>
      </c>
      <c r="AL656" s="136">
        <v>3.31</v>
      </c>
      <c r="AM656" s="136">
        <v>41.610000000000007</v>
      </c>
      <c r="AN656" s="131"/>
      <c r="AO656" s="131"/>
      <c r="AP656" s="131"/>
      <c r="AQ656" s="131"/>
      <c r="AR656" s="131"/>
      <c r="AS656" s="131"/>
      <c r="AT656" s="131"/>
      <c r="AU656" s="91"/>
      <c r="AV656" s="91"/>
      <c r="AW656" s="131"/>
      <c r="AX656" s="131"/>
      <c r="AY656" s="131"/>
    </row>
    <row r="657" spans="1:51" ht="15" x14ac:dyDescent="0.25">
      <c r="A657" s="123"/>
      <c r="B657" s="124"/>
      <c r="C657" s="125">
        <v>214290</v>
      </c>
      <c r="D657" s="89"/>
      <c r="E657" s="86" t="s">
        <v>22</v>
      </c>
      <c r="F657" s="86" t="s">
        <v>418</v>
      </c>
      <c r="H657" s="126" t="s">
        <v>51</v>
      </c>
      <c r="I657" s="89">
        <v>1</v>
      </c>
      <c r="J657" s="127">
        <v>13880.7399</v>
      </c>
      <c r="K657" s="127">
        <v>52654.229999999996</v>
      </c>
      <c r="L657" s="127">
        <v>1465.6299999999997</v>
      </c>
      <c r="M657" s="127">
        <v>0</v>
      </c>
      <c r="N657" s="127">
        <v>43309.229999999996</v>
      </c>
      <c r="O657" s="127">
        <v>0</v>
      </c>
      <c r="P657" s="128">
        <f t="shared" si="90"/>
        <v>0</v>
      </c>
      <c r="Q657" s="128">
        <f t="shared" si="91"/>
        <v>0.82252138147305542</v>
      </c>
      <c r="R657" s="128">
        <f t="shared" si="92"/>
        <v>0</v>
      </c>
      <c r="S657" s="129">
        <v>0</v>
      </c>
      <c r="T657" s="129">
        <v>1</v>
      </c>
      <c r="U657" s="129">
        <v>0</v>
      </c>
      <c r="V657" s="138">
        <f t="shared" si="93"/>
        <v>3</v>
      </c>
      <c r="W657" s="138">
        <f t="shared" si="94"/>
        <v>3</v>
      </c>
      <c r="X657" s="138">
        <f t="shared" si="95"/>
        <v>1</v>
      </c>
      <c r="Y657" s="138">
        <f t="shared" si="96"/>
        <v>0</v>
      </c>
      <c r="Z657" s="138">
        <f t="shared" si="97"/>
        <v>3</v>
      </c>
      <c r="AA657" s="138">
        <f t="shared" si="98"/>
        <v>0</v>
      </c>
      <c r="AB657" s="127" t="s">
        <v>32</v>
      </c>
      <c r="AC657" s="127" t="s">
        <v>31</v>
      </c>
      <c r="AD657" s="127"/>
      <c r="AE657" s="130"/>
      <c r="AF657" s="136">
        <v>0</v>
      </c>
      <c r="AG657" s="136">
        <v>4.0599999999999996</v>
      </c>
      <c r="AH657" s="136">
        <v>27.76</v>
      </c>
      <c r="AI657" s="136">
        <v>5.99</v>
      </c>
      <c r="AJ657" s="136">
        <v>0</v>
      </c>
      <c r="AK657" s="136">
        <v>0.49</v>
      </c>
      <c r="AL657" s="136">
        <v>3.31</v>
      </c>
      <c r="AM657" s="136">
        <v>41.610000000000007</v>
      </c>
      <c r="AN657" s="131"/>
      <c r="AO657" s="131"/>
      <c r="AP657" s="131"/>
      <c r="AQ657" s="131"/>
      <c r="AR657" s="131"/>
      <c r="AS657" s="131"/>
      <c r="AT657" s="131"/>
      <c r="AU657" s="91"/>
      <c r="AV657" s="91"/>
      <c r="AW657" s="131"/>
      <c r="AX657" s="131"/>
      <c r="AY657" s="131"/>
    </row>
    <row r="658" spans="1:51" ht="15" x14ac:dyDescent="0.25">
      <c r="A658" s="123"/>
      <c r="B658" s="124"/>
      <c r="C658" s="125">
        <v>325676</v>
      </c>
      <c r="D658" s="89"/>
      <c r="E658" s="86" t="s">
        <v>22</v>
      </c>
      <c r="F658" s="86" t="s">
        <v>418</v>
      </c>
      <c r="H658" s="126" t="s">
        <v>51</v>
      </c>
      <c r="I658" s="89">
        <v>1</v>
      </c>
      <c r="J658" s="127">
        <v>13880.7399</v>
      </c>
      <c r="K658" s="127">
        <v>52654.229999999996</v>
      </c>
      <c r="L658" s="127">
        <v>1465.6299999999997</v>
      </c>
      <c r="M658" s="127">
        <v>0</v>
      </c>
      <c r="N658" s="127">
        <v>43309.229999999996</v>
      </c>
      <c r="O658" s="127">
        <v>0</v>
      </c>
      <c r="P658" s="128">
        <f t="shared" si="90"/>
        <v>0</v>
      </c>
      <c r="Q658" s="128">
        <f t="shared" si="91"/>
        <v>0.82252138147305542</v>
      </c>
      <c r="R658" s="128">
        <f t="shared" si="92"/>
        <v>0</v>
      </c>
      <c r="S658" s="129">
        <v>0</v>
      </c>
      <c r="T658" s="129">
        <v>1</v>
      </c>
      <c r="U658" s="129">
        <v>0</v>
      </c>
      <c r="V658" s="138">
        <f t="shared" si="93"/>
        <v>3</v>
      </c>
      <c r="W658" s="138">
        <f t="shared" si="94"/>
        <v>3</v>
      </c>
      <c r="X658" s="138">
        <f t="shared" si="95"/>
        <v>1</v>
      </c>
      <c r="Y658" s="138">
        <f t="shared" si="96"/>
        <v>0</v>
      </c>
      <c r="Z658" s="138">
        <f t="shared" si="97"/>
        <v>3</v>
      </c>
      <c r="AA658" s="138">
        <f t="shared" si="98"/>
        <v>0</v>
      </c>
      <c r="AB658" s="127" t="s">
        <v>32</v>
      </c>
      <c r="AC658" s="127" t="s">
        <v>31</v>
      </c>
      <c r="AD658" s="127"/>
      <c r="AE658" s="130"/>
      <c r="AF658" s="136">
        <v>0</v>
      </c>
      <c r="AG658" s="136">
        <v>4.0599999999999996</v>
      </c>
      <c r="AH658" s="136">
        <v>27.76</v>
      </c>
      <c r="AI658" s="136">
        <v>5.99</v>
      </c>
      <c r="AJ658" s="136">
        <v>0</v>
      </c>
      <c r="AK658" s="136">
        <v>0.49</v>
      </c>
      <c r="AL658" s="136">
        <v>3.31</v>
      </c>
      <c r="AM658" s="136">
        <v>41.610000000000007</v>
      </c>
      <c r="AN658" s="131"/>
      <c r="AO658" s="131"/>
      <c r="AP658" s="131"/>
      <c r="AQ658" s="131"/>
      <c r="AR658" s="131"/>
      <c r="AS658" s="131"/>
      <c r="AT658" s="131"/>
      <c r="AU658" s="91"/>
      <c r="AV658" s="91"/>
      <c r="AW658" s="131"/>
      <c r="AX658" s="131"/>
      <c r="AY658" s="131"/>
    </row>
    <row r="659" spans="1:51" ht="15" x14ac:dyDescent="0.25">
      <c r="A659" s="123"/>
      <c r="B659" s="124"/>
      <c r="C659" s="125">
        <v>341712</v>
      </c>
      <c r="D659" s="89"/>
      <c r="E659" s="86" t="s">
        <v>22</v>
      </c>
      <c r="F659" s="86" t="s">
        <v>418</v>
      </c>
      <c r="H659" s="126" t="s">
        <v>51</v>
      </c>
      <c r="I659" s="89">
        <v>1</v>
      </c>
      <c r="J659" s="127">
        <v>13880.7399</v>
      </c>
      <c r="K659" s="127">
        <v>52654.229999999996</v>
      </c>
      <c r="L659" s="127">
        <v>1465.6299999999997</v>
      </c>
      <c r="M659" s="127">
        <v>0</v>
      </c>
      <c r="N659" s="127">
        <v>43309.229999999996</v>
      </c>
      <c r="O659" s="127">
        <v>0</v>
      </c>
      <c r="P659" s="128">
        <f t="shared" si="90"/>
        <v>0</v>
      </c>
      <c r="Q659" s="128">
        <f t="shared" si="91"/>
        <v>0.82252138147305542</v>
      </c>
      <c r="R659" s="128">
        <f t="shared" si="92"/>
        <v>0</v>
      </c>
      <c r="S659" s="129">
        <v>0</v>
      </c>
      <c r="T659" s="129">
        <v>1</v>
      </c>
      <c r="U659" s="129">
        <v>0</v>
      </c>
      <c r="V659" s="138">
        <f t="shared" si="93"/>
        <v>3</v>
      </c>
      <c r="W659" s="138">
        <f t="shared" si="94"/>
        <v>3</v>
      </c>
      <c r="X659" s="138">
        <f t="shared" si="95"/>
        <v>1</v>
      </c>
      <c r="Y659" s="138">
        <f t="shared" si="96"/>
        <v>0</v>
      </c>
      <c r="Z659" s="138">
        <f t="shared" si="97"/>
        <v>3</v>
      </c>
      <c r="AA659" s="138">
        <f t="shared" si="98"/>
        <v>0</v>
      </c>
      <c r="AB659" s="127" t="s">
        <v>32</v>
      </c>
      <c r="AC659" s="127" t="s">
        <v>31</v>
      </c>
      <c r="AD659" s="127"/>
      <c r="AE659" s="130"/>
      <c r="AF659" s="136">
        <v>0</v>
      </c>
      <c r="AG659" s="136">
        <v>4.0599999999999996</v>
      </c>
      <c r="AH659" s="136">
        <v>27.76</v>
      </c>
      <c r="AI659" s="136">
        <v>5.99</v>
      </c>
      <c r="AJ659" s="136">
        <v>0</v>
      </c>
      <c r="AK659" s="136">
        <v>0.49</v>
      </c>
      <c r="AL659" s="136">
        <v>3.31</v>
      </c>
      <c r="AM659" s="136">
        <v>41.610000000000007</v>
      </c>
      <c r="AN659" s="131"/>
      <c r="AO659" s="131"/>
      <c r="AP659" s="131"/>
      <c r="AQ659" s="131"/>
      <c r="AR659" s="131"/>
      <c r="AS659" s="131"/>
      <c r="AT659" s="131"/>
      <c r="AU659" s="91"/>
      <c r="AV659" s="91"/>
      <c r="AW659" s="131"/>
      <c r="AX659" s="131"/>
      <c r="AY659" s="131"/>
    </row>
    <row r="660" spans="1:51" ht="15" x14ac:dyDescent="0.25">
      <c r="A660" s="123"/>
      <c r="B660" s="124"/>
      <c r="C660" s="125">
        <v>345371</v>
      </c>
      <c r="D660" s="89"/>
      <c r="E660" s="86" t="s">
        <v>22</v>
      </c>
      <c r="F660" s="86" t="s">
        <v>418</v>
      </c>
      <c r="H660" s="126" t="s">
        <v>51</v>
      </c>
      <c r="I660" s="89">
        <v>1</v>
      </c>
      <c r="J660" s="127">
        <v>13880.7399</v>
      </c>
      <c r="K660" s="127">
        <v>52654.229999999996</v>
      </c>
      <c r="L660" s="127">
        <v>1465.6299999999997</v>
      </c>
      <c r="M660" s="127">
        <v>0</v>
      </c>
      <c r="N660" s="127">
        <v>43309.229999999996</v>
      </c>
      <c r="O660" s="127">
        <v>0</v>
      </c>
      <c r="P660" s="128">
        <f t="shared" si="90"/>
        <v>0</v>
      </c>
      <c r="Q660" s="128">
        <f t="shared" si="91"/>
        <v>0.82252138147305542</v>
      </c>
      <c r="R660" s="128">
        <f t="shared" si="92"/>
        <v>0</v>
      </c>
      <c r="S660" s="129">
        <v>0</v>
      </c>
      <c r="T660" s="129">
        <v>1</v>
      </c>
      <c r="U660" s="129">
        <v>0</v>
      </c>
      <c r="V660" s="138">
        <f t="shared" si="93"/>
        <v>3</v>
      </c>
      <c r="W660" s="138">
        <f t="shared" si="94"/>
        <v>3</v>
      </c>
      <c r="X660" s="138">
        <f t="shared" si="95"/>
        <v>1</v>
      </c>
      <c r="Y660" s="138">
        <f t="shared" si="96"/>
        <v>0</v>
      </c>
      <c r="Z660" s="138">
        <f t="shared" si="97"/>
        <v>3</v>
      </c>
      <c r="AA660" s="138">
        <f t="shared" si="98"/>
        <v>0</v>
      </c>
      <c r="AB660" s="127" t="s">
        <v>32</v>
      </c>
      <c r="AC660" s="127" t="s">
        <v>31</v>
      </c>
      <c r="AD660" s="127"/>
      <c r="AE660" s="130"/>
      <c r="AF660" s="136">
        <v>0</v>
      </c>
      <c r="AG660" s="136">
        <v>4.0599999999999996</v>
      </c>
      <c r="AH660" s="136">
        <v>27.76</v>
      </c>
      <c r="AI660" s="136">
        <v>5.99</v>
      </c>
      <c r="AJ660" s="136">
        <v>0</v>
      </c>
      <c r="AK660" s="136">
        <v>0.49</v>
      </c>
      <c r="AL660" s="136">
        <v>3.31</v>
      </c>
      <c r="AM660" s="136">
        <v>41.610000000000007</v>
      </c>
      <c r="AN660" s="131"/>
      <c r="AO660" s="131"/>
      <c r="AP660" s="131"/>
      <c r="AQ660" s="131"/>
      <c r="AR660" s="131"/>
      <c r="AS660" s="131"/>
      <c r="AT660" s="131"/>
      <c r="AU660" s="91"/>
      <c r="AV660" s="91"/>
      <c r="AW660" s="131"/>
      <c r="AX660" s="131"/>
      <c r="AY660" s="131"/>
    </row>
    <row r="661" spans="1:51" ht="15" x14ac:dyDescent="0.25">
      <c r="A661" s="123"/>
      <c r="B661" s="124"/>
      <c r="C661" s="125">
        <v>417989</v>
      </c>
      <c r="D661" s="89"/>
      <c r="E661" s="86" t="s">
        <v>22</v>
      </c>
      <c r="F661" s="86" t="s">
        <v>418</v>
      </c>
      <c r="H661" s="126" t="s">
        <v>51</v>
      </c>
      <c r="I661" s="89">
        <v>1</v>
      </c>
      <c r="J661" s="127">
        <v>13880.7399</v>
      </c>
      <c r="K661" s="127">
        <v>52654.229999999996</v>
      </c>
      <c r="L661" s="127">
        <v>1465.6299999999997</v>
      </c>
      <c r="M661" s="127">
        <v>0</v>
      </c>
      <c r="N661" s="127">
        <v>43309.229999999996</v>
      </c>
      <c r="O661" s="127">
        <v>0</v>
      </c>
      <c r="P661" s="128">
        <f t="shared" si="90"/>
        <v>0</v>
      </c>
      <c r="Q661" s="128">
        <f t="shared" si="91"/>
        <v>0.82252138147305542</v>
      </c>
      <c r="R661" s="128">
        <f t="shared" si="92"/>
        <v>0</v>
      </c>
      <c r="S661" s="129">
        <v>0</v>
      </c>
      <c r="T661" s="129">
        <v>1</v>
      </c>
      <c r="U661" s="129">
        <v>0</v>
      </c>
      <c r="V661" s="138">
        <f t="shared" si="93"/>
        <v>3</v>
      </c>
      <c r="W661" s="138">
        <f t="shared" si="94"/>
        <v>3</v>
      </c>
      <c r="X661" s="138">
        <f t="shared" si="95"/>
        <v>1</v>
      </c>
      <c r="Y661" s="138">
        <f t="shared" si="96"/>
        <v>0</v>
      </c>
      <c r="Z661" s="138">
        <f t="shared" si="97"/>
        <v>3</v>
      </c>
      <c r="AA661" s="138">
        <f t="shared" si="98"/>
        <v>0</v>
      </c>
      <c r="AB661" s="127" t="s">
        <v>32</v>
      </c>
      <c r="AC661" s="127" t="s">
        <v>31</v>
      </c>
      <c r="AD661" s="127"/>
      <c r="AE661" s="130"/>
      <c r="AF661" s="136">
        <v>0</v>
      </c>
      <c r="AG661" s="136">
        <v>4.0599999999999996</v>
      </c>
      <c r="AH661" s="136">
        <v>27.76</v>
      </c>
      <c r="AI661" s="136">
        <v>5.99</v>
      </c>
      <c r="AJ661" s="136">
        <v>0</v>
      </c>
      <c r="AK661" s="136">
        <v>0.49</v>
      </c>
      <c r="AL661" s="136">
        <v>3.31</v>
      </c>
      <c r="AM661" s="136">
        <v>41.610000000000007</v>
      </c>
      <c r="AN661" s="131"/>
      <c r="AO661" s="131"/>
      <c r="AP661" s="131"/>
      <c r="AQ661" s="131"/>
      <c r="AR661" s="131"/>
      <c r="AS661" s="131"/>
      <c r="AT661" s="131"/>
      <c r="AU661" s="91"/>
      <c r="AV661" s="91"/>
      <c r="AW661" s="131"/>
      <c r="AX661" s="131"/>
      <c r="AY661" s="131"/>
    </row>
    <row r="662" spans="1:51" ht="15" x14ac:dyDescent="0.25">
      <c r="A662" s="123"/>
      <c r="B662" s="124"/>
      <c r="C662" s="125">
        <v>450734</v>
      </c>
      <c r="D662" s="89"/>
      <c r="E662" s="86" t="s">
        <v>22</v>
      </c>
      <c r="F662" s="86" t="s">
        <v>418</v>
      </c>
      <c r="H662" s="126" t="s">
        <v>51</v>
      </c>
      <c r="I662" s="89">
        <v>1</v>
      </c>
      <c r="J662" s="127">
        <v>13880.7399</v>
      </c>
      <c r="K662" s="127">
        <v>52654.229999999996</v>
      </c>
      <c r="L662" s="127">
        <v>1465.6299999999997</v>
      </c>
      <c r="M662" s="127">
        <v>0</v>
      </c>
      <c r="N662" s="127">
        <v>43309.229999999996</v>
      </c>
      <c r="O662" s="127">
        <v>0</v>
      </c>
      <c r="P662" s="128">
        <f t="shared" si="90"/>
        <v>0</v>
      </c>
      <c r="Q662" s="128">
        <f t="shared" si="91"/>
        <v>0.82252138147305542</v>
      </c>
      <c r="R662" s="128">
        <f t="shared" si="92"/>
        <v>0</v>
      </c>
      <c r="S662" s="129">
        <v>0</v>
      </c>
      <c r="T662" s="129">
        <v>1</v>
      </c>
      <c r="U662" s="129">
        <v>0</v>
      </c>
      <c r="V662" s="138">
        <f t="shared" si="93"/>
        <v>3</v>
      </c>
      <c r="W662" s="138">
        <f t="shared" si="94"/>
        <v>3</v>
      </c>
      <c r="X662" s="138">
        <f t="shared" si="95"/>
        <v>1</v>
      </c>
      <c r="Y662" s="138">
        <f t="shared" si="96"/>
        <v>0</v>
      </c>
      <c r="Z662" s="138">
        <f t="shared" si="97"/>
        <v>3</v>
      </c>
      <c r="AA662" s="138">
        <f t="shared" si="98"/>
        <v>0</v>
      </c>
      <c r="AB662" s="127" t="s">
        <v>32</v>
      </c>
      <c r="AC662" s="127" t="s">
        <v>31</v>
      </c>
      <c r="AD662" s="127"/>
      <c r="AE662" s="130"/>
      <c r="AF662" s="136">
        <v>0</v>
      </c>
      <c r="AG662" s="136">
        <v>4.0599999999999996</v>
      </c>
      <c r="AH662" s="136">
        <v>27.76</v>
      </c>
      <c r="AI662" s="136">
        <v>5.99</v>
      </c>
      <c r="AJ662" s="136">
        <v>0</v>
      </c>
      <c r="AK662" s="136">
        <v>0.49</v>
      </c>
      <c r="AL662" s="136">
        <v>3.31</v>
      </c>
      <c r="AM662" s="136">
        <v>41.610000000000007</v>
      </c>
      <c r="AN662" s="131"/>
      <c r="AO662" s="131"/>
      <c r="AP662" s="131"/>
      <c r="AQ662" s="131"/>
      <c r="AR662" s="131"/>
      <c r="AS662" s="131"/>
      <c r="AT662" s="131"/>
      <c r="AU662" s="91"/>
      <c r="AV662" s="91"/>
      <c r="AW662" s="131"/>
      <c r="AX662" s="131"/>
      <c r="AY662" s="131"/>
    </row>
    <row r="663" spans="1:51" ht="15" x14ac:dyDescent="0.25">
      <c r="A663" s="123"/>
      <c r="B663" s="124"/>
      <c r="C663" s="125">
        <v>472154</v>
      </c>
      <c r="D663" s="89"/>
      <c r="E663" s="86" t="s">
        <v>22</v>
      </c>
      <c r="F663" s="86" t="s">
        <v>418</v>
      </c>
      <c r="H663" s="126" t="s">
        <v>51</v>
      </c>
      <c r="I663" s="89">
        <v>1</v>
      </c>
      <c r="J663" s="127">
        <v>13880.7399</v>
      </c>
      <c r="K663" s="127">
        <v>52654.229999999996</v>
      </c>
      <c r="L663" s="127">
        <v>1465.6299999999997</v>
      </c>
      <c r="M663" s="127">
        <v>0</v>
      </c>
      <c r="N663" s="127">
        <v>43309.229999999996</v>
      </c>
      <c r="O663" s="127">
        <v>0</v>
      </c>
      <c r="P663" s="128">
        <f t="shared" si="90"/>
        <v>0</v>
      </c>
      <c r="Q663" s="128">
        <f t="shared" si="91"/>
        <v>0.82252138147305542</v>
      </c>
      <c r="R663" s="128">
        <f t="shared" si="92"/>
        <v>0</v>
      </c>
      <c r="S663" s="129">
        <v>0</v>
      </c>
      <c r="T663" s="129">
        <v>1</v>
      </c>
      <c r="U663" s="129">
        <v>0</v>
      </c>
      <c r="V663" s="138">
        <f t="shared" si="93"/>
        <v>3</v>
      </c>
      <c r="W663" s="138">
        <f t="shared" si="94"/>
        <v>3</v>
      </c>
      <c r="X663" s="138">
        <f t="shared" si="95"/>
        <v>1</v>
      </c>
      <c r="Y663" s="138">
        <f t="shared" si="96"/>
        <v>0</v>
      </c>
      <c r="Z663" s="138">
        <f t="shared" si="97"/>
        <v>3</v>
      </c>
      <c r="AA663" s="138">
        <f t="shared" si="98"/>
        <v>0</v>
      </c>
      <c r="AB663" s="127" t="s">
        <v>32</v>
      </c>
      <c r="AC663" s="127" t="s">
        <v>31</v>
      </c>
      <c r="AD663" s="127"/>
      <c r="AE663" s="130"/>
      <c r="AF663" s="136">
        <v>0</v>
      </c>
      <c r="AG663" s="136">
        <v>4.0599999999999996</v>
      </c>
      <c r="AH663" s="136">
        <v>27.76</v>
      </c>
      <c r="AI663" s="136">
        <v>5.99</v>
      </c>
      <c r="AJ663" s="136">
        <v>0</v>
      </c>
      <c r="AK663" s="136">
        <v>0.49</v>
      </c>
      <c r="AL663" s="136">
        <v>3.31</v>
      </c>
      <c r="AM663" s="136">
        <v>41.610000000000007</v>
      </c>
      <c r="AN663" s="131"/>
      <c r="AO663" s="131"/>
      <c r="AP663" s="131"/>
      <c r="AQ663" s="131"/>
      <c r="AR663" s="131"/>
      <c r="AS663" s="131"/>
      <c r="AT663" s="131"/>
      <c r="AU663" s="91"/>
      <c r="AV663" s="91"/>
      <c r="AW663" s="131"/>
      <c r="AX663" s="131"/>
      <c r="AY663" s="131"/>
    </row>
    <row r="664" spans="1:51" ht="15" x14ac:dyDescent="0.25">
      <c r="A664" s="123"/>
      <c r="B664" s="124"/>
      <c r="C664" s="125">
        <v>539336</v>
      </c>
      <c r="D664" s="89"/>
      <c r="E664" s="86" t="s">
        <v>22</v>
      </c>
      <c r="F664" s="86" t="s">
        <v>418</v>
      </c>
      <c r="H664" s="126" t="s">
        <v>51</v>
      </c>
      <c r="I664" s="89">
        <v>1</v>
      </c>
      <c r="J664" s="127">
        <v>13880.7399</v>
      </c>
      <c r="K664" s="127">
        <v>52654.229999999996</v>
      </c>
      <c r="L664" s="127">
        <v>1465.6299999999997</v>
      </c>
      <c r="M664" s="127">
        <v>0</v>
      </c>
      <c r="N664" s="127">
        <v>43309.229999999996</v>
      </c>
      <c r="O664" s="127">
        <v>0</v>
      </c>
      <c r="P664" s="128">
        <f t="shared" si="90"/>
        <v>0</v>
      </c>
      <c r="Q664" s="128">
        <f t="shared" si="91"/>
        <v>0.82252138147305542</v>
      </c>
      <c r="R664" s="128">
        <f t="shared" si="92"/>
        <v>0</v>
      </c>
      <c r="S664" s="129">
        <v>0</v>
      </c>
      <c r="T664" s="129">
        <v>1</v>
      </c>
      <c r="U664" s="129">
        <v>0</v>
      </c>
      <c r="V664" s="138">
        <f t="shared" si="93"/>
        <v>3</v>
      </c>
      <c r="W664" s="138">
        <f t="shared" si="94"/>
        <v>3</v>
      </c>
      <c r="X664" s="138">
        <f t="shared" si="95"/>
        <v>1</v>
      </c>
      <c r="Y664" s="138">
        <f t="shared" si="96"/>
        <v>0</v>
      </c>
      <c r="Z664" s="138">
        <f t="shared" si="97"/>
        <v>3</v>
      </c>
      <c r="AA664" s="138">
        <f t="shared" si="98"/>
        <v>0</v>
      </c>
      <c r="AB664" s="127" t="s">
        <v>32</v>
      </c>
      <c r="AC664" s="127" t="s">
        <v>31</v>
      </c>
      <c r="AD664" s="127"/>
      <c r="AE664" s="130"/>
      <c r="AF664" s="136">
        <v>0</v>
      </c>
      <c r="AG664" s="136">
        <v>4.0599999999999996</v>
      </c>
      <c r="AH664" s="136">
        <v>27.76</v>
      </c>
      <c r="AI664" s="136">
        <v>5.99</v>
      </c>
      <c r="AJ664" s="136">
        <v>0</v>
      </c>
      <c r="AK664" s="136">
        <v>0.49</v>
      </c>
      <c r="AL664" s="136">
        <v>3.31</v>
      </c>
      <c r="AM664" s="136">
        <v>41.610000000000007</v>
      </c>
      <c r="AN664" s="131"/>
      <c r="AO664" s="131"/>
      <c r="AP664" s="131"/>
      <c r="AQ664" s="131"/>
      <c r="AR664" s="131"/>
      <c r="AS664" s="131"/>
      <c r="AT664" s="131"/>
      <c r="AU664" s="91"/>
      <c r="AV664" s="91"/>
      <c r="AW664" s="131"/>
      <c r="AX664" s="131"/>
      <c r="AY664" s="131"/>
    </row>
    <row r="665" spans="1:51" ht="15" x14ac:dyDescent="0.25">
      <c r="A665" s="123"/>
      <c r="B665" s="124"/>
      <c r="C665" s="125">
        <v>604755</v>
      </c>
      <c r="D665" s="89"/>
      <c r="E665" s="86" t="s">
        <v>22</v>
      </c>
      <c r="F665" s="86" t="s">
        <v>418</v>
      </c>
      <c r="H665" s="126" t="s">
        <v>51</v>
      </c>
      <c r="I665" s="89">
        <v>1</v>
      </c>
      <c r="J665" s="127">
        <v>13880.7399</v>
      </c>
      <c r="K665" s="127">
        <v>52654.229999999996</v>
      </c>
      <c r="L665" s="127">
        <v>1465.6299999999997</v>
      </c>
      <c r="M665" s="127">
        <v>0</v>
      </c>
      <c r="N665" s="127">
        <v>43309.229999999996</v>
      </c>
      <c r="O665" s="127">
        <v>0</v>
      </c>
      <c r="P665" s="128">
        <f t="shared" si="90"/>
        <v>0</v>
      </c>
      <c r="Q665" s="128">
        <f t="shared" si="91"/>
        <v>0.82252138147305542</v>
      </c>
      <c r="R665" s="128">
        <f t="shared" si="92"/>
        <v>0</v>
      </c>
      <c r="S665" s="129">
        <v>0</v>
      </c>
      <c r="T665" s="129">
        <v>1</v>
      </c>
      <c r="U665" s="129">
        <v>0</v>
      </c>
      <c r="V665" s="138">
        <f t="shared" si="93"/>
        <v>3</v>
      </c>
      <c r="W665" s="138">
        <f t="shared" si="94"/>
        <v>3</v>
      </c>
      <c r="X665" s="138">
        <f t="shared" si="95"/>
        <v>1</v>
      </c>
      <c r="Y665" s="138">
        <f t="shared" si="96"/>
        <v>0</v>
      </c>
      <c r="Z665" s="138">
        <f t="shared" si="97"/>
        <v>3</v>
      </c>
      <c r="AA665" s="138">
        <f t="shared" si="98"/>
        <v>0</v>
      </c>
      <c r="AB665" s="127" t="s">
        <v>32</v>
      </c>
      <c r="AC665" s="127" t="s">
        <v>31</v>
      </c>
      <c r="AD665" s="127"/>
      <c r="AE665" s="130"/>
      <c r="AF665" s="136">
        <v>0</v>
      </c>
      <c r="AG665" s="136">
        <v>4.0599999999999996</v>
      </c>
      <c r="AH665" s="136">
        <v>27.76</v>
      </c>
      <c r="AI665" s="136">
        <v>5.99</v>
      </c>
      <c r="AJ665" s="136">
        <v>0</v>
      </c>
      <c r="AK665" s="136">
        <v>0.49</v>
      </c>
      <c r="AL665" s="136">
        <v>3.31</v>
      </c>
      <c r="AM665" s="136">
        <v>41.610000000000007</v>
      </c>
      <c r="AN665" s="131"/>
      <c r="AO665" s="131"/>
      <c r="AP665" s="131"/>
      <c r="AQ665" s="131"/>
      <c r="AR665" s="131"/>
      <c r="AS665" s="131"/>
      <c r="AT665" s="131"/>
      <c r="AU665" s="91"/>
      <c r="AV665" s="91"/>
      <c r="AW665" s="131"/>
      <c r="AX665" s="131"/>
      <c r="AY665" s="131"/>
    </row>
    <row r="666" spans="1:51" ht="15" x14ac:dyDescent="0.25">
      <c r="A666" s="123"/>
      <c r="B666" s="124"/>
      <c r="C666" s="125">
        <v>614202</v>
      </c>
      <c r="D666" s="89"/>
      <c r="E666" s="86" t="s">
        <v>22</v>
      </c>
      <c r="F666" s="86" t="s">
        <v>418</v>
      </c>
      <c r="H666" s="126" t="s">
        <v>51</v>
      </c>
      <c r="I666" s="89">
        <v>1</v>
      </c>
      <c r="J666" s="127">
        <v>13880.7399</v>
      </c>
      <c r="K666" s="127">
        <v>52654.229999999996</v>
      </c>
      <c r="L666" s="127">
        <v>1465.6299999999997</v>
      </c>
      <c r="M666" s="127">
        <v>0</v>
      </c>
      <c r="N666" s="127">
        <v>43309.229999999996</v>
      </c>
      <c r="O666" s="127">
        <v>0</v>
      </c>
      <c r="P666" s="128">
        <f t="shared" si="90"/>
        <v>0</v>
      </c>
      <c r="Q666" s="128">
        <f t="shared" si="91"/>
        <v>0.82252138147305542</v>
      </c>
      <c r="R666" s="128">
        <f t="shared" si="92"/>
        <v>0</v>
      </c>
      <c r="S666" s="129">
        <v>0</v>
      </c>
      <c r="T666" s="129">
        <v>1</v>
      </c>
      <c r="U666" s="129">
        <v>0</v>
      </c>
      <c r="V666" s="138">
        <f t="shared" si="93"/>
        <v>3</v>
      </c>
      <c r="W666" s="138">
        <f t="shared" si="94"/>
        <v>3</v>
      </c>
      <c r="X666" s="138">
        <f t="shared" si="95"/>
        <v>1</v>
      </c>
      <c r="Y666" s="138">
        <f t="shared" si="96"/>
        <v>0</v>
      </c>
      <c r="Z666" s="138">
        <f t="shared" si="97"/>
        <v>3</v>
      </c>
      <c r="AA666" s="138">
        <f t="shared" si="98"/>
        <v>0</v>
      </c>
      <c r="AB666" s="127" t="s">
        <v>32</v>
      </c>
      <c r="AC666" s="127" t="s">
        <v>31</v>
      </c>
      <c r="AD666" s="127"/>
      <c r="AE666" s="130"/>
      <c r="AF666" s="136">
        <v>0</v>
      </c>
      <c r="AG666" s="136">
        <v>4.0599999999999996</v>
      </c>
      <c r="AH666" s="136">
        <v>27.76</v>
      </c>
      <c r="AI666" s="136">
        <v>5.99</v>
      </c>
      <c r="AJ666" s="136">
        <v>0</v>
      </c>
      <c r="AK666" s="136">
        <v>0.49</v>
      </c>
      <c r="AL666" s="136">
        <v>3.31</v>
      </c>
      <c r="AM666" s="136">
        <v>41.610000000000007</v>
      </c>
      <c r="AN666" s="131"/>
      <c r="AO666" s="131"/>
      <c r="AP666" s="131"/>
      <c r="AQ666" s="131"/>
      <c r="AR666" s="131"/>
      <c r="AS666" s="131"/>
      <c r="AT666" s="131"/>
      <c r="AU666" s="91"/>
      <c r="AV666" s="91"/>
      <c r="AW666" s="131"/>
      <c r="AX666" s="131"/>
      <c r="AY666" s="131"/>
    </row>
    <row r="667" spans="1:51" ht="15" x14ac:dyDescent="0.25">
      <c r="A667" s="123"/>
      <c r="B667" s="124"/>
      <c r="C667" s="125">
        <v>674969</v>
      </c>
      <c r="D667" s="89"/>
      <c r="E667" s="86" t="s">
        <v>22</v>
      </c>
      <c r="F667" s="86" t="s">
        <v>418</v>
      </c>
      <c r="H667" s="126" t="s">
        <v>51</v>
      </c>
      <c r="I667" s="89">
        <v>1</v>
      </c>
      <c r="J667" s="127">
        <v>13880.7399</v>
      </c>
      <c r="K667" s="127">
        <v>52654.229999999996</v>
      </c>
      <c r="L667" s="127">
        <v>1465.6299999999997</v>
      </c>
      <c r="M667" s="127">
        <v>0</v>
      </c>
      <c r="N667" s="127">
        <v>43309.229999999996</v>
      </c>
      <c r="O667" s="127">
        <v>0</v>
      </c>
      <c r="P667" s="128">
        <f t="shared" si="90"/>
        <v>0</v>
      </c>
      <c r="Q667" s="128">
        <f t="shared" si="91"/>
        <v>0.82252138147305542</v>
      </c>
      <c r="R667" s="128">
        <f t="shared" si="92"/>
        <v>0</v>
      </c>
      <c r="S667" s="129">
        <v>0</v>
      </c>
      <c r="T667" s="129">
        <v>1</v>
      </c>
      <c r="U667" s="129">
        <v>0</v>
      </c>
      <c r="V667" s="138">
        <f t="shared" si="93"/>
        <v>3</v>
      </c>
      <c r="W667" s="138">
        <f t="shared" si="94"/>
        <v>3</v>
      </c>
      <c r="X667" s="138">
        <f t="shared" si="95"/>
        <v>1</v>
      </c>
      <c r="Y667" s="138">
        <f t="shared" si="96"/>
        <v>0</v>
      </c>
      <c r="Z667" s="138">
        <f t="shared" si="97"/>
        <v>3</v>
      </c>
      <c r="AA667" s="138">
        <f t="shared" si="98"/>
        <v>0</v>
      </c>
      <c r="AB667" s="127" t="s">
        <v>32</v>
      </c>
      <c r="AC667" s="127" t="s">
        <v>31</v>
      </c>
      <c r="AD667" s="127"/>
      <c r="AE667" s="130"/>
      <c r="AF667" s="136">
        <v>0</v>
      </c>
      <c r="AG667" s="136">
        <v>4.0599999999999996</v>
      </c>
      <c r="AH667" s="136">
        <v>27.76</v>
      </c>
      <c r="AI667" s="136">
        <v>5.99</v>
      </c>
      <c r="AJ667" s="136">
        <v>0</v>
      </c>
      <c r="AK667" s="136">
        <v>0.49</v>
      </c>
      <c r="AL667" s="136">
        <v>3.31</v>
      </c>
      <c r="AM667" s="136">
        <v>41.610000000000007</v>
      </c>
      <c r="AN667" s="131"/>
      <c r="AO667" s="131"/>
      <c r="AP667" s="131"/>
      <c r="AQ667" s="131"/>
      <c r="AR667" s="131"/>
      <c r="AS667" s="131"/>
      <c r="AT667" s="131"/>
      <c r="AU667" s="91"/>
      <c r="AV667" s="91"/>
      <c r="AW667" s="131"/>
      <c r="AX667" s="131"/>
      <c r="AY667" s="131"/>
    </row>
    <row r="668" spans="1:51" ht="15" x14ac:dyDescent="0.25">
      <c r="A668" s="123"/>
      <c r="B668" s="124"/>
      <c r="C668" s="125">
        <v>687683</v>
      </c>
      <c r="D668" s="89"/>
      <c r="E668" s="86" t="s">
        <v>22</v>
      </c>
      <c r="F668" s="86" t="s">
        <v>418</v>
      </c>
      <c r="H668" s="126" t="s">
        <v>51</v>
      </c>
      <c r="I668" s="89">
        <v>1</v>
      </c>
      <c r="J668" s="127">
        <v>13880.7399</v>
      </c>
      <c r="K668" s="127">
        <v>52654.229999999996</v>
      </c>
      <c r="L668" s="127">
        <v>1465.6299999999997</v>
      </c>
      <c r="M668" s="127">
        <v>0</v>
      </c>
      <c r="N668" s="127">
        <v>43309.229999999996</v>
      </c>
      <c r="O668" s="127">
        <v>0</v>
      </c>
      <c r="P668" s="128">
        <f t="shared" si="90"/>
        <v>0</v>
      </c>
      <c r="Q668" s="128">
        <f t="shared" si="91"/>
        <v>0.82252138147305542</v>
      </c>
      <c r="R668" s="128">
        <f t="shared" si="92"/>
        <v>0</v>
      </c>
      <c r="S668" s="129">
        <v>0</v>
      </c>
      <c r="T668" s="129">
        <v>1</v>
      </c>
      <c r="U668" s="129">
        <v>0</v>
      </c>
      <c r="V668" s="138">
        <f t="shared" si="93"/>
        <v>3</v>
      </c>
      <c r="W668" s="138">
        <f t="shared" si="94"/>
        <v>3</v>
      </c>
      <c r="X668" s="138">
        <f t="shared" si="95"/>
        <v>1</v>
      </c>
      <c r="Y668" s="138">
        <f t="shared" si="96"/>
        <v>0</v>
      </c>
      <c r="Z668" s="138">
        <f t="shared" si="97"/>
        <v>3</v>
      </c>
      <c r="AA668" s="138">
        <f t="shared" si="98"/>
        <v>0</v>
      </c>
      <c r="AB668" s="127" t="s">
        <v>32</v>
      </c>
      <c r="AC668" s="127" t="s">
        <v>31</v>
      </c>
      <c r="AD668" s="127"/>
      <c r="AE668" s="130"/>
      <c r="AF668" s="136">
        <v>0</v>
      </c>
      <c r="AG668" s="136">
        <v>4.0599999999999996</v>
      </c>
      <c r="AH668" s="136">
        <v>27.76</v>
      </c>
      <c r="AI668" s="136">
        <v>5.99</v>
      </c>
      <c r="AJ668" s="136">
        <v>0</v>
      </c>
      <c r="AK668" s="136">
        <v>0.49</v>
      </c>
      <c r="AL668" s="136">
        <v>3.31</v>
      </c>
      <c r="AM668" s="136">
        <v>41.610000000000007</v>
      </c>
      <c r="AN668" s="131"/>
      <c r="AO668" s="131"/>
      <c r="AP668" s="131"/>
      <c r="AQ668" s="131"/>
      <c r="AR668" s="131"/>
      <c r="AS668" s="131"/>
      <c r="AT668" s="131"/>
      <c r="AU668" s="91"/>
      <c r="AV668" s="91"/>
      <c r="AW668" s="131"/>
      <c r="AX668" s="131"/>
      <c r="AY668" s="131"/>
    </row>
    <row r="669" spans="1:51" ht="15" x14ac:dyDescent="0.25">
      <c r="A669" s="123"/>
      <c r="B669" s="124"/>
      <c r="C669" s="125">
        <v>690183</v>
      </c>
      <c r="D669" s="89"/>
      <c r="E669" s="86" t="s">
        <v>22</v>
      </c>
      <c r="F669" s="86" t="s">
        <v>418</v>
      </c>
      <c r="H669" s="126" t="s">
        <v>51</v>
      </c>
      <c r="I669" s="89">
        <v>1</v>
      </c>
      <c r="J669" s="127">
        <v>13880.7399</v>
      </c>
      <c r="K669" s="127">
        <v>52654.229999999996</v>
      </c>
      <c r="L669" s="127">
        <v>1465.6299999999997</v>
      </c>
      <c r="M669" s="127">
        <v>0</v>
      </c>
      <c r="N669" s="127">
        <v>43309.229999999996</v>
      </c>
      <c r="O669" s="127">
        <v>0</v>
      </c>
      <c r="P669" s="128">
        <f t="shared" si="90"/>
        <v>0</v>
      </c>
      <c r="Q669" s="128">
        <f t="shared" si="91"/>
        <v>0.82252138147305542</v>
      </c>
      <c r="R669" s="128">
        <f t="shared" si="92"/>
        <v>0</v>
      </c>
      <c r="S669" s="129">
        <v>0</v>
      </c>
      <c r="T669" s="129">
        <v>1</v>
      </c>
      <c r="U669" s="129">
        <v>0</v>
      </c>
      <c r="V669" s="138">
        <f t="shared" si="93"/>
        <v>3</v>
      </c>
      <c r="W669" s="138">
        <f t="shared" si="94"/>
        <v>3</v>
      </c>
      <c r="X669" s="138">
        <f t="shared" si="95"/>
        <v>1</v>
      </c>
      <c r="Y669" s="138">
        <f t="shared" si="96"/>
        <v>0</v>
      </c>
      <c r="Z669" s="138">
        <f t="shared" si="97"/>
        <v>3</v>
      </c>
      <c r="AA669" s="138">
        <f t="shared" si="98"/>
        <v>0</v>
      </c>
      <c r="AB669" s="127" t="s">
        <v>32</v>
      </c>
      <c r="AC669" s="127" t="s">
        <v>31</v>
      </c>
      <c r="AD669" s="127"/>
      <c r="AE669" s="130"/>
      <c r="AF669" s="136">
        <v>0</v>
      </c>
      <c r="AG669" s="136">
        <v>4.0599999999999996</v>
      </c>
      <c r="AH669" s="136">
        <v>27.76</v>
      </c>
      <c r="AI669" s="136">
        <v>5.99</v>
      </c>
      <c r="AJ669" s="136">
        <v>0</v>
      </c>
      <c r="AK669" s="136">
        <v>0.49</v>
      </c>
      <c r="AL669" s="136">
        <v>3.31</v>
      </c>
      <c r="AM669" s="136">
        <v>41.610000000000007</v>
      </c>
      <c r="AN669" s="131"/>
      <c r="AO669" s="131"/>
      <c r="AP669" s="131"/>
      <c r="AQ669" s="131"/>
      <c r="AR669" s="131"/>
      <c r="AS669" s="131"/>
      <c r="AT669" s="131"/>
      <c r="AU669" s="91"/>
      <c r="AV669" s="91"/>
      <c r="AW669" s="131"/>
      <c r="AX669" s="131"/>
      <c r="AY669" s="131"/>
    </row>
    <row r="670" spans="1:51" ht="15" x14ac:dyDescent="0.25">
      <c r="A670" s="123"/>
      <c r="B670" s="124"/>
      <c r="C670" s="125">
        <v>702519</v>
      </c>
      <c r="D670" s="89"/>
      <c r="E670" s="86" t="s">
        <v>22</v>
      </c>
      <c r="F670" s="86" t="s">
        <v>418</v>
      </c>
      <c r="H670" s="126" t="s">
        <v>51</v>
      </c>
      <c r="I670" s="89">
        <v>1</v>
      </c>
      <c r="J670" s="127">
        <v>13880.7399</v>
      </c>
      <c r="K670" s="127">
        <v>52654.229999999996</v>
      </c>
      <c r="L670" s="127">
        <v>1465.6299999999997</v>
      </c>
      <c r="M670" s="127">
        <v>0</v>
      </c>
      <c r="N670" s="127">
        <v>43309.229999999996</v>
      </c>
      <c r="O670" s="127">
        <v>0</v>
      </c>
      <c r="P670" s="128">
        <f t="shared" si="90"/>
        <v>0</v>
      </c>
      <c r="Q670" s="128">
        <f t="shared" si="91"/>
        <v>0.82252138147305542</v>
      </c>
      <c r="R670" s="128">
        <f t="shared" si="92"/>
        <v>0</v>
      </c>
      <c r="S670" s="129">
        <v>0</v>
      </c>
      <c r="T670" s="129">
        <v>1</v>
      </c>
      <c r="U670" s="129">
        <v>0</v>
      </c>
      <c r="V670" s="138">
        <f t="shared" si="93"/>
        <v>3</v>
      </c>
      <c r="W670" s="138">
        <f t="shared" si="94"/>
        <v>3</v>
      </c>
      <c r="X670" s="138">
        <f t="shared" si="95"/>
        <v>1</v>
      </c>
      <c r="Y670" s="138">
        <f t="shared" si="96"/>
        <v>0</v>
      </c>
      <c r="Z670" s="138">
        <f t="shared" si="97"/>
        <v>3</v>
      </c>
      <c r="AA670" s="138">
        <f t="shared" si="98"/>
        <v>0</v>
      </c>
      <c r="AB670" s="127" t="s">
        <v>32</v>
      </c>
      <c r="AC670" s="127" t="s">
        <v>31</v>
      </c>
      <c r="AD670" s="127"/>
      <c r="AE670" s="130"/>
      <c r="AF670" s="136">
        <v>0</v>
      </c>
      <c r="AG670" s="136">
        <v>4.0599999999999996</v>
      </c>
      <c r="AH670" s="136">
        <v>27.76</v>
      </c>
      <c r="AI670" s="136">
        <v>5.99</v>
      </c>
      <c r="AJ670" s="136">
        <v>0</v>
      </c>
      <c r="AK670" s="136">
        <v>0.49</v>
      </c>
      <c r="AL670" s="136">
        <v>3.31</v>
      </c>
      <c r="AM670" s="136">
        <v>41.610000000000007</v>
      </c>
      <c r="AN670" s="131"/>
      <c r="AO670" s="131"/>
      <c r="AP670" s="131"/>
      <c r="AQ670" s="131"/>
      <c r="AR670" s="131"/>
      <c r="AS670" s="131"/>
      <c r="AT670" s="131"/>
      <c r="AU670" s="91"/>
      <c r="AV670" s="91"/>
      <c r="AW670" s="131"/>
      <c r="AX670" s="131"/>
      <c r="AY670" s="131"/>
    </row>
    <row r="671" spans="1:51" ht="15" x14ac:dyDescent="0.25">
      <c r="A671" s="123"/>
      <c r="B671" s="124"/>
      <c r="C671" s="125">
        <v>717303</v>
      </c>
      <c r="D671" s="89"/>
      <c r="E671" s="86" t="s">
        <v>22</v>
      </c>
      <c r="F671" s="86" t="s">
        <v>418</v>
      </c>
      <c r="H671" s="126" t="s">
        <v>51</v>
      </c>
      <c r="I671" s="89">
        <v>1</v>
      </c>
      <c r="J671" s="127">
        <v>13880.7399</v>
      </c>
      <c r="K671" s="127">
        <v>52654.229999999996</v>
      </c>
      <c r="L671" s="127">
        <v>1465.6299999999997</v>
      </c>
      <c r="M671" s="127">
        <v>0</v>
      </c>
      <c r="N671" s="127">
        <v>43309.229999999996</v>
      </c>
      <c r="O671" s="127">
        <v>0</v>
      </c>
      <c r="P671" s="128">
        <f t="shared" si="90"/>
        <v>0</v>
      </c>
      <c r="Q671" s="128">
        <f t="shared" si="91"/>
        <v>0.82252138147305542</v>
      </c>
      <c r="R671" s="128">
        <f t="shared" si="92"/>
        <v>0</v>
      </c>
      <c r="S671" s="129">
        <v>0</v>
      </c>
      <c r="T671" s="129">
        <v>1</v>
      </c>
      <c r="U671" s="129">
        <v>0</v>
      </c>
      <c r="V671" s="138">
        <f t="shared" si="93"/>
        <v>3</v>
      </c>
      <c r="W671" s="138">
        <f t="shared" si="94"/>
        <v>3</v>
      </c>
      <c r="X671" s="138">
        <f t="shared" si="95"/>
        <v>1</v>
      </c>
      <c r="Y671" s="138">
        <f t="shared" si="96"/>
        <v>0</v>
      </c>
      <c r="Z671" s="138">
        <f t="shared" si="97"/>
        <v>3</v>
      </c>
      <c r="AA671" s="138">
        <f t="shared" si="98"/>
        <v>0</v>
      </c>
      <c r="AB671" s="127" t="s">
        <v>32</v>
      </c>
      <c r="AC671" s="127" t="s">
        <v>31</v>
      </c>
      <c r="AD671" s="127"/>
      <c r="AE671" s="130"/>
      <c r="AF671" s="136">
        <v>0</v>
      </c>
      <c r="AG671" s="136">
        <v>4.0599999999999996</v>
      </c>
      <c r="AH671" s="136">
        <v>27.76</v>
      </c>
      <c r="AI671" s="136">
        <v>5.99</v>
      </c>
      <c r="AJ671" s="136">
        <v>0</v>
      </c>
      <c r="AK671" s="136">
        <v>0.49</v>
      </c>
      <c r="AL671" s="136">
        <v>3.31</v>
      </c>
      <c r="AM671" s="136">
        <v>41.610000000000007</v>
      </c>
      <c r="AN671" s="131"/>
      <c r="AO671" s="131"/>
      <c r="AP671" s="131"/>
      <c r="AQ671" s="131"/>
      <c r="AR671" s="131"/>
      <c r="AS671" s="131"/>
      <c r="AT671" s="131"/>
      <c r="AU671" s="91"/>
      <c r="AV671" s="91"/>
      <c r="AW671" s="131"/>
      <c r="AX671" s="131"/>
      <c r="AY671" s="131"/>
    </row>
    <row r="672" spans="1:51" ht="15" x14ac:dyDescent="0.25">
      <c r="A672" s="123"/>
      <c r="B672" s="124"/>
      <c r="C672" s="125">
        <v>731655</v>
      </c>
      <c r="D672" s="89"/>
      <c r="E672" s="86" t="s">
        <v>22</v>
      </c>
      <c r="F672" s="86" t="s">
        <v>418</v>
      </c>
      <c r="H672" s="126" t="s">
        <v>51</v>
      </c>
      <c r="I672" s="89">
        <v>1</v>
      </c>
      <c r="J672" s="127">
        <v>13880.7399</v>
      </c>
      <c r="K672" s="127">
        <v>52654.229999999996</v>
      </c>
      <c r="L672" s="127">
        <v>1465.6299999999997</v>
      </c>
      <c r="M672" s="127">
        <v>0</v>
      </c>
      <c r="N672" s="127">
        <v>43309.229999999996</v>
      </c>
      <c r="O672" s="127">
        <v>0</v>
      </c>
      <c r="P672" s="128">
        <f t="shared" si="90"/>
        <v>0</v>
      </c>
      <c r="Q672" s="128">
        <f t="shared" si="91"/>
        <v>0.82252138147305542</v>
      </c>
      <c r="R672" s="128">
        <f t="shared" si="92"/>
        <v>0</v>
      </c>
      <c r="S672" s="129">
        <v>0</v>
      </c>
      <c r="T672" s="129">
        <v>1</v>
      </c>
      <c r="U672" s="129">
        <v>0</v>
      </c>
      <c r="V672" s="138">
        <f t="shared" si="93"/>
        <v>3</v>
      </c>
      <c r="W672" s="138">
        <f t="shared" si="94"/>
        <v>3</v>
      </c>
      <c r="X672" s="138">
        <f t="shared" si="95"/>
        <v>1</v>
      </c>
      <c r="Y672" s="138">
        <f t="shared" si="96"/>
        <v>0</v>
      </c>
      <c r="Z672" s="138">
        <f t="shared" si="97"/>
        <v>3</v>
      </c>
      <c r="AA672" s="138">
        <f t="shared" si="98"/>
        <v>0</v>
      </c>
      <c r="AB672" s="127" t="s">
        <v>32</v>
      </c>
      <c r="AC672" s="127" t="s">
        <v>31</v>
      </c>
      <c r="AD672" s="127"/>
      <c r="AE672" s="130"/>
      <c r="AF672" s="136">
        <v>0</v>
      </c>
      <c r="AG672" s="136">
        <v>4.0599999999999996</v>
      </c>
      <c r="AH672" s="136">
        <v>27.76</v>
      </c>
      <c r="AI672" s="136">
        <v>5.99</v>
      </c>
      <c r="AJ672" s="136">
        <v>0</v>
      </c>
      <c r="AK672" s="136">
        <v>0.49</v>
      </c>
      <c r="AL672" s="136">
        <v>3.31</v>
      </c>
      <c r="AM672" s="136">
        <v>41.610000000000007</v>
      </c>
      <c r="AN672" s="131"/>
      <c r="AO672" s="131"/>
      <c r="AP672" s="131"/>
      <c r="AQ672" s="131"/>
      <c r="AR672" s="131"/>
      <c r="AS672" s="131"/>
      <c r="AT672" s="131"/>
      <c r="AU672" s="91"/>
      <c r="AV672" s="91"/>
      <c r="AW672" s="131"/>
      <c r="AX672" s="131"/>
      <c r="AY672" s="131"/>
    </row>
    <row r="673" spans="1:51" ht="15" x14ac:dyDescent="0.25">
      <c r="A673" s="123"/>
      <c r="B673" s="124"/>
      <c r="C673" s="125">
        <v>749595</v>
      </c>
      <c r="D673" s="89"/>
      <c r="E673" s="86" t="s">
        <v>22</v>
      </c>
      <c r="F673" s="86" t="s">
        <v>418</v>
      </c>
      <c r="H673" s="126" t="s">
        <v>51</v>
      </c>
      <c r="I673" s="89">
        <v>1</v>
      </c>
      <c r="J673" s="127">
        <v>13880.7399</v>
      </c>
      <c r="K673" s="127">
        <v>52654.229999999996</v>
      </c>
      <c r="L673" s="127">
        <v>1465.6299999999997</v>
      </c>
      <c r="M673" s="127">
        <v>0</v>
      </c>
      <c r="N673" s="127">
        <v>43309.229999999996</v>
      </c>
      <c r="O673" s="127">
        <v>0</v>
      </c>
      <c r="P673" s="128">
        <f t="shared" si="90"/>
        <v>0</v>
      </c>
      <c r="Q673" s="128">
        <f t="shared" si="91"/>
        <v>0.82252138147305542</v>
      </c>
      <c r="R673" s="128">
        <f t="shared" si="92"/>
        <v>0</v>
      </c>
      <c r="S673" s="129">
        <v>0</v>
      </c>
      <c r="T673" s="129">
        <v>1</v>
      </c>
      <c r="U673" s="129">
        <v>0</v>
      </c>
      <c r="V673" s="138">
        <f t="shared" si="93"/>
        <v>3</v>
      </c>
      <c r="W673" s="138">
        <f t="shared" si="94"/>
        <v>3</v>
      </c>
      <c r="X673" s="138">
        <f t="shared" si="95"/>
        <v>1</v>
      </c>
      <c r="Y673" s="138">
        <f t="shared" si="96"/>
        <v>0</v>
      </c>
      <c r="Z673" s="138">
        <f t="shared" si="97"/>
        <v>3</v>
      </c>
      <c r="AA673" s="138">
        <f t="shared" si="98"/>
        <v>0</v>
      </c>
      <c r="AB673" s="127" t="s">
        <v>32</v>
      </c>
      <c r="AC673" s="127" t="s">
        <v>31</v>
      </c>
      <c r="AD673" s="127"/>
      <c r="AE673" s="130"/>
      <c r="AF673" s="136">
        <v>0</v>
      </c>
      <c r="AG673" s="136">
        <v>4.0599999999999996</v>
      </c>
      <c r="AH673" s="136">
        <v>27.76</v>
      </c>
      <c r="AI673" s="136">
        <v>5.99</v>
      </c>
      <c r="AJ673" s="136">
        <v>0</v>
      </c>
      <c r="AK673" s="136">
        <v>0.49</v>
      </c>
      <c r="AL673" s="136">
        <v>3.31</v>
      </c>
      <c r="AM673" s="136">
        <v>41.610000000000007</v>
      </c>
      <c r="AN673" s="131"/>
      <c r="AO673" s="131"/>
      <c r="AP673" s="131"/>
      <c r="AQ673" s="131"/>
      <c r="AR673" s="131"/>
      <c r="AS673" s="131"/>
      <c r="AT673" s="131"/>
      <c r="AU673" s="91"/>
      <c r="AV673" s="91"/>
      <c r="AW673" s="131"/>
      <c r="AX673" s="131"/>
      <c r="AY673" s="131"/>
    </row>
    <row r="674" spans="1:51" ht="15" x14ac:dyDescent="0.25">
      <c r="A674" s="123"/>
      <c r="B674" s="124"/>
      <c r="C674" s="125">
        <v>754513</v>
      </c>
      <c r="D674" s="89"/>
      <c r="E674" s="86" t="s">
        <v>22</v>
      </c>
      <c r="F674" s="86" t="s">
        <v>418</v>
      </c>
      <c r="H674" s="126" t="s">
        <v>51</v>
      </c>
      <c r="I674" s="89">
        <v>1</v>
      </c>
      <c r="J674" s="127">
        <v>13880.7399</v>
      </c>
      <c r="K674" s="127">
        <v>52654.229999999996</v>
      </c>
      <c r="L674" s="127">
        <v>1465.6299999999997</v>
      </c>
      <c r="M674" s="127">
        <v>0</v>
      </c>
      <c r="N674" s="127">
        <v>43309.229999999996</v>
      </c>
      <c r="O674" s="127">
        <v>0</v>
      </c>
      <c r="P674" s="128">
        <f t="shared" si="90"/>
        <v>0</v>
      </c>
      <c r="Q674" s="128">
        <f t="shared" si="91"/>
        <v>0.82252138147305542</v>
      </c>
      <c r="R674" s="128">
        <f t="shared" si="92"/>
        <v>0</v>
      </c>
      <c r="S674" s="129">
        <v>0</v>
      </c>
      <c r="T674" s="129">
        <v>1</v>
      </c>
      <c r="U674" s="129">
        <v>0</v>
      </c>
      <c r="V674" s="138">
        <f t="shared" si="93"/>
        <v>3</v>
      </c>
      <c r="W674" s="138">
        <f t="shared" si="94"/>
        <v>3</v>
      </c>
      <c r="X674" s="138">
        <f t="shared" si="95"/>
        <v>1</v>
      </c>
      <c r="Y674" s="138">
        <f t="shared" si="96"/>
        <v>0</v>
      </c>
      <c r="Z674" s="138">
        <f t="shared" si="97"/>
        <v>3</v>
      </c>
      <c r="AA674" s="138">
        <f t="shared" si="98"/>
        <v>0</v>
      </c>
      <c r="AB674" s="127" t="s">
        <v>32</v>
      </c>
      <c r="AC674" s="127" t="s">
        <v>31</v>
      </c>
      <c r="AD674" s="127"/>
      <c r="AE674" s="130"/>
      <c r="AF674" s="136">
        <v>0</v>
      </c>
      <c r="AG674" s="136">
        <v>4.0599999999999996</v>
      </c>
      <c r="AH674" s="136">
        <v>27.76</v>
      </c>
      <c r="AI674" s="136">
        <v>5.99</v>
      </c>
      <c r="AJ674" s="136">
        <v>0</v>
      </c>
      <c r="AK674" s="136">
        <v>0.49</v>
      </c>
      <c r="AL674" s="136">
        <v>3.31</v>
      </c>
      <c r="AM674" s="136">
        <v>41.610000000000007</v>
      </c>
      <c r="AN674" s="131"/>
      <c r="AO674" s="131"/>
      <c r="AP674" s="131"/>
      <c r="AQ674" s="131"/>
      <c r="AR674" s="131"/>
      <c r="AS674" s="131"/>
      <c r="AT674" s="131"/>
      <c r="AU674" s="91"/>
      <c r="AV674" s="91"/>
      <c r="AW674" s="131"/>
      <c r="AX674" s="131"/>
      <c r="AY674" s="131"/>
    </row>
    <row r="675" spans="1:51" ht="15" x14ac:dyDescent="0.25">
      <c r="A675" s="123"/>
      <c r="B675" s="124"/>
      <c r="C675" s="125">
        <v>765164</v>
      </c>
      <c r="D675" s="89"/>
      <c r="E675" s="86" t="s">
        <v>22</v>
      </c>
      <c r="F675" s="86" t="s">
        <v>418</v>
      </c>
      <c r="H675" s="126" t="s">
        <v>51</v>
      </c>
      <c r="I675" s="89">
        <v>1</v>
      </c>
      <c r="J675" s="127">
        <v>13880.7399</v>
      </c>
      <c r="K675" s="127">
        <v>52654.229999999996</v>
      </c>
      <c r="L675" s="127">
        <v>1465.6299999999997</v>
      </c>
      <c r="M675" s="127">
        <v>0</v>
      </c>
      <c r="N675" s="127">
        <v>43309.229999999996</v>
      </c>
      <c r="O675" s="127">
        <v>0</v>
      </c>
      <c r="P675" s="128">
        <f t="shared" si="90"/>
        <v>0</v>
      </c>
      <c r="Q675" s="128">
        <f t="shared" si="91"/>
        <v>0.82252138147305542</v>
      </c>
      <c r="R675" s="128">
        <f t="shared" si="92"/>
        <v>0</v>
      </c>
      <c r="S675" s="129">
        <v>0</v>
      </c>
      <c r="T675" s="129">
        <v>1</v>
      </c>
      <c r="U675" s="129">
        <v>0</v>
      </c>
      <c r="V675" s="138">
        <f t="shared" si="93"/>
        <v>3</v>
      </c>
      <c r="W675" s="138">
        <f t="shared" si="94"/>
        <v>3</v>
      </c>
      <c r="X675" s="138">
        <f t="shared" si="95"/>
        <v>1</v>
      </c>
      <c r="Y675" s="138">
        <f t="shared" si="96"/>
        <v>0</v>
      </c>
      <c r="Z675" s="138">
        <f t="shared" si="97"/>
        <v>3</v>
      </c>
      <c r="AA675" s="138">
        <f t="shared" si="98"/>
        <v>0</v>
      </c>
      <c r="AB675" s="127" t="s">
        <v>32</v>
      </c>
      <c r="AC675" s="127" t="s">
        <v>31</v>
      </c>
      <c r="AD675" s="127"/>
      <c r="AE675" s="130"/>
      <c r="AF675" s="136">
        <v>0</v>
      </c>
      <c r="AG675" s="136">
        <v>4.0599999999999996</v>
      </c>
      <c r="AH675" s="136">
        <v>27.76</v>
      </c>
      <c r="AI675" s="136">
        <v>5.99</v>
      </c>
      <c r="AJ675" s="136">
        <v>0</v>
      </c>
      <c r="AK675" s="136">
        <v>0.49</v>
      </c>
      <c r="AL675" s="136">
        <v>3.31</v>
      </c>
      <c r="AM675" s="136">
        <v>41.610000000000007</v>
      </c>
      <c r="AN675" s="131"/>
      <c r="AO675" s="131"/>
      <c r="AP675" s="131"/>
      <c r="AQ675" s="131"/>
      <c r="AR675" s="131"/>
      <c r="AS675" s="131"/>
      <c r="AT675" s="131"/>
      <c r="AU675" s="91"/>
      <c r="AV675" s="91"/>
      <c r="AW675" s="131"/>
      <c r="AX675" s="131"/>
      <c r="AY675" s="131"/>
    </row>
    <row r="676" spans="1:51" ht="15" x14ac:dyDescent="0.25">
      <c r="A676" s="123"/>
      <c r="B676" s="124"/>
      <c r="C676" s="125">
        <v>793465</v>
      </c>
      <c r="D676" s="89"/>
      <c r="E676" s="86" t="s">
        <v>22</v>
      </c>
      <c r="F676" s="86" t="s">
        <v>418</v>
      </c>
      <c r="H676" s="126" t="s">
        <v>51</v>
      </c>
      <c r="I676" s="89">
        <v>1</v>
      </c>
      <c r="J676" s="127">
        <v>13880.7399</v>
      </c>
      <c r="K676" s="127">
        <v>52654.229999999996</v>
      </c>
      <c r="L676" s="127">
        <v>1465.6299999999997</v>
      </c>
      <c r="M676" s="127">
        <v>0</v>
      </c>
      <c r="N676" s="127">
        <v>43309.229999999996</v>
      </c>
      <c r="O676" s="127">
        <v>0</v>
      </c>
      <c r="P676" s="128">
        <f t="shared" si="90"/>
        <v>0</v>
      </c>
      <c r="Q676" s="128">
        <f t="shared" si="91"/>
        <v>0.82252138147305542</v>
      </c>
      <c r="R676" s="128">
        <f t="shared" si="92"/>
        <v>0</v>
      </c>
      <c r="S676" s="129">
        <v>0</v>
      </c>
      <c r="T676" s="129">
        <v>1</v>
      </c>
      <c r="U676" s="129">
        <v>0</v>
      </c>
      <c r="V676" s="138">
        <f t="shared" si="93"/>
        <v>3</v>
      </c>
      <c r="W676" s="138">
        <f t="shared" si="94"/>
        <v>3</v>
      </c>
      <c r="X676" s="138">
        <f t="shared" si="95"/>
        <v>1</v>
      </c>
      <c r="Y676" s="138">
        <f t="shared" si="96"/>
        <v>0</v>
      </c>
      <c r="Z676" s="138">
        <f t="shared" si="97"/>
        <v>3</v>
      </c>
      <c r="AA676" s="138">
        <f t="shared" si="98"/>
        <v>0</v>
      </c>
      <c r="AB676" s="127" t="s">
        <v>32</v>
      </c>
      <c r="AC676" s="127" t="s">
        <v>31</v>
      </c>
      <c r="AD676" s="127"/>
      <c r="AE676" s="130"/>
      <c r="AF676" s="136">
        <v>0</v>
      </c>
      <c r="AG676" s="136">
        <v>4.0599999999999996</v>
      </c>
      <c r="AH676" s="136">
        <v>27.76</v>
      </c>
      <c r="AI676" s="136">
        <v>5.99</v>
      </c>
      <c r="AJ676" s="136">
        <v>0</v>
      </c>
      <c r="AK676" s="136">
        <v>0.49</v>
      </c>
      <c r="AL676" s="136">
        <v>3.31</v>
      </c>
      <c r="AM676" s="136">
        <v>41.610000000000007</v>
      </c>
      <c r="AN676" s="131"/>
      <c r="AO676" s="131"/>
      <c r="AP676" s="131"/>
      <c r="AQ676" s="131"/>
      <c r="AR676" s="131"/>
      <c r="AS676" s="131"/>
      <c r="AT676" s="131"/>
      <c r="AU676" s="91"/>
      <c r="AV676" s="91"/>
      <c r="AW676" s="131"/>
      <c r="AX676" s="131"/>
      <c r="AY676" s="131"/>
    </row>
    <row r="677" spans="1:51" ht="15" x14ac:dyDescent="0.25">
      <c r="A677" s="123"/>
      <c r="B677" s="124"/>
      <c r="C677" s="125">
        <v>836851</v>
      </c>
      <c r="D677" s="89"/>
      <c r="E677" s="86" t="s">
        <v>22</v>
      </c>
      <c r="F677" s="86" t="s">
        <v>418</v>
      </c>
      <c r="H677" s="126" t="s">
        <v>51</v>
      </c>
      <c r="I677" s="89">
        <v>1</v>
      </c>
      <c r="J677" s="127">
        <v>13880.7399</v>
      </c>
      <c r="K677" s="127">
        <v>52654.229999999996</v>
      </c>
      <c r="L677" s="127">
        <v>1465.6299999999997</v>
      </c>
      <c r="M677" s="127">
        <v>0</v>
      </c>
      <c r="N677" s="127">
        <v>43309.229999999996</v>
      </c>
      <c r="O677" s="127">
        <v>0</v>
      </c>
      <c r="P677" s="128">
        <f t="shared" si="90"/>
        <v>0</v>
      </c>
      <c r="Q677" s="128">
        <f t="shared" si="91"/>
        <v>0.82252138147305542</v>
      </c>
      <c r="R677" s="128">
        <f t="shared" si="92"/>
        <v>0</v>
      </c>
      <c r="S677" s="129">
        <v>0</v>
      </c>
      <c r="T677" s="129">
        <v>1</v>
      </c>
      <c r="U677" s="129">
        <v>0</v>
      </c>
      <c r="V677" s="138">
        <f t="shared" si="93"/>
        <v>3</v>
      </c>
      <c r="W677" s="138">
        <f t="shared" si="94"/>
        <v>3</v>
      </c>
      <c r="X677" s="138">
        <f t="shared" si="95"/>
        <v>1</v>
      </c>
      <c r="Y677" s="138">
        <f t="shared" si="96"/>
        <v>0</v>
      </c>
      <c r="Z677" s="138">
        <f t="shared" si="97"/>
        <v>3</v>
      </c>
      <c r="AA677" s="138">
        <f t="shared" si="98"/>
        <v>0</v>
      </c>
      <c r="AB677" s="127" t="s">
        <v>32</v>
      </c>
      <c r="AC677" s="127" t="s">
        <v>31</v>
      </c>
      <c r="AD677" s="127"/>
      <c r="AE677" s="130"/>
      <c r="AF677" s="136">
        <v>0</v>
      </c>
      <c r="AG677" s="136">
        <v>4.0599999999999996</v>
      </c>
      <c r="AH677" s="136">
        <v>27.76</v>
      </c>
      <c r="AI677" s="136">
        <v>5.99</v>
      </c>
      <c r="AJ677" s="136">
        <v>0</v>
      </c>
      <c r="AK677" s="136">
        <v>0.49</v>
      </c>
      <c r="AL677" s="136">
        <v>3.31</v>
      </c>
      <c r="AM677" s="136">
        <v>41.610000000000007</v>
      </c>
      <c r="AN677" s="131"/>
      <c r="AO677" s="131"/>
      <c r="AP677" s="131"/>
      <c r="AQ677" s="131"/>
      <c r="AR677" s="131"/>
      <c r="AS677" s="131"/>
      <c r="AT677" s="131"/>
      <c r="AU677" s="91"/>
      <c r="AV677" s="91"/>
      <c r="AW677" s="131"/>
      <c r="AX677" s="131"/>
      <c r="AY677" s="131"/>
    </row>
    <row r="678" spans="1:51" ht="15" x14ac:dyDescent="0.25">
      <c r="A678" s="123"/>
      <c r="B678" s="124"/>
      <c r="C678" s="125">
        <v>860847</v>
      </c>
      <c r="D678" s="89"/>
      <c r="E678" s="86" t="s">
        <v>22</v>
      </c>
      <c r="F678" s="86" t="s">
        <v>418</v>
      </c>
      <c r="H678" s="126" t="s">
        <v>51</v>
      </c>
      <c r="I678" s="89">
        <v>1</v>
      </c>
      <c r="J678" s="127">
        <v>13880.7399</v>
      </c>
      <c r="K678" s="127">
        <v>52654.229999999996</v>
      </c>
      <c r="L678" s="127">
        <v>1465.6299999999997</v>
      </c>
      <c r="M678" s="127">
        <v>0</v>
      </c>
      <c r="N678" s="127">
        <v>43309.229999999996</v>
      </c>
      <c r="O678" s="127">
        <v>0</v>
      </c>
      <c r="P678" s="128">
        <f t="shared" si="90"/>
        <v>0</v>
      </c>
      <c r="Q678" s="128">
        <f t="shared" si="91"/>
        <v>0.82252138147305542</v>
      </c>
      <c r="R678" s="128">
        <f t="shared" si="92"/>
        <v>0</v>
      </c>
      <c r="S678" s="129">
        <v>0</v>
      </c>
      <c r="T678" s="129">
        <v>1</v>
      </c>
      <c r="U678" s="129">
        <v>0</v>
      </c>
      <c r="V678" s="138">
        <f t="shared" si="93"/>
        <v>3</v>
      </c>
      <c r="W678" s="138">
        <f t="shared" si="94"/>
        <v>3</v>
      </c>
      <c r="X678" s="138">
        <f t="shared" si="95"/>
        <v>1</v>
      </c>
      <c r="Y678" s="138">
        <f t="shared" si="96"/>
        <v>0</v>
      </c>
      <c r="Z678" s="138">
        <f t="shared" si="97"/>
        <v>3</v>
      </c>
      <c r="AA678" s="138">
        <f t="shared" si="98"/>
        <v>0</v>
      </c>
      <c r="AB678" s="127" t="s">
        <v>32</v>
      </c>
      <c r="AC678" s="127" t="s">
        <v>31</v>
      </c>
      <c r="AD678" s="127"/>
      <c r="AE678" s="130"/>
      <c r="AF678" s="136">
        <v>0</v>
      </c>
      <c r="AG678" s="136">
        <v>4.0599999999999996</v>
      </c>
      <c r="AH678" s="136">
        <v>27.76</v>
      </c>
      <c r="AI678" s="136">
        <v>5.99</v>
      </c>
      <c r="AJ678" s="136">
        <v>0</v>
      </c>
      <c r="AK678" s="136">
        <v>0.49</v>
      </c>
      <c r="AL678" s="136">
        <v>3.31</v>
      </c>
      <c r="AM678" s="136">
        <v>41.610000000000007</v>
      </c>
      <c r="AN678" s="131"/>
      <c r="AO678" s="131"/>
      <c r="AP678" s="131"/>
      <c r="AQ678" s="131"/>
      <c r="AR678" s="131"/>
      <c r="AS678" s="131"/>
      <c r="AT678" s="131"/>
      <c r="AU678" s="91"/>
      <c r="AV678" s="91"/>
      <c r="AW678" s="131"/>
      <c r="AX678" s="131"/>
      <c r="AY678" s="131"/>
    </row>
    <row r="679" spans="1:51" ht="15" x14ac:dyDescent="0.25">
      <c r="A679" s="123"/>
      <c r="B679" s="124"/>
      <c r="C679" s="125">
        <v>886225</v>
      </c>
      <c r="D679" s="89"/>
      <c r="E679" s="86" t="s">
        <v>22</v>
      </c>
      <c r="F679" s="86" t="s">
        <v>418</v>
      </c>
      <c r="H679" s="126" t="s">
        <v>51</v>
      </c>
      <c r="I679" s="89">
        <v>1</v>
      </c>
      <c r="J679" s="127">
        <v>13880.7399</v>
      </c>
      <c r="K679" s="127">
        <v>52654.229999999996</v>
      </c>
      <c r="L679" s="127">
        <v>1465.6299999999997</v>
      </c>
      <c r="M679" s="127">
        <v>0</v>
      </c>
      <c r="N679" s="127">
        <v>43309.229999999996</v>
      </c>
      <c r="O679" s="127">
        <v>0</v>
      </c>
      <c r="P679" s="128">
        <f t="shared" si="90"/>
        <v>0</v>
      </c>
      <c r="Q679" s="128">
        <f t="shared" si="91"/>
        <v>0.82252138147305542</v>
      </c>
      <c r="R679" s="128">
        <f t="shared" si="92"/>
        <v>0</v>
      </c>
      <c r="S679" s="129">
        <v>0</v>
      </c>
      <c r="T679" s="129">
        <v>1</v>
      </c>
      <c r="U679" s="129">
        <v>0</v>
      </c>
      <c r="V679" s="138">
        <f t="shared" si="93"/>
        <v>3</v>
      </c>
      <c r="W679" s="138">
        <f t="shared" si="94"/>
        <v>3</v>
      </c>
      <c r="X679" s="138">
        <f t="shared" si="95"/>
        <v>1</v>
      </c>
      <c r="Y679" s="138">
        <f t="shared" si="96"/>
        <v>0</v>
      </c>
      <c r="Z679" s="138">
        <f t="shared" si="97"/>
        <v>3</v>
      </c>
      <c r="AA679" s="138">
        <f t="shared" si="98"/>
        <v>0</v>
      </c>
      <c r="AB679" s="127" t="s">
        <v>32</v>
      </c>
      <c r="AC679" s="127" t="s">
        <v>31</v>
      </c>
      <c r="AD679" s="127"/>
      <c r="AE679" s="130"/>
      <c r="AF679" s="136">
        <v>0</v>
      </c>
      <c r="AG679" s="136">
        <v>4.0599999999999996</v>
      </c>
      <c r="AH679" s="136">
        <v>27.76</v>
      </c>
      <c r="AI679" s="136">
        <v>5.99</v>
      </c>
      <c r="AJ679" s="136">
        <v>0</v>
      </c>
      <c r="AK679" s="136">
        <v>0.49</v>
      </c>
      <c r="AL679" s="136">
        <v>3.31</v>
      </c>
      <c r="AM679" s="136">
        <v>41.610000000000007</v>
      </c>
      <c r="AN679" s="131"/>
      <c r="AO679" s="131"/>
      <c r="AP679" s="131"/>
      <c r="AQ679" s="131"/>
      <c r="AR679" s="131"/>
      <c r="AS679" s="131"/>
      <c r="AT679" s="131"/>
      <c r="AU679" s="91"/>
      <c r="AV679" s="91"/>
      <c r="AW679" s="131"/>
      <c r="AX679" s="131"/>
      <c r="AY679" s="131"/>
    </row>
    <row r="680" spans="1:51" ht="15" x14ac:dyDescent="0.25">
      <c r="A680" s="123"/>
      <c r="B680" s="124"/>
      <c r="C680" s="125">
        <v>947076</v>
      </c>
      <c r="D680" s="89"/>
      <c r="E680" s="86" t="s">
        <v>22</v>
      </c>
      <c r="F680" s="86" t="s">
        <v>418</v>
      </c>
      <c r="H680" s="126" t="s">
        <v>51</v>
      </c>
      <c r="I680" s="89">
        <v>1</v>
      </c>
      <c r="J680" s="127">
        <v>13880.7399</v>
      </c>
      <c r="K680" s="127">
        <v>52654.229999999996</v>
      </c>
      <c r="L680" s="127">
        <v>1465.6299999999997</v>
      </c>
      <c r="M680" s="127">
        <v>0</v>
      </c>
      <c r="N680" s="127">
        <v>43309.229999999996</v>
      </c>
      <c r="O680" s="127">
        <v>0</v>
      </c>
      <c r="P680" s="128">
        <f t="shared" si="90"/>
        <v>0</v>
      </c>
      <c r="Q680" s="128">
        <f t="shared" si="91"/>
        <v>0.82252138147305542</v>
      </c>
      <c r="R680" s="128">
        <f t="shared" si="92"/>
        <v>0</v>
      </c>
      <c r="S680" s="129">
        <v>0</v>
      </c>
      <c r="T680" s="129">
        <v>1</v>
      </c>
      <c r="U680" s="129">
        <v>0</v>
      </c>
      <c r="V680" s="138">
        <f t="shared" si="93"/>
        <v>3</v>
      </c>
      <c r="W680" s="138">
        <f t="shared" si="94"/>
        <v>3</v>
      </c>
      <c r="X680" s="138">
        <f t="shared" si="95"/>
        <v>1</v>
      </c>
      <c r="Y680" s="138">
        <f t="shared" si="96"/>
        <v>0</v>
      </c>
      <c r="Z680" s="138">
        <f t="shared" si="97"/>
        <v>3</v>
      </c>
      <c r="AA680" s="138">
        <f t="shared" si="98"/>
        <v>0</v>
      </c>
      <c r="AB680" s="127" t="s">
        <v>32</v>
      </c>
      <c r="AC680" s="127" t="s">
        <v>31</v>
      </c>
      <c r="AD680" s="127"/>
      <c r="AE680" s="130"/>
      <c r="AF680" s="136">
        <v>0</v>
      </c>
      <c r="AG680" s="136">
        <v>4.0599999999999996</v>
      </c>
      <c r="AH680" s="136">
        <v>27.76</v>
      </c>
      <c r="AI680" s="136">
        <v>5.99</v>
      </c>
      <c r="AJ680" s="136">
        <v>0</v>
      </c>
      <c r="AK680" s="136">
        <v>0.49</v>
      </c>
      <c r="AL680" s="136">
        <v>3.31</v>
      </c>
      <c r="AM680" s="136">
        <v>41.610000000000007</v>
      </c>
      <c r="AN680" s="131"/>
      <c r="AO680" s="131"/>
      <c r="AP680" s="131"/>
      <c r="AQ680" s="131"/>
      <c r="AR680" s="131"/>
      <c r="AS680" s="131"/>
      <c r="AT680" s="131"/>
      <c r="AU680" s="91"/>
      <c r="AV680" s="91"/>
      <c r="AW680" s="131"/>
      <c r="AX680" s="131"/>
      <c r="AY680" s="131"/>
    </row>
    <row r="681" spans="1:51" ht="15" x14ac:dyDescent="0.25">
      <c r="A681" s="123"/>
      <c r="B681" s="124"/>
      <c r="C681" s="125">
        <v>12346</v>
      </c>
      <c r="D681" s="89"/>
      <c r="E681" s="86" t="s">
        <v>23</v>
      </c>
      <c r="F681" s="86" t="s">
        <v>418</v>
      </c>
      <c r="H681" s="126" t="s">
        <v>51</v>
      </c>
      <c r="I681" s="89">
        <v>1</v>
      </c>
      <c r="J681" s="127">
        <v>35465.0458</v>
      </c>
      <c r="K681" s="127">
        <v>49643.43</v>
      </c>
      <c r="L681" s="127">
        <v>8250.61</v>
      </c>
      <c r="M681" s="127">
        <v>27869.0458</v>
      </c>
      <c r="N681" s="127">
        <v>38429.430000000008</v>
      </c>
      <c r="O681" s="127">
        <v>7332.6100000000006</v>
      </c>
      <c r="P681" s="128">
        <f t="shared" si="90"/>
        <v>0.7858172792772764</v>
      </c>
      <c r="Q681" s="128">
        <f t="shared" si="91"/>
        <v>0.77410908150383662</v>
      </c>
      <c r="R681" s="128">
        <f t="shared" si="92"/>
        <v>0.88873549955700248</v>
      </c>
      <c r="S681" s="129">
        <v>1</v>
      </c>
      <c r="T681" s="129">
        <v>1</v>
      </c>
      <c r="U681" s="129">
        <v>1</v>
      </c>
      <c r="V681" s="138">
        <f t="shared" si="93"/>
        <v>3</v>
      </c>
      <c r="W681" s="138">
        <f t="shared" si="94"/>
        <v>3</v>
      </c>
      <c r="X681" s="138">
        <f t="shared" si="95"/>
        <v>1</v>
      </c>
      <c r="Y681" s="138">
        <f t="shared" si="96"/>
        <v>3</v>
      </c>
      <c r="Z681" s="138">
        <f t="shared" si="97"/>
        <v>3</v>
      </c>
      <c r="AA681" s="138">
        <f t="shared" si="98"/>
        <v>1</v>
      </c>
      <c r="AB681" s="127" t="s">
        <v>32</v>
      </c>
      <c r="AC681" s="127" t="s">
        <v>31</v>
      </c>
      <c r="AD681" s="127"/>
      <c r="AE681" s="130"/>
      <c r="AF681" s="136">
        <v>14.89</v>
      </c>
      <c r="AG681" s="136">
        <v>4.0599999999999996</v>
      </c>
      <c r="AH681" s="136">
        <v>20.53</v>
      </c>
      <c r="AI681" s="136">
        <v>5.99</v>
      </c>
      <c r="AJ681" s="136">
        <v>3.92</v>
      </c>
      <c r="AK681" s="136">
        <v>0.49</v>
      </c>
      <c r="AL681" s="136">
        <v>3.31</v>
      </c>
      <c r="AM681" s="136">
        <v>53.190000000000012</v>
      </c>
      <c r="AN681" s="131"/>
      <c r="AO681" s="131"/>
      <c r="AP681" s="131"/>
      <c r="AQ681" s="131"/>
      <c r="AR681" s="131"/>
      <c r="AS681" s="131"/>
      <c r="AT681" s="131"/>
      <c r="AU681" s="91"/>
      <c r="AV681" s="91"/>
      <c r="AW681" s="131"/>
      <c r="AX681" s="131"/>
      <c r="AY681" s="131"/>
    </row>
    <row r="682" spans="1:51" ht="15" x14ac:dyDescent="0.25">
      <c r="A682" s="123"/>
      <c r="B682" s="124"/>
      <c r="C682" s="125">
        <v>32466</v>
      </c>
      <c r="D682" s="89"/>
      <c r="E682" s="86" t="s">
        <v>23</v>
      </c>
      <c r="F682" s="86" t="s">
        <v>418</v>
      </c>
      <c r="H682" s="126" t="s">
        <v>51</v>
      </c>
      <c r="I682" s="89">
        <v>1</v>
      </c>
      <c r="J682" s="127">
        <v>35465.0458</v>
      </c>
      <c r="K682" s="127">
        <v>49643.43</v>
      </c>
      <c r="L682" s="127">
        <v>8250.61</v>
      </c>
      <c r="M682" s="127">
        <v>27869.0458</v>
      </c>
      <c r="N682" s="127">
        <v>38429.430000000008</v>
      </c>
      <c r="O682" s="127">
        <v>7332.6100000000006</v>
      </c>
      <c r="P682" s="128">
        <f t="shared" si="90"/>
        <v>0.7858172792772764</v>
      </c>
      <c r="Q682" s="128">
        <f t="shared" si="91"/>
        <v>0.77410908150383662</v>
      </c>
      <c r="R682" s="128">
        <f t="shared" si="92"/>
        <v>0.88873549955700248</v>
      </c>
      <c r="S682" s="129">
        <v>1</v>
      </c>
      <c r="T682" s="129">
        <v>1</v>
      </c>
      <c r="U682" s="129">
        <v>1</v>
      </c>
      <c r="V682" s="138">
        <f t="shared" si="93"/>
        <v>3</v>
      </c>
      <c r="W682" s="138">
        <f t="shared" si="94"/>
        <v>3</v>
      </c>
      <c r="X682" s="138">
        <f t="shared" si="95"/>
        <v>1</v>
      </c>
      <c r="Y682" s="138">
        <f t="shared" si="96"/>
        <v>3</v>
      </c>
      <c r="Z682" s="138">
        <f t="shared" si="97"/>
        <v>3</v>
      </c>
      <c r="AA682" s="138">
        <f t="shared" si="98"/>
        <v>1</v>
      </c>
      <c r="AB682" s="127" t="s">
        <v>32</v>
      </c>
      <c r="AC682" s="127" t="s">
        <v>31</v>
      </c>
      <c r="AD682" s="127"/>
      <c r="AE682" s="130"/>
      <c r="AF682" s="136">
        <v>14.89</v>
      </c>
      <c r="AG682" s="136">
        <v>4.0599999999999996</v>
      </c>
      <c r="AH682" s="136">
        <v>20.53</v>
      </c>
      <c r="AI682" s="136">
        <v>5.99</v>
      </c>
      <c r="AJ682" s="136">
        <v>3.92</v>
      </c>
      <c r="AK682" s="136">
        <v>0.49</v>
      </c>
      <c r="AL682" s="136">
        <v>3.31</v>
      </c>
      <c r="AM682" s="136">
        <v>53.190000000000012</v>
      </c>
      <c r="AN682" s="131"/>
      <c r="AO682" s="131"/>
      <c r="AP682" s="131"/>
      <c r="AQ682" s="131"/>
      <c r="AR682" s="131"/>
      <c r="AS682" s="131"/>
      <c r="AT682" s="131"/>
      <c r="AU682" s="91"/>
      <c r="AV682" s="91"/>
      <c r="AW682" s="131"/>
      <c r="AX682" s="131"/>
      <c r="AY682" s="131"/>
    </row>
    <row r="683" spans="1:51" ht="15" x14ac:dyDescent="0.25">
      <c r="A683" s="123"/>
      <c r="B683" s="124"/>
      <c r="C683" s="125">
        <v>50653</v>
      </c>
      <c r="D683" s="89"/>
      <c r="E683" s="86" t="s">
        <v>23</v>
      </c>
      <c r="F683" s="86" t="s">
        <v>418</v>
      </c>
      <c r="H683" s="126" t="s">
        <v>51</v>
      </c>
      <c r="I683" s="89">
        <v>1</v>
      </c>
      <c r="J683" s="127">
        <v>35465.0458</v>
      </c>
      <c r="K683" s="127">
        <v>49643.43</v>
      </c>
      <c r="L683" s="127">
        <v>8250.61</v>
      </c>
      <c r="M683" s="127">
        <v>27869.0458</v>
      </c>
      <c r="N683" s="127">
        <v>38429.430000000008</v>
      </c>
      <c r="O683" s="127">
        <v>7332.6100000000006</v>
      </c>
      <c r="P683" s="128">
        <f t="shared" si="90"/>
        <v>0.7858172792772764</v>
      </c>
      <c r="Q683" s="128">
        <f t="shared" si="91"/>
        <v>0.77410908150383662</v>
      </c>
      <c r="R683" s="128">
        <f t="shared" si="92"/>
        <v>0.88873549955700248</v>
      </c>
      <c r="S683" s="129">
        <v>1</v>
      </c>
      <c r="T683" s="129">
        <v>1</v>
      </c>
      <c r="U683" s="129">
        <v>1</v>
      </c>
      <c r="V683" s="138">
        <f t="shared" si="93"/>
        <v>3</v>
      </c>
      <c r="W683" s="138">
        <f t="shared" si="94"/>
        <v>3</v>
      </c>
      <c r="X683" s="138">
        <f t="shared" si="95"/>
        <v>1</v>
      </c>
      <c r="Y683" s="138">
        <f t="shared" si="96"/>
        <v>3</v>
      </c>
      <c r="Z683" s="138">
        <f t="shared" si="97"/>
        <v>3</v>
      </c>
      <c r="AA683" s="138">
        <f t="shared" si="98"/>
        <v>1</v>
      </c>
      <c r="AB683" s="127" t="s">
        <v>32</v>
      </c>
      <c r="AC683" s="127" t="s">
        <v>31</v>
      </c>
      <c r="AD683" s="127"/>
      <c r="AE683" s="130"/>
      <c r="AF683" s="136">
        <v>14.89</v>
      </c>
      <c r="AG683" s="136">
        <v>4.0599999999999996</v>
      </c>
      <c r="AH683" s="136">
        <v>20.53</v>
      </c>
      <c r="AI683" s="136">
        <v>5.99</v>
      </c>
      <c r="AJ683" s="136">
        <v>3.92</v>
      </c>
      <c r="AK683" s="136">
        <v>0.49</v>
      </c>
      <c r="AL683" s="136">
        <v>3.31</v>
      </c>
      <c r="AM683" s="136">
        <v>53.190000000000012</v>
      </c>
      <c r="AN683" s="131"/>
      <c r="AO683" s="131"/>
      <c r="AP683" s="131"/>
      <c r="AQ683" s="131"/>
      <c r="AR683" s="131"/>
      <c r="AS683" s="131"/>
      <c r="AT683" s="131"/>
      <c r="AU683" s="91"/>
      <c r="AV683" s="91"/>
      <c r="AW683" s="131"/>
      <c r="AX683" s="131"/>
      <c r="AY683" s="131"/>
    </row>
    <row r="684" spans="1:51" ht="15" x14ac:dyDescent="0.25">
      <c r="A684" s="123"/>
      <c r="B684" s="124"/>
      <c r="C684" s="125">
        <v>66180</v>
      </c>
      <c r="D684" s="89"/>
      <c r="E684" s="86" t="s">
        <v>23</v>
      </c>
      <c r="F684" s="86" t="s">
        <v>418</v>
      </c>
      <c r="H684" s="126" t="s">
        <v>51</v>
      </c>
      <c r="I684" s="89">
        <v>1</v>
      </c>
      <c r="J684" s="127">
        <v>35465.0458</v>
      </c>
      <c r="K684" s="127">
        <v>49643.43</v>
      </c>
      <c r="L684" s="127">
        <v>8250.61</v>
      </c>
      <c r="M684" s="127">
        <v>27869.0458</v>
      </c>
      <c r="N684" s="127">
        <v>38429.430000000008</v>
      </c>
      <c r="O684" s="127">
        <v>7332.6100000000006</v>
      </c>
      <c r="P684" s="128">
        <f t="shared" si="90"/>
        <v>0.7858172792772764</v>
      </c>
      <c r="Q684" s="128">
        <f t="shared" si="91"/>
        <v>0.77410908150383662</v>
      </c>
      <c r="R684" s="128">
        <f t="shared" si="92"/>
        <v>0.88873549955700248</v>
      </c>
      <c r="S684" s="129">
        <v>1</v>
      </c>
      <c r="T684" s="129">
        <v>1</v>
      </c>
      <c r="U684" s="129">
        <v>1</v>
      </c>
      <c r="V684" s="138">
        <f t="shared" si="93"/>
        <v>3</v>
      </c>
      <c r="W684" s="138">
        <f t="shared" si="94"/>
        <v>3</v>
      </c>
      <c r="X684" s="138">
        <f t="shared" si="95"/>
        <v>1</v>
      </c>
      <c r="Y684" s="138">
        <f t="shared" si="96"/>
        <v>3</v>
      </c>
      <c r="Z684" s="138">
        <f t="shared" si="97"/>
        <v>3</v>
      </c>
      <c r="AA684" s="138">
        <f t="shared" si="98"/>
        <v>1</v>
      </c>
      <c r="AB684" s="127" t="s">
        <v>32</v>
      </c>
      <c r="AC684" s="127" t="s">
        <v>31</v>
      </c>
      <c r="AD684" s="127"/>
      <c r="AE684" s="130"/>
      <c r="AF684" s="136">
        <v>14.89</v>
      </c>
      <c r="AG684" s="136">
        <v>4.0599999999999996</v>
      </c>
      <c r="AH684" s="136">
        <v>20.53</v>
      </c>
      <c r="AI684" s="136">
        <v>5.99</v>
      </c>
      <c r="AJ684" s="136">
        <v>3.92</v>
      </c>
      <c r="AK684" s="136">
        <v>0.49</v>
      </c>
      <c r="AL684" s="136">
        <v>3.31</v>
      </c>
      <c r="AM684" s="136">
        <v>53.190000000000012</v>
      </c>
      <c r="AN684" s="131"/>
      <c r="AO684" s="131"/>
      <c r="AP684" s="131"/>
      <c r="AQ684" s="131"/>
      <c r="AR684" s="131"/>
      <c r="AS684" s="131"/>
      <c r="AT684" s="131"/>
      <c r="AU684" s="91"/>
      <c r="AV684" s="91"/>
      <c r="AW684" s="131"/>
      <c r="AX684" s="131"/>
      <c r="AY684" s="131"/>
    </row>
    <row r="685" spans="1:51" ht="15" x14ac:dyDescent="0.25">
      <c r="A685" s="123"/>
      <c r="B685" s="124"/>
      <c r="C685" s="125">
        <v>78823</v>
      </c>
      <c r="D685" s="89"/>
      <c r="E685" s="86" t="s">
        <v>23</v>
      </c>
      <c r="F685" s="86" t="s">
        <v>418</v>
      </c>
      <c r="H685" s="126" t="s">
        <v>51</v>
      </c>
      <c r="I685" s="89">
        <v>1</v>
      </c>
      <c r="J685" s="127">
        <v>35465.0458</v>
      </c>
      <c r="K685" s="127">
        <v>49643.43</v>
      </c>
      <c r="L685" s="127">
        <v>8250.61</v>
      </c>
      <c r="M685" s="127">
        <v>27869.0458</v>
      </c>
      <c r="N685" s="127">
        <v>38429.430000000008</v>
      </c>
      <c r="O685" s="127">
        <v>7332.6100000000006</v>
      </c>
      <c r="P685" s="128">
        <f t="shared" si="90"/>
        <v>0.7858172792772764</v>
      </c>
      <c r="Q685" s="128">
        <f t="shared" si="91"/>
        <v>0.77410908150383662</v>
      </c>
      <c r="R685" s="128">
        <f t="shared" si="92"/>
        <v>0.88873549955700248</v>
      </c>
      <c r="S685" s="129">
        <v>1</v>
      </c>
      <c r="T685" s="129">
        <v>1</v>
      </c>
      <c r="U685" s="129">
        <v>1</v>
      </c>
      <c r="V685" s="138">
        <f t="shared" si="93"/>
        <v>3</v>
      </c>
      <c r="W685" s="138">
        <f t="shared" si="94"/>
        <v>3</v>
      </c>
      <c r="X685" s="138">
        <f t="shared" si="95"/>
        <v>1</v>
      </c>
      <c r="Y685" s="138">
        <f t="shared" si="96"/>
        <v>3</v>
      </c>
      <c r="Z685" s="138">
        <f t="shared" si="97"/>
        <v>3</v>
      </c>
      <c r="AA685" s="138">
        <f t="shared" si="98"/>
        <v>1</v>
      </c>
      <c r="AB685" s="127" t="s">
        <v>32</v>
      </c>
      <c r="AC685" s="127" t="s">
        <v>31</v>
      </c>
      <c r="AD685" s="127"/>
      <c r="AE685" s="130"/>
      <c r="AF685" s="136">
        <v>14.89</v>
      </c>
      <c r="AG685" s="136">
        <v>4.0599999999999996</v>
      </c>
      <c r="AH685" s="136">
        <v>20.53</v>
      </c>
      <c r="AI685" s="136">
        <v>5.99</v>
      </c>
      <c r="AJ685" s="136">
        <v>3.92</v>
      </c>
      <c r="AK685" s="136">
        <v>0.49</v>
      </c>
      <c r="AL685" s="136">
        <v>3.31</v>
      </c>
      <c r="AM685" s="136">
        <v>53.190000000000012</v>
      </c>
      <c r="AN685" s="131"/>
      <c r="AO685" s="131"/>
      <c r="AP685" s="131"/>
      <c r="AQ685" s="131"/>
      <c r="AR685" s="131"/>
      <c r="AS685" s="131"/>
      <c r="AT685" s="131"/>
      <c r="AU685" s="91"/>
      <c r="AV685" s="91"/>
      <c r="AW685" s="131"/>
      <c r="AX685" s="131"/>
      <c r="AY685" s="131"/>
    </row>
    <row r="686" spans="1:51" ht="15" x14ac:dyDescent="0.25">
      <c r="A686" s="123"/>
      <c r="B686" s="124"/>
      <c r="C686" s="125">
        <v>120007</v>
      </c>
      <c r="D686" s="89"/>
      <c r="E686" s="86" t="s">
        <v>23</v>
      </c>
      <c r="F686" s="86" t="s">
        <v>418</v>
      </c>
      <c r="H686" s="126" t="s">
        <v>51</v>
      </c>
      <c r="I686" s="89">
        <v>1</v>
      </c>
      <c r="J686" s="127">
        <v>35465.0458</v>
      </c>
      <c r="K686" s="127">
        <v>49643.43</v>
      </c>
      <c r="L686" s="127">
        <v>8250.61</v>
      </c>
      <c r="M686" s="127">
        <v>27869.0458</v>
      </c>
      <c r="N686" s="127">
        <v>38429.430000000008</v>
      </c>
      <c r="O686" s="127">
        <v>7332.6100000000006</v>
      </c>
      <c r="P686" s="128">
        <f t="shared" si="90"/>
        <v>0.7858172792772764</v>
      </c>
      <c r="Q686" s="128">
        <f t="shared" si="91"/>
        <v>0.77410908150383662</v>
      </c>
      <c r="R686" s="128">
        <f t="shared" si="92"/>
        <v>0.88873549955700248</v>
      </c>
      <c r="S686" s="129">
        <v>1</v>
      </c>
      <c r="T686" s="129">
        <v>1</v>
      </c>
      <c r="U686" s="129">
        <v>1</v>
      </c>
      <c r="V686" s="138">
        <f t="shared" si="93"/>
        <v>3</v>
      </c>
      <c r="W686" s="138">
        <f t="shared" si="94"/>
        <v>3</v>
      </c>
      <c r="X686" s="138">
        <f t="shared" si="95"/>
        <v>1</v>
      </c>
      <c r="Y686" s="138">
        <f t="shared" si="96"/>
        <v>3</v>
      </c>
      <c r="Z686" s="138">
        <f t="shared" si="97"/>
        <v>3</v>
      </c>
      <c r="AA686" s="138">
        <f t="shared" si="98"/>
        <v>1</v>
      </c>
      <c r="AB686" s="127" t="s">
        <v>32</v>
      </c>
      <c r="AC686" s="127" t="s">
        <v>31</v>
      </c>
      <c r="AD686" s="127"/>
      <c r="AE686" s="130"/>
      <c r="AF686" s="136">
        <v>14.89</v>
      </c>
      <c r="AG686" s="136">
        <v>4.0599999999999996</v>
      </c>
      <c r="AH686" s="136">
        <v>20.53</v>
      </c>
      <c r="AI686" s="136">
        <v>5.99</v>
      </c>
      <c r="AJ686" s="136">
        <v>3.92</v>
      </c>
      <c r="AK686" s="136">
        <v>0.49</v>
      </c>
      <c r="AL686" s="136">
        <v>3.31</v>
      </c>
      <c r="AM686" s="136">
        <v>53.190000000000012</v>
      </c>
      <c r="AN686" s="131"/>
      <c r="AO686" s="131"/>
      <c r="AP686" s="131"/>
      <c r="AQ686" s="131"/>
      <c r="AR686" s="131"/>
      <c r="AS686" s="131"/>
      <c r="AT686" s="131"/>
      <c r="AU686" s="91"/>
      <c r="AV686" s="91"/>
      <c r="AW686" s="131"/>
      <c r="AX686" s="131"/>
      <c r="AY686" s="131"/>
    </row>
    <row r="687" spans="1:51" ht="15" x14ac:dyDescent="0.25">
      <c r="A687" s="123"/>
      <c r="B687" s="124"/>
      <c r="C687" s="125">
        <v>124765</v>
      </c>
      <c r="D687" s="89"/>
      <c r="E687" s="86" t="s">
        <v>23</v>
      </c>
      <c r="F687" s="86" t="s">
        <v>418</v>
      </c>
      <c r="H687" s="126" t="s">
        <v>51</v>
      </c>
      <c r="I687" s="89">
        <v>1</v>
      </c>
      <c r="J687" s="127">
        <v>35465.0458</v>
      </c>
      <c r="K687" s="127">
        <v>49643.43</v>
      </c>
      <c r="L687" s="127">
        <v>8250.61</v>
      </c>
      <c r="M687" s="127">
        <v>27869.0458</v>
      </c>
      <c r="N687" s="127">
        <v>38429.430000000008</v>
      </c>
      <c r="O687" s="127">
        <v>7332.6100000000006</v>
      </c>
      <c r="P687" s="128">
        <f t="shared" si="90"/>
        <v>0.7858172792772764</v>
      </c>
      <c r="Q687" s="128">
        <f t="shared" si="91"/>
        <v>0.77410908150383662</v>
      </c>
      <c r="R687" s="128">
        <f t="shared" si="92"/>
        <v>0.88873549955700248</v>
      </c>
      <c r="S687" s="129">
        <v>1</v>
      </c>
      <c r="T687" s="129">
        <v>1</v>
      </c>
      <c r="U687" s="129">
        <v>1</v>
      </c>
      <c r="V687" s="138">
        <f t="shared" si="93"/>
        <v>3</v>
      </c>
      <c r="W687" s="138">
        <f t="shared" si="94"/>
        <v>3</v>
      </c>
      <c r="X687" s="138">
        <f t="shared" si="95"/>
        <v>1</v>
      </c>
      <c r="Y687" s="138">
        <f t="shared" si="96"/>
        <v>3</v>
      </c>
      <c r="Z687" s="138">
        <f t="shared" si="97"/>
        <v>3</v>
      </c>
      <c r="AA687" s="138">
        <f t="shared" si="98"/>
        <v>1</v>
      </c>
      <c r="AB687" s="127" t="s">
        <v>32</v>
      </c>
      <c r="AC687" s="127" t="s">
        <v>31</v>
      </c>
      <c r="AD687" s="127"/>
      <c r="AE687" s="130"/>
      <c r="AF687" s="136">
        <v>14.89</v>
      </c>
      <c r="AG687" s="136">
        <v>4.0599999999999996</v>
      </c>
      <c r="AH687" s="136">
        <v>20.53</v>
      </c>
      <c r="AI687" s="136">
        <v>5.99</v>
      </c>
      <c r="AJ687" s="136">
        <v>3.92</v>
      </c>
      <c r="AK687" s="136">
        <v>0.49</v>
      </c>
      <c r="AL687" s="136">
        <v>3.31</v>
      </c>
      <c r="AM687" s="136">
        <v>53.190000000000012</v>
      </c>
      <c r="AN687" s="131"/>
      <c r="AO687" s="131"/>
      <c r="AP687" s="131"/>
      <c r="AQ687" s="131"/>
      <c r="AR687" s="131"/>
      <c r="AS687" s="131"/>
      <c r="AT687" s="131"/>
      <c r="AU687" s="91"/>
      <c r="AV687" s="91"/>
      <c r="AW687" s="131"/>
      <c r="AX687" s="131"/>
      <c r="AY687" s="131"/>
    </row>
    <row r="688" spans="1:51" ht="15" x14ac:dyDescent="0.25">
      <c r="A688" s="123"/>
      <c r="B688" s="124"/>
      <c r="C688" s="125">
        <v>132539</v>
      </c>
      <c r="D688" s="89"/>
      <c r="E688" s="86" t="s">
        <v>23</v>
      </c>
      <c r="F688" s="86" t="s">
        <v>418</v>
      </c>
      <c r="H688" s="126" t="s">
        <v>51</v>
      </c>
      <c r="I688" s="89">
        <v>1</v>
      </c>
      <c r="J688" s="127">
        <v>35465.0458</v>
      </c>
      <c r="K688" s="127">
        <v>49643.43</v>
      </c>
      <c r="L688" s="127">
        <v>8250.61</v>
      </c>
      <c r="M688" s="127">
        <v>27869.0458</v>
      </c>
      <c r="N688" s="127">
        <v>38429.430000000008</v>
      </c>
      <c r="O688" s="127">
        <v>7332.6100000000006</v>
      </c>
      <c r="P688" s="128">
        <f t="shared" si="90"/>
        <v>0.7858172792772764</v>
      </c>
      <c r="Q688" s="128">
        <f t="shared" si="91"/>
        <v>0.77410908150383662</v>
      </c>
      <c r="R688" s="128">
        <f t="shared" si="92"/>
        <v>0.88873549955700248</v>
      </c>
      <c r="S688" s="129">
        <v>1</v>
      </c>
      <c r="T688" s="129">
        <v>1</v>
      </c>
      <c r="U688" s="129">
        <v>1</v>
      </c>
      <c r="V688" s="138">
        <f t="shared" si="93"/>
        <v>3</v>
      </c>
      <c r="W688" s="138">
        <f t="shared" si="94"/>
        <v>3</v>
      </c>
      <c r="X688" s="138">
        <f t="shared" si="95"/>
        <v>1</v>
      </c>
      <c r="Y688" s="138">
        <f t="shared" si="96"/>
        <v>3</v>
      </c>
      <c r="Z688" s="138">
        <f t="shared" si="97"/>
        <v>3</v>
      </c>
      <c r="AA688" s="138">
        <f t="shared" si="98"/>
        <v>1</v>
      </c>
      <c r="AB688" s="127" t="s">
        <v>32</v>
      </c>
      <c r="AC688" s="127" t="s">
        <v>31</v>
      </c>
      <c r="AD688" s="127"/>
      <c r="AE688" s="130"/>
      <c r="AF688" s="136">
        <v>14.89</v>
      </c>
      <c r="AG688" s="136">
        <v>4.0599999999999996</v>
      </c>
      <c r="AH688" s="136">
        <v>20.53</v>
      </c>
      <c r="AI688" s="136">
        <v>5.99</v>
      </c>
      <c r="AJ688" s="136">
        <v>3.92</v>
      </c>
      <c r="AK688" s="136">
        <v>0.49</v>
      </c>
      <c r="AL688" s="136">
        <v>3.31</v>
      </c>
      <c r="AM688" s="136">
        <v>53.190000000000012</v>
      </c>
      <c r="AN688" s="131"/>
      <c r="AO688" s="131"/>
      <c r="AP688" s="131"/>
      <c r="AQ688" s="131"/>
      <c r="AR688" s="131"/>
      <c r="AS688" s="131"/>
      <c r="AT688" s="131"/>
      <c r="AU688" s="91"/>
      <c r="AV688" s="91"/>
      <c r="AW688" s="131"/>
      <c r="AX688" s="131"/>
      <c r="AY688" s="131"/>
    </row>
    <row r="689" spans="1:51" ht="15" x14ac:dyDescent="0.25">
      <c r="A689" s="123"/>
      <c r="B689" s="124"/>
      <c r="C689" s="125">
        <v>139424</v>
      </c>
      <c r="D689" s="89"/>
      <c r="E689" s="86" t="s">
        <v>23</v>
      </c>
      <c r="F689" s="86" t="s">
        <v>418</v>
      </c>
      <c r="H689" s="126" t="s">
        <v>51</v>
      </c>
      <c r="I689" s="89">
        <v>1</v>
      </c>
      <c r="J689" s="127">
        <v>35465.0458</v>
      </c>
      <c r="K689" s="127">
        <v>49643.43</v>
      </c>
      <c r="L689" s="127">
        <v>8250.61</v>
      </c>
      <c r="M689" s="127">
        <v>27869.0458</v>
      </c>
      <c r="N689" s="127">
        <v>38429.430000000008</v>
      </c>
      <c r="O689" s="127">
        <v>7332.6100000000006</v>
      </c>
      <c r="P689" s="128">
        <f t="shared" si="90"/>
        <v>0.7858172792772764</v>
      </c>
      <c r="Q689" s="128">
        <f t="shared" si="91"/>
        <v>0.77410908150383662</v>
      </c>
      <c r="R689" s="128">
        <f t="shared" si="92"/>
        <v>0.88873549955700248</v>
      </c>
      <c r="S689" s="129">
        <v>1</v>
      </c>
      <c r="T689" s="129">
        <v>1</v>
      </c>
      <c r="U689" s="129">
        <v>1</v>
      </c>
      <c r="V689" s="138">
        <f t="shared" si="93"/>
        <v>3</v>
      </c>
      <c r="W689" s="138">
        <f t="shared" si="94"/>
        <v>3</v>
      </c>
      <c r="X689" s="138">
        <f t="shared" si="95"/>
        <v>1</v>
      </c>
      <c r="Y689" s="138">
        <f t="shared" si="96"/>
        <v>3</v>
      </c>
      <c r="Z689" s="138">
        <f t="shared" si="97"/>
        <v>3</v>
      </c>
      <c r="AA689" s="138">
        <f t="shared" si="98"/>
        <v>1</v>
      </c>
      <c r="AB689" s="127" t="s">
        <v>32</v>
      </c>
      <c r="AC689" s="127" t="s">
        <v>31</v>
      </c>
      <c r="AD689" s="127"/>
      <c r="AE689" s="130"/>
      <c r="AF689" s="136">
        <v>14.89</v>
      </c>
      <c r="AG689" s="136">
        <v>4.0599999999999996</v>
      </c>
      <c r="AH689" s="136">
        <v>20.53</v>
      </c>
      <c r="AI689" s="136">
        <v>5.99</v>
      </c>
      <c r="AJ689" s="136">
        <v>3.92</v>
      </c>
      <c r="AK689" s="136">
        <v>0.49</v>
      </c>
      <c r="AL689" s="136">
        <v>3.31</v>
      </c>
      <c r="AM689" s="136">
        <v>53.190000000000012</v>
      </c>
      <c r="AN689" s="131"/>
      <c r="AO689" s="131"/>
      <c r="AP689" s="131"/>
      <c r="AQ689" s="131"/>
      <c r="AR689" s="131"/>
      <c r="AS689" s="131"/>
      <c r="AT689" s="131"/>
      <c r="AU689" s="91"/>
      <c r="AV689" s="91"/>
      <c r="AW689" s="131"/>
      <c r="AX689" s="131"/>
      <c r="AY689" s="131"/>
    </row>
    <row r="690" spans="1:51" ht="15" x14ac:dyDescent="0.25">
      <c r="A690" s="123"/>
      <c r="B690" s="124"/>
      <c r="C690" s="125">
        <v>194715</v>
      </c>
      <c r="D690" s="89"/>
      <c r="E690" s="86" t="s">
        <v>23</v>
      </c>
      <c r="F690" s="86" t="s">
        <v>418</v>
      </c>
      <c r="H690" s="126" t="s">
        <v>51</v>
      </c>
      <c r="I690" s="89">
        <v>1</v>
      </c>
      <c r="J690" s="127">
        <v>35465.0458</v>
      </c>
      <c r="K690" s="127">
        <v>49643.43</v>
      </c>
      <c r="L690" s="127">
        <v>8250.61</v>
      </c>
      <c r="M690" s="127">
        <v>27869.0458</v>
      </c>
      <c r="N690" s="127">
        <v>38429.430000000008</v>
      </c>
      <c r="O690" s="127">
        <v>7332.6100000000006</v>
      </c>
      <c r="P690" s="128">
        <f t="shared" si="90"/>
        <v>0.7858172792772764</v>
      </c>
      <c r="Q690" s="128">
        <f t="shared" si="91"/>
        <v>0.77410908150383662</v>
      </c>
      <c r="R690" s="128">
        <f t="shared" si="92"/>
        <v>0.88873549955700248</v>
      </c>
      <c r="S690" s="129">
        <v>1</v>
      </c>
      <c r="T690" s="129">
        <v>1</v>
      </c>
      <c r="U690" s="129">
        <v>1</v>
      </c>
      <c r="V690" s="138">
        <f t="shared" si="93"/>
        <v>3</v>
      </c>
      <c r="W690" s="138">
        <f t="shared" si="94"/>
        <v>3</v>
      </c>
      <c r="X690" s="138">
        <f t="shared" si="95"/>
        <v>1</v>
      </c>
      <c r="Y690" s="138">
        <f t="shared" si="96"/>
        <v>3</v>
      </c>
      <c r="Z690" s="138">
        <f t="shared" si="97"/>
        <v>3</v>
      </c>
      <c r="AA690" s="138">
        <f t="shared" si="98"/>
        <v>1</v>
      </c>
      <c r="AB690" s="127" t="s">
        <v>32</v>
      </c>
      <c r="AC690" s="127" t="s">
        <v>31</v>
      </c>
      <c r="AD690" s="127"/>
      <c r="AE690" s="130"/>
      <c r="AF690" s="136">
        <v>14.89</v>
      </c>
      <c r="AG690" s="136">
        <v>4.0599999999999996</v>
      </c>
      <c r="AH690" s="136">
        <v>20.53</v>
      </c>
      <c r="AI690" s="136">
        <v>5.99</v>
      </c>
      <c r="AJ690" s="136">
        <v>3.92</v>
      </c>
      <c r="AK690" s="136">
        <v>0.49</v>
      </c>
      <c r="AL690" s="136">
        <v>3.31</v>
      </c>
      <c r="AM690" s="136">
        <v>53.190000000000012</v>
      </c>
      <c r="AN690" s="131"/>
      <c r="AO690" s="131"/>
      <c r="AP690" s="131"/>
      <c r="AQ690" s="131"/>
      <c r="AR690" s="131"/>
      <c r="AS690" s="131"/>
      <c r="AT690" s="131"/>
      <c r="AU690" s="91"/>
      <c r="AV690" s="91"/>
      <c r="AW690" s="131"/>
      <c r="AX690" s="131"/>
      <c r="AY690" s="131"/>
    </row>
    <row r="691" spans="1:51" ht="15" x14ac:dyDescent="0.25">
      <c r="A691" s="123"/>
      <c r="B691" s="124"/>
      <c r="C691" s="125">
        <v>385239</v>
      </c>
      <c r="D691" s="89"/>
      <c r="E691" s="86" t="s">
        <v>23</v>
      </c>
      <c r="F691" s="86" t="s">
        <v>418</v>
      </c>
      <c r="H691" s="126" t="s">
        <v>51</v>
      </c>
      <c r="I691" s="89">
        <v>1</v>
      </c>
      <c r="J691" s="127">
        <v>35465.0458</v>
      </c>
      <c r="K691" s="127">
        <v>49643.43</v>
      </c>
      <c r="L691" s="127">
        <v>8250.61</v>
      </c>
      <c r="M691" s="127">
        <v>27869.0458</v>
      </c>
      <c r="N691" s="127">
        <v>38429.430000000008</v>
      </c>
      <c r="O691" s="127">
        <v>7332.6100000000006</v>
      </c>
      <c r="P691" s="128">
        <f t="shared" si="90"/>
        <v>0.7858172792772764</v>
      </c>
      <c r="Q691" s="128">
        <f t="shared" si="91"/>
        <v>0.77410908150383662</v>
      </c>
      <c r="R691" s="128">
        <f t="shared" si="92"/>
        <v>0.88873549955700248</v>
      </c>
      <c r="S691" s="129">
        <v>1</v>
      </c>
      <c r="T691" s="129">
        <v>1</v>
      </c>
      <c r="U691" s="129">
        <v>1</v>
      </c>
      <c r="V691" s="138">
        <f t="shared" si="93"/>
        <v>3</v>
      </c>
      <c r="W691" s="138">
        <f t="shared" si="94"/>
        <v>3</v>
      </c>
      <c r="X691" s="138">
        <f t="shared" si="95"/>
        <v>1</v>
      </c>
      <c r="Y691" s="138">
        <f t="shared" si="96"/>
        <v>3</v>
      </c>
      <c r="Z691" s="138">
        <f t="shared" si="97"/>
        <v>3</v>
      </c>
      <c r="AA691" s="138">
        <f t="shared" si="98"/>
        <v>1</v>
      </c>
      <c r="AB691" s="127" t="s">
        <v>32</v>
      </c>
      <c r="AC691" s="127" t="s">
        <v>31</v>
      </c>
      <c r="AD691" s="127"/>
      <c r="AE691" s="130"/>
      <c r="AF691" s="136">
        <v>14.89</v>
      </c>
      <c r="AG691" s="136">
        <v>4.0599999999999996</v>
      </c>
      <c r="AH691" s="136">
        <v>20.53</v>
      </c>
      <c r="AI691" s="136">
        <v>5.99</v>
      </c>
      <c r="AJ691" s="136">
        <v>3.92</v>
      </c>
      <c r="AK691" s="136">
        <v>0.49</v>
      </c>
      <c r="AL691" s="136">
        <v>3.31</v>
      </c>
      <c r="AM691" s="136">
        <v>53.190000000000012</v>
      </c>
      <c r="AN691" s="131"/>
      <c r="AO691" s="131"/>
      <c r="AP691" s="131"/>
      <c r="AQ691" s="131"/>
      <c r="AR691" s="131"/>
      <c r="AS691" s="131"/>
      <c r="AT691" s="131"/>
      <c r="AU691" s="91"/>
      <c r="AV691" s="91"/>
      <c r="AW691" s="131"/>
      <c r="AX691" s="131"/>
      <c r="AY691" s="131"/>
    </row>
    <row r="692" spans="1:51" ht="15" x14ac:dyDescent="0.25">
      <c r="A692" s="123"/>
      <c r="B692" s="124"/>
      <c r="C692" s="125">
        <v>396289</v>
      </c>
      <c r="D692" s="89"/>
      <c r="E692" s="86" t="s">
        <v>23</v>
      </c>
      <c r="F692" s="86" t="s">
        <v>418</v>
      </c>
      <c r="H692" s="126" t="s">
        <v>51</v>
      </c>
      <c r="I692" s="89">
        <v>1</v>
      </c>
      <c r="J692" s="127">
        <v>35465.0458</v>
      </c>
      <c r="K692" s="127">
        <v>49643.43</v>
      </c>
      <c r="L692" s="127">
        <v>8250.61</v>
      </c>
      <c r="M692" s="127">
        <v>27869.0458</v>
      </c>
      <c r="N692" s="127">
        <v>38429.430000000008</v>
      </c>
      <c r="O692" s="127">
        <v>7332.6100000000006</v>
      </c>
      <c r="P692" s="128">
        <f t="shared" si="90"/>
        <v>0.7858172792772764</v>
      </c>
      <c r="Q692" s="128">
        <f t="shared" si="91"/>
        <v>0.77410908150383662</v>
      </c>
      <c r="R692" s="128">
        <f t="shared" si="92"/>
        <v>0.88873549955700248</v>
      </c>
      <c r="S692" s="129">
        <v>1</v>
      </c>
      <c r="T692" s="129">
        <v>1</v>
      </c>
      <c r="U692" s="129">
        <v>1</v>
      </c>
      <c r="V692" s="138">
        <f t="shared" si="93"/>
        <v>3</v>
      </c>
      <c r="W692" s="138">
        <f t="shared" si="94"/>
        <v>3</v>
      </c>
      <c r="X692" s="138">
        <f t="shared" si="95"/>
        <v>1</v>
      </c>
      <c r="Y692" s="138">
        <f t="shared" si="96"/>
        <v>3</v>
      </c>
      <c r="Z692" s="138">
        <f t="shared" si="97"/>
        <v>3</v>
      </c>
      <c r="AA692" s="138">
        <f t="shared" si="98"/>
        <v>1</v>
      </c>
      <c r="AB692" s="127" t="s">
        <v>32</v>
      </c>
      <c r="AC692" s="127" t="s">
        <v>31</v>
      </c>
      <c r="AD692" s="127"/>
      <c r="AE692" s="130"/>
      <c r="AF692" s="136">
        <v>14.89</v>
      </c>
      <c r="AG692" s="136">
        <v>4.0599999999999996</v>
      </c>
      <c r="AH692" s="136">
        <v>20.53</v>
      </c>
      <c r="AI692" s="136">
        <v>5.99</v>
      </c>
      <c r="AJ692" s="136">
        <v>3.92</v>
      </c>
      <c r="AK692" s="136">
        <v>0.49</v>
      </c>
      <c r="AL692" s="136">
        <v>3.31</v>
      </c>
      <c r="AM692" s="136">
        <v>53.190000000000012</v>
      </c>
      <c r="AN692" s="131"/>
      <c r="AO692" s="131"/>
      <c r="AP692" s="131"/>
      <c r="AQ692" s="131"/>
      <c r="AR692" s="131"/>
      <c r="AS692" s="131"/>
      <c r="AT692" s="131"/>
      <c r="AU692" s="91"/>
      <c r="AV692" s="91"/>
      <c r="AW692" s="131"/>
      <c r="AX692" s="131"/>
      <c r="AY692" s="131"/>
    </row>
    <row r="693" spans="1:51" ht="15" x14ac:dyDescent="0.25">
      <c r="A693" s="123"/>
      <c r="B693" s="124"/>
      <c r="C693" s="125">
        <v>456759</v>
      </c>
      <c r="D693" s="89"/>
      <c r="E693" s="86" t="s">
        <v>23</v>
      </c>
      <c r="F693" s="86" t="s">
        <v>418</v>
      </c>
      <c r="H693" s="126" t="s">
        <v>51</v>
      </c>
      <c r="I693" s="89">
        <v>1</v>
      </c>
      <c r="J693" s="127">
        <v>35465.0458</v>
      </c>
      <c r="K693" s="127">
        <v>49643.43</v>
      </c>
      <c r="L693" s="127">
        <v>8250.61</v>
      </c>
      <c r="M693" s="127">
        <v>27869.0458</v>
      </c>
      <c r="N693" s="127">
        <v>38429.430000000008</v>
      </c>
      <c r="O693" s="127">
        <v>7332.6100000000006</v>
      </c>
      <c r="P693" s="128">
        <f t="shared" si="90"/>
        <v>0.7858172792772764</v>
      </c>
      <c r="Q693" s="128">
        <f t="shared" si="91"/>
        <v>0.77410908150383662</v>
      </c>
      <c r="R693" s="128">
        <f t="shared" si="92"/>
        <v>0.88873549955700248</v>
      </c>
      <c r="S693" s="129">
        <v>1</v>
      </c>
      <c r="T693" s="129">
        <v>1</v>
      </c>
      <c r="U693" s="129">
        <v>1</v>
      </c>
      <c r="V693" s="138">
        <f t="shared" si="93"/>
        <v>3</v>
      </c>
      <c r="W693" s="138">
        <f t="shared" si="94"/>
        <v>3</v>
      </c>
      <c r="X693" s="138">
        <f t="shared" si="95"/>
        <v>1</v>
      </c>
      <c r="Y693" s="138">
        <f t="shared" si="96"/>
        <v>3</v>
      </c>
      <c r="Z693" s="138">
        <f t="shared" si="97"/>
        <v>3</v>
      </c>
      <c r="AA693" s="138">
        <f t="shared" si="98"/>
        <v>1</v>
      </c>
      <c r="AB693" s="127" t="s">
        <v>32</v>
      </c>
      <c r="AC693" s="127" t="s">
        <v>31</v>
      </c>
      <c r="AD693" s="127"/>
      <c r="AE693" s="130"/>
      <c r="AF693" s="136">
        <v>14.89</v>
      </c>
      <c r="AG693" s="136">
        <v>4.0599999999999996</v>
      </c>
      <c r="AH693" s="136">
        <v>20.53</v>
      </c>
      <c r="AI693" s="136">
        <v>5.99</v>
      </c>
      <c r="AJ693" s="136">
        <v>3.92</v>
      </c>
      <c r="AK693" s="136">
        <v>0.49</v>
      </c>
      <c r="AL693" s="136">
        <v>3.31</v>
      </c>
      <c r="AM693" s="136">
        <v>53.190000000000012</v>
      </c>
      <c r="AN693" s="131"/>
      <c r="AO693" s="131"/>
      <c r="AP693" s="131"/>
      <c r="AQ693" s="131"/>
      <c r="AR693" s="131"/>
      <c r="AS693" s="131"/>
      <c r="AT693" s="131"/>
      <c r="AU693" s="91"/>
      <c r="AV693" s="91"/>
      <c r="AW693" s="131"/>
      <c r="AX693" s="131"/>
      <c r="AY693" s="131"/>
    </row>
    <row r="694" spans="1:51" ht="15" x14ac:dyDescent="0.25">
      <c r="A694" s="123"/>
      <c r="B694" s="124"/>
      <c r="C694" s="125">
        <v>463524</v>
      </c>
      <c r="D694" s="89"/>
      <c r="E694" s="86" t="s">
        <v>23</v>
      </c>
      <c r="F694" s="86" t="s">
        <v>418</v>
      </c>
      <c r="H694" s="126" t="s">
        <v>51</v>
      </c>
      <c r="I694" s="89">
        <v>1</v>
      </c>
      <c r="J694" s="127">
        <v>35465.0458</v>
      </c>
      <c r="K694" s="127">
        <v>49643.43</v>
      </c>
      <c r="L694" s="127">
        <v>8250.61</v>
      </c>
      <c r="M694" s="127">
        <v>27869.0458</v>
      </c>
      <c r="N694" s="127">
        <v>38429.430000000008</v>
      </c>
      <c r="O694" s="127">
        <v>7332.6100000000006</v>
      </c>
      <c r="P694" s="128">
        <f t="shared" si="90"/>
        <v>0.7858172792772764</v>
      </c>
      <c r="Q694" s="128">
        <f t="shared" si="91"/>
        <v>0.77410908150383662</v>
      </c>
      <c r="R694" s="128">
        <f t="shared" si="92"/>
        <v>0.88873549955700248</v>
      </c>
      <c r="S694" s="129">
        <v>1</v>
      </c>
      <c r="T694" s="129">
        <v>1</v>
      </c>
      <c r="U694" s="129">
        <v>1</v>
      </c>
      <c r="V694" s="138">
        <f t="shared" si="93"/>
        <v>3</v>
      </c>
      <c r="W694" s="138">
        <f t="shared" si="94"/>
        <v>3</v>
      </c>
      <c r="X694" s="138">
        <f t="shared" si="95"/>
        <v>1</v>
      </c>
      <c r="Y694" s="138">
        <f t="shared" si="96"/>
        <v>3</v>
      </c>
      <c r="Z694" s="138">
        <f t="shared" si="97"/>
        <v>3</v>
      </c>
      <c r="AA694" s="138">
        <f t="shared" si="98"/>
        <v>1</v>
      </c>
      <c r="AB694" s="127" t="s">
        <v>32</v>
      </c>
      <c r="AC694" s="127" t="s">
        <v>31</v>
      </c>
      <c r="AD694" s="127"/>
      <c r="AE694" s="130"/>
      <c r="AF694" s="136">
        <v>14.89</v>
      </c>
      <c r="AG694" s="136">
        <v>4.0599999999999996</v>
      </c>
      <c r="AH694" s="136">
        <v>20.53</v>
      </c>
      <c r="AI694" s="136">
        <v>5.99</v>
      </c>
      <c r="AJ694" s="136">
        <v>3.92</v>
      </c>
      <c r="AK694" s="136">
        <v>0.49</v>
      </c>
      <c r="AL694" s="136">
        <v>3.31</v>
      </c>
      <c r="AM694" s="136">
        <v>53.190000000000012</v>
      </c>
      <c r="AN694" s="131"/>
      <c r="AO694" s="131"/>
      <c r="AP694" s="131"/>
      <c r="AQ694" s="131"/>
      <c r="AR694" s="131"/>
      <c r="AS694" s="131"/>
      <c r="AT694" s="131"/>
      <c r="AU694" s="91"/>
      <c r="AV694" s="91"/>
      <c r="AW694" s="131"/>
      <c r="AX694" s="131"/>
      <c r="AY694" s="131"/>
    </row>
    <row r="695" spans="1:51" ht="15" x14ac:dyDescent="0.25">
      <c r="A695" s="123"/>
      <c r="B695" s="124"/>
      <c r="C695" s="125">
        <v>468815</v>
      </c>
      <c r="D695" s="89"/>
      <c r="E695" s="86" t="s">
        <v>23</v>
      </c>
      <c r="F695" s="86" t="s">
        <v>418</v>
      </c>
      <c r="H695" s="126" t="s">
        <v>51</v>
      </c>
      <c r="I695" s="89">
        <v>1</v>
      </c>
      <c r="J695" s="127">
        <v>35465.0458</v>
      </c>
      <c r="K695" s="127">
        <v>49643.43</v>
      </c>
      <c r="L695" s="127">
        <v>8250.61</v>
      </c>
      <c r="M695" s="127">
        <v>27869.0458</v>
      </c>
      <c r="N695" s="127">
        <v>38429.430000000008</v>
      </c>
      <c r="O695" s="127">
        <v>7332.6100000000006</v>
      </c>
      <c r="P695" s="128">
        <f t="shared" si="90"/>
        <v>0.7858172792772764</v>
      </c>
      <c r="Q695" s="128">
        <f t="shared" si="91"/>
        <v>0.77410908150383662</v>
      </c>
      <c r="R695" s="128">
        <f t="shared" si="92"/>
        <v>0.88873549955700248</v>
      </c>
      <c r="S695" s="129">
        <v>1</v>
      </c>
      <c r="T695" s="129">
        <v>1</v>
      </c>
      <c r="U695" s="129">
        <v>1</v>
      </c>
      <c r="V695" s="138">
        <f t="shared" si="93"/>
        <v>3</v>
      </c>
      <c r="W695" s="138">
        <f t="shared" si="94"/>
        <v>3</v>
      </c>
      <c r="X695" s="138">
        <f t="shared" si="95"/>
        <v>1</v>
      </c>
      <c r="Y695" s="138">
        <f t="shared" si="96"/>
        <v>3</v>
      </c>
      <c r="Z695" s="138">
        <f t="shared" si="97"/>
        <v>3</v>
      </c>
      <c r="AA695" s="138">
        <f t="shared" si="98"/>
        <v>1</v>
      </c>
      <c r="AB695" s="127" t="s">
        <v>32</v>
      </c>
      <c r="AC695" s="127" t="s">
        <v>31</v>
      </c>
      <c r="AD695" s="127"/>
      <c r="AE695" s="130"/>
      <c r="AF695" s="136">
        <v>14.89</v>
      </c>
      <c r="AG695" s="136">
        <v>4.0599999999999996</v>
      </c>
      <c r="AH695" s="136">
        <v>20.53</v>
      </c>
      <c r="AI695" s="136">
        <v>5.99</v>
      </c>
      <c r="AJ695" s="136">
        <v>3.92</v>
      </c>
      <c r="AK695" s="136">
        <v>0.49</v>
      </c>
      <c r="AL695" s="136">
        <v>3.31</v>
      </c>
      <c r="AM695" s="136">
        <v>53.190000000000012</v>
      </c>
      <c r="AN695" s="131"/>
      <c r="AO695" s="131"/>
      <c r="AP695" s="131"/>
      <c r="AQ695" s="131"/>
      <c r="AR695" s="131"/>
      <c r="AS695" s="131"/>
      <c r="AT695" s="131"/>
      <c r="AU695" s="91"/>
      <c r="AV695" s="91"/>
      <c r="AW695" s="131"/>
      <c r="AX695" s="131"/>
      <c r="AY695" s="131"/>
    </row>
    <row r="696" spans="1:51" ht="15" x14ac:dyDescent="0.25">
      <c r="A696" s="123"/>
      <c r="B696" s="124"/>
      <c r="C696" s="125">
        <v>480409</v>
      </c>
      <c r="D696" s="89"/>
      <c r="E696" s="86" t="s">
        <v>23</v>
      </c>
      <c r="F696" s="86" t="s">
        <v>418</v>
      </c>
      <c r="H696" s="126" t="s">
        <v>51</v>
      </c>
      <c r="I696" s="89">
        <v>1</v>
      </c>
      <c r="J696" s="127">
        <v>35465.0458</v>
      </c>
      <c r="K696" s="127">
        <v>49643.43</v>
      </c>
      <c r="L696" s="127">
        <v>8250.61</v>
      </c>
      <c r="M696" s="127">
        <v>27869.0458</v>
      </c>
      <c r="N696" s="127">
        <v>38429.430000000008</v>
      </c>
      <c r="O696" s="127">
        <v>7332.6100000000006</v>
      </c>
      <c r="P696" s="128">
        <f t="shared" si="90"/>
        <v>0.7858172792772764</v>
      </c>
      <c r="Q696" s="128">
        <f t="shared" si="91"/>
        <v>0.77410908150383662</v>
      </c>
      <c r="R696" s="128">
        <f t="shared" si="92"/>
        <v>0.88873549955700248</v>
      </c>
      <c r="S696" s="129">
        <v>1</v>
      </c>
      <c r="T696" s="129">
        <v>1</v>
      </c>
      <c r="U696" s="129">
        <v>1</v>
      </c>
      <c r="V696" s="138">
        <f t="shared" si="93"/>
        <v>3</v>
      </c>
      <c r="W696" s="138">
        <f t="shared" si="94"/>
        <v>3</v>
      </c>
      <c r="X696" s="138">
        <f t="shared" si="95"/>
        <v>1</v>
      </c>
      <c r="Y696" s="138">
        <f t="shared" si="96"/>
        <v>3</v>
      </c>
      <c r="Z696" s="138">
        <f t="shared" si="97"/>
        <v>3</v>
      </c>
      <c r="AA696" s="138">
        <f t="shared" si="98"/>
        <v>1</v>
      </c>
      <c r="AB696" s="127" t="s">
        <v>32</v>
      </c>
      <c r="AC696" s="127" t="s">
        <v>31</v>
      </c>
      <c r="AD696" s="127"/>
      <c r="AE696" s="130"/>
      <c r="AF696" s="136">
        <v>14.89</v>
      </c>
      <c r="AG696" s="136">
        <v>4.0599999999999996</v>
      </c>
      <c r="AH696" s="136">
        <v>20.53</v>
      </c>
      <c r="AI696" s="136">
        <v>5.99</v>
      </c>
      <c r="AJ696" s="136">
        <v>3.92</v>
      </c>
      <c r="AK696" s="136">
        <v>0.49</v>
      </c>
      <c r="AL696" s="136">
        <v>3.31</v>
      </c>
      <c r="AM696" s="136">
        <v>53.190000000000012</v>
      </c>
      <c r="AN696" s="131"/>
      <c r="AO696" s="131"/>
      <c r="AP696" s="131"/>
      <c r="AQ696" s="131"/>
      <c r="AR696" s="131"/>
      <c r="AS696" s="131"/>
      <c r="AT696" s="131"/>
      <c r="AU696" s="91"/>
      <c r="AV696" s="91"/>
      <c r="AW696" s="131"/>
      <c r="AX696" s="131"/>
      <c r="AY696" s="131"/>
    </row>
    <row r="697" spans="1:51" ht="15" x14ac:dyDescent="0.25">
      <c r="A697" s="123"/>
      <c r="B697" s="124"/>
      <c r="C697" s="125">
        <v>504421</v>
      </c>
      <c r="D697" s="89"/>
      <c r="E697" s="86" t="s">
        <v>23</v>
      </c>
      <c r="F697" s="86" t="s">
        <v>418</v>
      </c>
      <c r="H697" s="126" t="s">
        <v>51</v>
      </c>
      <c r="I697" s="89">
        <v>1</v>
      </c>
      <c r="J697" s="127">
        <v>35465.0458</v>
      </c>
      <c r="K697" s="127">
        <v>49643.43</v>
      </c>
      <c r="L697" s="127">
        <v>8250.61</v>
      </c>
      <c r="M697" s="127">
        <v>27869.0458</v>
      </c>
      <c r="N697" s="127">
        <v>38429.430000000008</v>
      </c>
      <c r="O697" s="127">
        <v>7332.6100000000006</v>
      </c>
      <c r="P697" s="128">
        <f t="shared" si="90"/>
        <v>0.7858172792772764</v>
      </c>
      <c r="Q697" s="128">
        <f t="shared" si="91"/>
        <v>0.77410908150383662</v>
      </c>
      <c r="R697" s="128">
        <f t="shared" si="92"/>
        <v>0.88873549955700248</v>
      </c>
      <c r="S697" s="129">
        <v>1</v>
      </c>
      <c r="T697" s="129">
        <v>1</v>
      </c>
      <c r="U697" s="129">
        <v>1</v>
      </c>
      <c r="V697" s="138">
        <f t="shared" si="93"/>
        <v>3</v>
      </c>
      <c r="W697" s="138">
        <f t="shared" si="94"/>
        <v>3</v>
      </c>
      <c r="X697" s="138">
        <f t="shared" si="95"/>
        <v>1</v>
      </c>
      <c r="Y697" s="138">
        <f t="shared" si="96"/>
        <v>3</v>
      </c>
      <c r="Z697" s="138">
        <f t="shared" si="97"/>
        <v>3</v>
      </c>
      <c r="AA697" s="138">
        <f t="shared" si="98"/>
        <v>1</v>
      </c>
      <c r="AB697" s="127" t="s">
        <v>32</v>
      </c>
      <c r="AC697" s="127" t="s">
        <v>31</v>
      </c>
      <c r="AD697" s="127"/>
      <c r="AE697" s="130"/>
      <c r="AF697" s="136">
        <v>14.89</v>
      </c>
      <c r="AG697" s="136">
        <v>4.0599999999999996</v>
      </c>
      <c r="AH697" s="136">
        <v>20.53</v>
      </c>
      <c r="AI697" s="136">
        <v>5.99</v>
      </c>
      <c r="AJ697" s="136">
        <v>3.92</v>
      </c>
      <c r="AK697" s="136">
        <v>0.49</v>
      </c>
      <c r="AL697" s="136">
        <v>3.31</v>
      </c>
      <c r="AM697" s="136">
        <v>53.190000000000012</v>
      </c>
      <c r="AN697" s="131"/>
      <c r="AO697" s="131"/>
      <c r="AP697" s="131"/>
      <c r="AQ697" s="131"/>
      <c r="AR697" s="131"/>
      <c r="AS697" s="131"/>
      <c r="AT697" s="131"/>
      <c r="AU697" s="91"/>
      <c r="AV697" s="91"/>
      <c r="AW697" s="131"/>
      <c r="AX697" s="131"/>
      <c r="AY697" s="131"/>
    </row>
    <row r="698" spans="1:51" ht="15" x14ac:dyDescent="0.25">
      <c r="A698" s="123"/>
      <c r="B698" s="124"/>
      <c r="C698" s="125">
        <v>550654</v>
      </c>
      <c r="D698" s="89"/>
      <c r="E698" s="86" t="s">
        <v>23</v>
      </c>
      <c r="F698" s="86" t="s">
        <v>418</v>
      </c>
      <c r="H698" s="126" t="s">
        <v>51</v>
      </c>
      <c r="I698" s="89">
        <v>1</v>
      </c>
      <c r="J698" s="127">
        <v>35465.0458</v>
      </c>
      <c r="K698" s="127">
        <v>49643.43</v>
      </c>
      <c r="L698" s="127">
        <v>8250.61</v>
      </c>
      <c r="M698" s="127">
        <v>27869.0458</v>
      </c>
      <c r="N698" s="127">
        <v>38429.430000000008</v>
      </c>
      <c r="O698" s="127">
        <v>7332.6100000000006</v>
      </c>
      <c r="P698" s="128">
        <f t="shared" si="90"/>
        <v>0.7858172792772764</v>
      </c>
      <c r="Q698" s="128">
        <f t="shared" si="91"/>
        <v>0.77410908150383662</v>
      </c>
      <c r="R698" s="128">
        <f t="shared" si="92"/>
        <v>0.88873549955700248</v>
      </c>
      <c r="S698" s="129">
        <v>1</v>
      </c>
      <c r="T698" s="129">
        <v>1</v>
      </c>
      <c r="U698" s="129">
        <v>1</v>
      </c>
      <c r="V698" s="138">
        <f t="shared" si="93"/>
        <v>3</v>
      </c>
      <c r="W698" s="138">
        <f t="shared" si="94"/>
        <v>3</v>
      </c>
      <c r="X698" s="138">
        <f t="shared" si="95"/>
        <v>1</v>
      </c>
      <c r="Y698" s="138">
        <f t="shared" si="96"/>
        <v>3</v>
      </c>
      <c r="Z698" s="138">
        <f t="shared" si="97"/>
        <v>3</v>
      </c>
      <c r="AA698" s="138">
        <f t="shared" si="98"/>
        <v>1</v>
      </c>
      <c r="AB698" s="127" t="s">
        <v>32</v>
      </c>
      <c r="AC698" s="127" t="s">
        <v>31</v>
      </c>
      <c r="AD698" s="127"/>
      <c r="AE698" s="130"/>
      <c r="AF698" s="136">
        <v>14.89</v>
      </c>
      <c r="AG698" s="136">
        <v>4.0599999999999996</v>
      </c>
      <c r="AH698" s="136">
        <v>20.53</v>
      </c>
      <c r="AI698" s="136">
        <v>5.99</v>
      </c>
      <c r="AJ698" s="136">
        <v>3.92</v>
      </c>
      <c r="AK698" s="136">
        <v>0.49</v>
      </c>
      <c r="AL698" s="136">
        <v>3.31</v>
      </c>
      <c r="AM698" s="136">
        <v>53.190000000000012</v>
      </c>
      <c r="AN698" s="131"/>
      <c r="AO698" s="131"/>
      <c r="AP698" s="131"/>
      <c r="AQ698" s="131"/>
      <c r="AR698" s="131"/>
      <c r="AS698" s="131"/>
      <c r="AT698" s="131"/>
      <c r="AU698" s="91"/>
      <c r="AV698" s="91"/>
      <c r="AW698" s="131"/>
      <c r="AX698" s="131"/>
      <c r="AY698" s="131"/>
    </row>
    <row r="699" spans="1:51" ht="15" x14ac:dyDescent="0.25">
      <c r="A699" s="123"/>
      <c r="B699" s="124"/>
      <c r="C699" s="125">
        <v>556602</v>
      </c>
      <c r="D699" s="89"/>
      <c r="E699" s="86" t="s">
        <v>23</v>
      </c>
      <c r="F699" s="86" t="s">
        <v>418</v>
      </c>
      <c r="H699" s="126" t="s">
        <v>51</v>
      </c>
      <c r="I699" s="89">
        <v>1</v>
      </c>
      <c r="J699" s="127">
        <v>35465.0458</v>
      </c>
      <c r="K699" s="127">
        <v>49643.43</v>
      </c>
      <c r="L699" s="127">
        <v>8250.61</v>
      </c>
      <c r="M699" s="127">
        <v>27869.0458</v>
      </c>
      <c r="N699" s="127">
        <v>38429.430000000008</v>
      </c>
      <c r="O699" s="127">
        <v>7332.6100000000006</v>
      </c>
      <c r="P699" s="128">
        <f t="shared" si="90"/>
        <v>0.7858172792772764</v>
      </c>
      <c r="Q699" s="128">
        <f t="shared" si="91"/>
        <v>0.77410908150383662</v>
      </c>
      <c r="R699" s="128">
        <f t="shared" si="92"/>
        <v>0.88873549955700248</v>
      </c>
      <c r="S699" s="129">
        <v>1</v>
      </c>
      <c r="T699" s="129">
        <v>1</v>
      </c>
      <c r="U699" s="129">
        <v>1</v>
      </c>
      <c r="V699" s="138">
        <f t="shared" si="93"/>
        <v>3</v>
      </c>
      <c r="W699" s="138">
        <f t="shared" si="94"/>
        <v>3</v>
      </c>
      <c r="X699" s="138">
        <f t="shared" si="95"/>
        <v>1</v>
      </c>
      <c r="Y699" s="138">
        <f t="shared" si="96"/>
        <v>3</v>
      </c>
      <c r="Z699" s="138">
        <f t="shared" si="97"/>
        <v>3</v>
      </c>
      <c r="AA699" s="138">
        <f t="shared" si="98"/>
        <v>1</v>
      </c>
      <c r="AB699" s="127" t="s">
        <v>32</v>
      </c>
      <c r="AC699" s="127" t="s">
        <v>31</v>
      </c>
      <c r="AD699" s="127"/>
      <c r="AE699" s="130"/>
      <c r="AF699" s="136">
        <v>14.89</v>
      </c>
      <c r="AG699" s="136">
        <v>4.0599999999999996</v>
      </c>
      <c r="AH699" s="136">
        <v>20.53</v>
      </c>
      <c r="AI699" s="136">
        <v>5.99</v>
      </c>
      <c r="AJ699" s="136">
        <v>3.92</v>
      </c>
      <c r="AK699" s="136">
        <v>0.49</v>
      </c>
      <c r="AL699" s="136">
        <v>3.31</v>
      </c>
      <c r="AM699" s="136">
        <v>53.190000000000012</v>
      </c>
      <c r="AN699" s="131"/>
      <c r="AO699" s="131"/>
      <c r="AP699" s="131"/>
      <c r="AQ699" s="131"/>
      <c r="AR699" s="131"/>
      <c r="AS699" s="131"/>
      <c r="AT699" s="131"/>
      <c r="AU699" s="91"/>
      <c r="AV699" s="91"/>
      <c r="AW699" s="131"/>
      <c r="AX699" s="131"/>
      <c r="AY699" s="131"/>
    </row>
    <row r="700" spans="1:51" ht="15" x14ac:dyDescent="0.25">
      <c r="A700" s="123"/>
      <c r="B700" s="124"/>
      <c r="C700" s="125">
        <v>566217</v>
      </c>
      <c r="D700" s="89"/>
      <c r="E700" s="86" t="s">
        <v>23</v>
      </c>
      <c r="F700" s="86" t="s">
        <v>418</v>
      </c>
      <c r="H700" s="126" t="s">
        <v>51</v>
      </c>
      <c r="I700" s="89">
        <v>1</v>
      </c>
      <c r="J700" s="127">
        <v>35465.0458</v>
      </c>
      <c r="K700" s="127">
        <v>49643.43</v>
      </c>
      <c r="L700" s="127">
        <v>8250.61</v>
      </c>
      <c r="M700" s="127">
        <v>27869.0458</v>
      </c>
      <c r="N700" s="127">
        <v>38429.430000000008</v>
      </c>
      <c r="O700" s="127">
        <v>7332.6100000000006</v>
      </c>
      <c r="P700" s="128">
        <f t="shared" si="90"/>
        <v>0.7858172792772764</v>
      </c>
      <c r="Q700" s="128">
        <f t="shared" si="91"/>
        <v>0.77410908150383662</v>
      </c>
      <c r="R700" s="128">
        <f t="shared" si="92"/>
        <v>0.88873549955700248</v>
      </c>
      <c r="S700" s="129">
        <v>1</v>
      </c>
      <c r="T700" s="129">
        <v>1</v>
      </c>
      <c r="U700" s="129">
        <v>1</v>
      </c>
      <c r="V700" s="138">
        <f t="shared" si="93"/>
        <v>3</v>
      </c>
      <c r="W700" s="138">
        <f t="shared" si="94"/>
        <v>3</v>
      </c>
      <c r="X700" s="138">
        <f t="shared" si="95"/>
        <v>1</v>
      </c>
      <c r="Y700" s="138">
        <f t="shared" si="96"/>
        <v>3</v>
      </c>
      <c r="Z700" s="138">
        <f t="shared" si="97"/>
        <v>3</v>
      </c>
      <c r="AA700" s="138">
        <f t="shared" si="98"/>
        <v>1</v>
      </c>
      <c r="AB700" s="127" t="s">
        <v>32</v>
      </c>
      <c r="AC700" s="127" t="s">
        <v>31</v>
      </c>
      <c r="AD700" s="127"/>
      <c r="AE700" s="130"/>
      <c r="AF700" s="136">
        <v>14.89</v>
      </c>
      <c r="AG700" s="136">
        <v>4.0599999999999996</v>
      </c>
      <c r="AH700" s="136">
        <v>20.53</v>
      </c>
      <c r="AI700" s="136">
        <v>5.99</v>
      </c>
      <c r="AJ700" s="136">
        <v>3.92</v>
      </c>
      <c r="AK700" s="136">
        <v>0.49</v>
      </c>
      <c r="AL700" s="136">
        <v>3.31</v>
      </c>
      <c r="AM700" s="136">
        <v>53.190000000000012</v>
      </c>
      <c r="AN700" s="131"/>
      <c r="AO700" s="131"/>
      <c r="AP700" s="131"/>
      <c r="AQ700" s="131"/>
      <c r="AR700" s="131"/>
      <c r="AS700" s="131"/>
      <c r="AT700" s="131"/>
      <c r="AU700" s="91"/>
      <c r="AV700" s="91"/>
      <c r="AW700" s="131"/>
      <c r="AX700" s="131"/>
      <c r="AY700" s="131"/>
    </row>
    <row r="701" spans="1:51" ht="15" x14ac:dyDescent="0.25">
      <c r="A701" s="123"/>
      <c r="B701" s="124"/>
      <c r="C701" s="125">
        <v>651814</v>
      </c>
      <c r="D701" s="89"/>
      <c r="E701" s="86" t="s">
        <v>23</v>
      </c>
      <c r="F701" s="86" t="s">
        <v>418</v>
      </c>
      <c r="H701" s="126" t="s">
        <v>51</v>
      </c>
      <c r="I701" s="89">
        <v>1</v>
      </c>
      <c r="J701" s="127">
        <v>35465.0458</v>
      </c>
      <c r="K701" s="127">
        <v>49643.43</v>
      </c>
      <c r="L701" s="127">
        <v>8250.61</v>
      </c>
      <c r="M701" s="127">
        <v>27869.0458</v>
      </c>
      <c r="N701" s="127">
        <v>38429.430000000008</v>
      </c>
      <c r="O701" s="127">
        <v>7332.6100000000006</v>
      </c>
      <c r="P701" s="128">
        <f t="shared" si="90"/>
        <v>0.7858172792772764</v>
      </c>
      <c r="Q701" s="128">
        <f t="shared" si="91"/>
        <v>0.77410908150383662</v>
      </c>
      <c r="R701" s="128">
        <f t="shared" si="92"/>
        <v>0.88873549955700248</v>
      </c>
      <c r="S701" s="129">
        <v>1</v>
      </c>
      <c r="T701" s="129">
        <v>1</v>
      </c>
      <c r="U701" s="129">
        <v>1</v>
      </c>
      <c r="V701" s="138">
        <f t="shared" si="93"/>
        <v>3</v>
      </c>
      <c r="W701" s="138">
        <f t="shared" si="94"/>
        <v>3</v>
      </c>
      <c r="X701" s="138">
        <f t="shared" si="95"/>
        <v>1</v>
      </c>
      <c r="Y701" s="138">
        <f t="shared" si="96"/>
        <v>3</v>
      </c>
      <c r="Z701" s="138">
        <f t="shared" si="97"/>
        <v>3</v>
      </c>
      <c r="AA701" s="138">
        <f t="shared" si="98"/>
        <v>1</v>
      </c>
      <c r="AB701" s="127" t="s">
        <v>32</v>
      </c>
      <c r="AC701" s="127" t="s">
        <v>31</v>
      </c>
      <c r="AD701" s="127"/>
      <c r="AE701" s="130"/>
      <c r="AF701" s="136">
        <v>14.89</v>
      </c>
      <c r="AG701" s="136">
        <v>4.0599999999999996</v>
      </c>
      <c r="AH701" s="136">
        <v>20.53</v>
      </c>
      <c r="AI701" s="136">
        <v>5.99</v>
      </c>
      <c r="AJ701" s="136">
        <v>3.92</v>
      </c>
      <c r="AK701" s="136">
        <v>0.49</v>
      </c>
      <c r="AL701" s="136">
        <v>3.31</v>
      </c>
      <c r="AM701" s="136">
        <v>53.190000000000012</v>
      </c>
      <c r="AN701" s="131"/>
      <c r="AO701" s="131"/>
      <c r="AP701" s="131"/>
      <c r="AQ701" s="131"/>
      <c r="AR701" s="131"/>
      <c r="AS701" s="131"/>
      <c r="AT701" s="131"/>
      <c r="AU701" s="91"/>
      <c r="AV701" s="91"/>
      <c r="AW701" s="131"/>
      <c r="AX701" s="131"/>
      <c r="AY701" s="131"/>
    </row>
    <row r="702" spans="1:51" ht="15" x14ac:dyDescent="0.25">
      <c r="A702" s="123"/>
      <c r="B702" s="124"/>
      <c r="C702" s="125">
        <v>658966</v>
      </c>
      <c r="D702" s="89"/>
      <c r="E702" s="86" t="s">
        <v>23</v>
      </c>
      <c r="F702" s="86" t="s">
        <v>418</v>
      </c>
      <c r="H702" s="126" t="s">
        <v>51</v>
      </c>
      <c r="I702" s="89">
        <v>1</v>
      </c>
      <c r="J702" s="127">
        <v>35465.0458</v>
      </c>
      <c r="K702" s="127">
        <v>49643.43</v>
      </c>
      <c r="L702" s="127">
        <v>8250.61</v>
      </c>
      <c r="M702" s="127">
        <v>27869.0458</v>
      </c>
      <c r="N702" s="127">
        <v>38429.430000000008</v>
      </c>
      <c r="O702" s="127">
        <v>7332.6100000000006</v>
      </c>
      <c r="P702" s="128">
        <f t="shared" si="90"/>
        <v>0.7858172792772764</v>
      </c>
      <c r="Q702" s="128">
        <f t="shared" si="91"/>
        <v>0.77410908150383662</v>
      </c>
      <c r="R702" s="128">
        <f t="shared" si="92"/>
        <v>0.88873549955700248</v>
      </c>
      <c r="S702" s="129">
        <v>1</v>
      </c>
      <c r="T702" s="129">
        <v>1</v>
      </c>
      <c r="U702" s="129">
        <v>1</v>
      </c>
      <c r="V702" s="138">
        <f t="shared" si="93"/>
        <v>3</v>
      </c>
      <c r="W702" s="138">
        <f t="shared" si="94"/>
        <v>3</v>
      </c>
      <c r="X702" s="138">
        <f t="shared" si="95"/>
        <v>1</v>
      </c>
      <c r="Y702" s="138">
        <f t="shared" si="96"/>
        <v>3</v>
      </c>
      <c r="Z702" s="138">
        <f t="shared" si="97"/>
        <v>3</v>
      </c>
      <c r="AA702" s="138">
        <f t="shared" si="98"/>
        <v>1</v>
      </c>
      <c r="AB702" s="127" t="s">
        <v>32</v>
      </c>
      <c r="AC702" s="127" t="s">
        <v>31</v>
      </c>
      <c r="AD702" s="127"/>
      <c r="AE702" s="130"/>
      <c r="AF702" s="136">
        <v>14.89</v>
      </c>
      <c r="AG702" s="136">
        <v>4.0599999999999996</v>
      </c>
      <c r="AH702" s="136">
        <v>20.53</v>
      </c>
      <c r="AI702" s="136">
        <v>5.99</v>
      </c>
      <c r="AJ702" s="136">
        <v>3.92</v>
      </c>
      <c r="AK702" s="136">
        <v>0.49</v>
      </c>
      <c r="AL702" s="136">
        <v>3.31</v>
      </c>
      <c r="AM702" s="136">
        <v>53.190000000000012</v>
      </c>
      <c r="AN702" s="131"/>
      <c r="AO702" s="131"/>
      <c r="AP702" s="131"/>
      <c r="AQ702" s="131"/>
      <c r="AR702" s="131"/>
      <c r="AS702" s="131"/>
      <c r="AT702" s="131"/>
      <c r="AU702" s="91"/>
      <c r="AV702" s="91"/>
      <c r="AW702" s="131"/>
      <c r="AX702" s="131"/>
      <c r="AY702" s="131"/>
    </row>
    <row r="703" spans="1:51" ht="15" x14ac:dyDescent="0.25">
      <c r="A703" s="123"/>
      <c r="B703" s="124"/>
      <c r="C703" s="125">
        <v>680562</v>
      </c>
      <c r="D703" s="89"/>
      <c r="E703" s="86" t="s">
        <v>23</v>
      </c>
      <c r="F703" s="86" t="s">
        <v>418</v>
      </c>
      <c r="H703" s="126" t="s">
        <v>51</v>
      </c>
      <c r="I703" s="89">
        <v>1</v>
      </c>
      <c r="J703" s="127">
        <v>35465.0458</v>
      </c>
      <c r="K703" s="127">
        <v>49643.43</v>
      </c>
      <c r="L703" s="127">
        <v>8250.61</v>
      </c>
      <c r="M703" s="127">
        <v>27869.0458</v>
      </c>
      <c r="N703" s="127">
        <v>38429.430000000008</v>
      </c>
      <c r="O703" s="127">
        <v>7332.6100000000006</v>
      </c>
      <c r="P703" s="128">
        <f t="shared" si="90"/>
        <v>0.7858172792772764</v>
      </c>
      <c r="Q703" s="128">
        <f t="shared" si="91"/>
        <v>0.77410908150383662</v>
      </c>
      <c r="R703" s="128">
        <f t="shared" si="92"/>
        <v>0.88873549955700248</v>
      </c>
      <c r="S703" s="129">
        <v>1</v>
      </c>
      <c r="T703" s="129">
        <v>1</v>
      </c>
      <c r="U703" s="129">
        <v>1</v>
      </c>
      <c r="V703" s="138">
        <f t="shared" si="93"/>
        <v>3</v>
      </c>
      <c r="W703" s="138">
        <f t="shared" si="94"/>
        <v>3</v>
      </c>
      <c r="X703" s="138">
        <f t="shared" si="95"/>
        <v>1</v>
      </c>
      <c r="Y703" s="138">
        <f t="shared" si="96"/>
        <v>3</v>
      </c>
      <c r="Z703" s="138">
        <f t="shared" si="97"/>
        <v>3</v>
      </c>
      <c r="AA703" s="138">
        <f t="shared" si="98"/>
        <v>1</v>
      </c>
      <c r="AB703" s="127" t="s">
        <v>32</v>
      </c>
      <c r="AC703" s="127" t="s">
        <v>31</v>
      </c>
      <c r="AD703" s="127"/>
      <c r="AE703" s="130"/>
      <c r="AF703" s="136">
        <v>14.89</v>
      </c>
      <c r="AG703" s="136">
        <v>4.0599999999999996</v>
      </c>
      <c r="AH703" s="136">
        <v>20.53</v>
      </c>
      <c r="AI703" s="136">
        <v>5.99</v>
      </c>
      <c r="AJ703" s="136">
        <v>3.92</v>
      </c>
      <c r="AK703" s="136">
        <v>0.49</v>
      </c>
      <c r="AL703" s="136">
        <v>3.31</v>
      </c>
      <c r="AM703" s="136">
        <v>53.190000000000012</v>
      </c>
      <c r="AN703" s="131"/>
      <c r="AO703" s="131"/>
      <c r="AP703" s="131"/>
      <c r="AQ703" s="131"/>
      <c r="AR703" s="131"/>
      <c r="AS703" s="131"/>
      <c r="AT703" s="131"/>
      <c r="AU703" s="91"/>
      <c r="AV703" s="91"/>
      <c r="AW703" s="131"/>
      <c r="AX703" s="131"/>
      <c r="AY703" s="131"/>
    </row>
    <row r="704" spans="1:51" ht="15" x14ac:dyDescent="0.25">
      <c r="A704" s="123"/>
      <c r="B704" s="124"/>
      <c r="C704" s="125">
        <v>716714</v>
      </c>
      <c r="D704" s="89"/>
      <c r="E704" s="86" t="s">
        <v>23</v>
      </c>
      <c r="F704" s="86" t="s">
        <v>418</v>
      </c>
      <c r="H704" s="126" t="s">
        <v>51</v>
      </c>
      <c r="I704" s="89">
        <v>1</v>
      </c>
      <c r="J704" s="127">
        <v>35465.0458</v>
      </c>
      <c r="K704" s="127">
        <v>49643.43</v>
      </c>
      <c r="L704" s="127">
        <v>8250.61</v>
      </c>
      <c r="M704" s="127">
        <v>27869.0458</v>
      </c>
      <c r="N704" s="127">
        <v>38429.430000000008</v>
      </c>
      <c r="O704" s="127">
        <v>7332.6100000000006</v>
      </c>
      <c r="P704" s="128">
        <f t="shared" si="90"/>
        <v>0.7858172792772764</v>
      </c>
      <c r="Q704" s="128">
        <f t="shared" si="91"/>
        <v>0.77410908150383662</v>
      </c>
      <c r="R704" s="128">
        <f t="shared" si="92"/>
        <v>0.88873549955700248</v>
      </c>
      <c r="S704" s="129">
        <v>1</v>
      </c>
      <c r="T704" s="129">
        <v>1</v>
      </c>
      <c r="U704" s="129">
        <v>1</v>
      </c>
      <c r="V704" s="138">
        <f t="shared" si="93"/>
        <v>3</v>
      </c>
      <c r="W704" s="138">
        <f t="shared" si="94"/>
        <v>3</v>
      </c>
      <c r="X704" s="138">
        <f t="shared" si="95"/>
        <v>1</v>
      </c>
      <c r="Y704" s="138">
        <f t="shared" si="96"/>
        <v>3</v>
      </c>
      <c r="Z704" s="138">
        <f t="shared" si="97"/>
        <v>3</v>
      </c>
      <c r="AA704" s="138">
        <f t="shared" si="98"/>
        <v>1</v>
      </c>
      <c r="AB704" s="127" t="s">
        <v>32</v>
      </c>
      <c r="AC704" s="127" t="s">
        <v>31</v>
      </c>
      <c r="AD704" s="127"/>
      <c r="AE704" s="130"/>
      <c r="AF704" s="136">
        <v>14.89</v>
      </c>
      <c r="AG704" s="136">
        <v>4.0599999999999996</v>
      </c>
      <c r="AH704" s="136">
        <v>20.53</v>
      </c>
      <c r="AI704" s="136">
        <v>5.99</v>
      </c>
      <c r="AJ704" s="136">
        <v>3.92</v>
      </c>
      <c r="AK704" s="136">
        <v>0.49</v>
      </c>
      <c r="AL704" s="136">
        <v>3.31</v>
      </c>
      <c r="AM704" s="136">
        <v>53.190000000000012</v>
      </c>
      <c r="AN704" s="131"/>
      <c r="AO704" s="131"/>
      <c r="AP704" s="131"/>
      <c r="AQ704" s="131"/>
      <c r="AR704" s="131"/>
      <c r="AS704" s="131"/>
      <c r="AT704" s="131"/>
      <c r="AU704" s="91"/>
      <c r="AV704" s="91"/>
      <c r="AW704" s="131"/>
      <c r="AX704" s="131"/>
      <c r="AY704" s="131"/>
    </row>
    <row r="705" spans="1:51" ht="15" x14ac:dyDescent="0.25">
      <c r="A705" s="123"/>
      <c r="B705" s="124"/>
      <c r="C705" s="125">
        <v>725333</v>
      </c>
      <c r="D705" s="89"/>
      <c r="E705" s="86" t="s">
        <v>23</v>
      </c>
      <c r="F705" s="86" t="s">
        <v>418</v>
      </c>
      <c r="H705" s="126" t="s">
        <v>51</v>
      </c>
      <c r="I705" s="89">
        <v>1</v>
      </c>
      <c r="J705" s="127">
        <v>35465.0458</v>
      </c>
      <c r="K705" s="127">
        <v>49643.43</v>
      </c>
      <c r="L705" s="127">
        <v>8250.61</v>
      </c>
      <c r="M705" s="127">
        <v>27869.0458</v>
      </c>
      <c r="N705" s="127">
        <v>38429.430000000008</v>
      </c>
      <c r="O705" s="127">
        <v>7332.6100000000006</v>
      </c>
      <c r="P705" s="128">
        <f t="shared" si="90"/>
        <v>0.7858172792772764</v>
      </c>
      <c r="Q705" s="128">
        <f t="shared" si="91"/>
        <v>0.77410908150383662</v>
      </c>
      <c r="R705" s="128">
        <f t="shared" si="92"/>
        <v>0.88873549955700248</v>
      </c>
      <c r="S705" s="129">
        <v>1</v>
      </c>
      <c r="T705" s="129">
        <v>1</v>
      </c>
      <c r="U705" s="129">
        <v>1</v>
      </c>
      <c r="V705" s="138">
        <f t="shared" si="93"/>
        <v>3</v>
      </c>
      <c r="W705" s="138">
        <f t="shared" si="94"/>
        <v>3</v>
      </c>
      <c r="X705" s="138">
        <f t="shared" si="95"/>
        <v>1</v>
      </c>
      <c r="Y705" s="138">
        <f t="shared" si="96"/>
        <v>3</v>
      </c>
      <c r="Z705" s="138">
        <f t="shared" si="97"/>
        <v>3</v>
      </c>
      <c r="AA705" s="138">
        <f t="shared" si="98"/>
        <v>1</v>
      </c>
      <c r="AB705" s="127" t="s">
        <v>32</v>
      </c>
      <c r="AC705" s="127" t="s">
        <v>31</v>
      </c>
      <c r="AD705" s="127"/>
      <c r="AE705" s="130"/>
      <c r="AF705" s="136">
        <v>14.89</v>
      </c>
      <c r="AG705" s="136">
        <v>4.0599999999999996</v>
      </c>
      <c r="AH705" s="136">
        <v>20.53</v>
      </c>
      <c r="AI705" s="136">
        <v>5.99</v>
      </c>
      <c r="AJ705" s="136">
        <v>3.92</v>
      </c>
      <c r="AK705" s="136">
        <v>0.49</v>
      </c>
      <c r="AL705" s="136">
        <v>3.31</v>
      </c>
      <c r="AM705" s="136">
        <v>53.190000000000012</v>
      </c>
      <c r="AN705" s="131"/>
      <c r="AO705" s="131"/>
      <c r="AP705" s="131"/>
      <c r="AQ705" s="131"/>
      <c r="AR705" s="131"/>
      <c r="AS705" s="131"/>
      <c r="AT705" s="131"/>
      <c r="AU705" s="91"/>
      <c r="AV705" s="91"/>
      <c r="AW705" s="131"/>
      <c r="AX705" s="131"/>
      <c r="AY705" s="131"/>
    </row>
    <row r="706" spans="1:51" ht="15" x14ac:dyDescent="0.25">
      <c r="A706" s="123"/>
      <c r="B706" s="124"/>
      <c r="C706" s="125">
        <v>733745</v>
      </c>
      <c r="D706" s="89"/>
      <c r="E706" s="86" t="s">
        <v>23</v>
      </c>
      <c r="F706" s="86" t="s">
        <v>418</v>
      </c>
      <c r="H706" s="126" t="s">
        <v>51</v>
      </c>
      <c r="I706" s="89">
        <v>1</v>
      </c>
      <c r="J706" s="127">
        <v>35465.0458</v>
      </c>
      <c r="K706" s="127">
        <v>49643.43</v>
      </c>
      <c r="L706" s="127">
        <v>8250.61</v>
      </c>
      <c r="M706" s="127">
        <v>27869.0458</v>
      </c>
      <c r="N706" s="127">
        <v>38429.430000000008</v>
      </c>
      <c r="O706" s="127">
        <v>7332.6100000000006</v>
      </c>
      <c r="P706" s="128">
        <f t="shared" si="90"/>
        <v>0.7858172792772764</v>
      </c>
      <c r="Q706" s="128">
        <f t="shared" si="91"/>
        <v>0.77410908150383662</v>
      </c>
      <c r="R706" s="128">
        <f t="shared" si="92"/>
        <v>0.88873549955700248</v>
      </c>
      <c r="S706" s="129">
        <v>1</v>
      </c>
      <c r="T706" s="129">
        <v>1</v>
      </c>
      <c r="U706" s="129">
        <v>1</v>
      </c>
      <c r="V706" s="138">
        <f t="shared" si="93"/>
        <v>3</v>
      </c>
      <c r="W706" s="138">
        <f t="shared" si="94"/>
        <v>3</v>
      </c>
      <c r="X706" s="138">
        <f t="shared" si="95"/>
        <v>1</v>
      </c>
      <c r="Y706" s="138">
        <f t="shared" si="96"/>
        <v>3</v>
      </c>
      <c r="Z706" s="138">
        <f t="shared" si="97"/>
        <v>3</v>
      </c>
      <c r="AA706" s="138">
        <f t="shared" si="98"/>
        <v>1</v>
      </c>
      <c r="AB706" s="127" t="s">
        <v>32</v>
      </c>
      <c r="AC706" s="127" t="s">
        <v>31</v>
      </c>
      <c r="AD706" s="127"/>
      <c r="AE706" s="130"/>
      <c r="AF706" s="136">
        <v>14.89</v>
      </c>
      <c r="AG706" s="136">
        <v>4.0599999999999996</v>
      </c>
      <c r="AH706" s="136">
        <v>20.53</v>
      </c>
      <c r="AI706" s="136">
        <v>5.99</v>
      </c>
      <c r="AJ706" s="136">
        <v>3.92</v>
      </c>
      <c r="AK706" s="136">
        <v>0.49</v>
      </c>
      <c r="AL706" s="136">
        <v>3.31</v>
      </c>
      <c r="AM706" s="136">
        <v>53.190000000000012</v>
      </c>
      <c r="AN706" s="131"/>
      <c r="AO706" s="131"/>
      <c r="AP706" s="131"/>
      <c r="AQ706" s="131"/>
      <c r="AR706" s="131"/>
      <c r="AS706" s="131"/>
      <c r="AT706" s="131"/>
      <c r="AU706" s="91"/>
      <c r="AV706" s="91"/>
      <c r="AW706" s="131"/>
      <c r="AX706" s="131"/>
      <c r="AY706" s="131"/>
    </row>
    <row r="707" spans="1:51" ht="15" x14ac:dyDescent="0.25">
      <c r="A707" s="123"/>
      <c r="B707" s="124"/>
      <c r="C707" s="125">
        <v>734635</v>
      </c>
      <c r="D707" s="89"/>
      <c r="E707" s="86" t="s">
        <v>23</v>
      </c>
      <c r="F707" s="86" t="s">
        <v>418</v>
      </c>
      <c r="H707" s="126" t="s">
        <v>51</v>
      </c>
      <c r="I707" s="89">
        <v>1</v>
      </c>
      <c r="J707" s="127">
        <v>35465.0458</v>
      </c>
      <c r="K707" s="127">
        <v>49643.43</v>
      </c>
      <c r="L707" s="127">
        <v>8250.61</v>
      </c>
      <c r="M707" s="127">
        <v>27869.0458</v>
      </c>
      <c r="N707" s="127">
        <v>38429.430000000008</v>
      </c>
      <c r="O707" s="127">
        <v>7332.6100000000006</v>
      </c>
      <c r="P707" s="128">
        <f t="shared" si="90"/>
        <v>0.7858172792772764</v>
      </c>
      <c r="Q707" s="128">
        <f t="shared" si="91"/>
        <v>0.77410908150383662</v>
      </c>
      <c r="R707" s="128">
        <f t="shared" si="92"/>
        <v>0.88873549955700248</v>
      </c>
      <c r="S707" s="129">
        <v>1</v>
      </c>
      <c r="T707" s="129">
        <v>1</v>
      </c>
      <c r="U707" s="129">
        <v>1</v>
      </c>
      <c r="V707" s="138">
        <f t="shared" si="93"/>
        <v>3</v>
      </c>
      <c r="W707" s="138">
        <f t="shared" si="94"/>
        <v>3</v>
      </c>
      <c r="X707" s="138">
        <f t="shared" si="95"/>
        <v>1</v>
      </c>
      <c r="Y707" s="138">
        <f t="shared" si="96"/>
        <v>3</v>
      </c>
      <c r="Z707" s="138">
        <f t="shared" si="97"/>
        <v>3</v>
      </c>
      <c r="AA707" s="138">
        <f t="shared" si="98"/>
        <v>1</v>
      </c>
      <c r="AB707" s="127" t="s">
        <v>32</v>
      </c>
      <c r="AC707" s="127" t="s">
        <v>31</v>
      </c>
      <c r="AD707" s="127"/>
      <c r="AE707" s="130"/>
      <c r="AF707" s="136">
        <v>14.89</v>
      </c>
      <c r="AG707" s="136">
        <v>4.0599999999999996</v>
      </c>
      <c r="AH707" s="136">
        <v>20.53</v>
      </c>
      <c r="AI707" s="136">
        <v>5.99</v>
      </c>
      <c r="AJ707" s="136">
        <v>3.92</v>
      </c>
      <c r="AK707" s="136">
        <v>0.49</v>
      </c>
      <c r="AL707" s="136">
        <v>3.31</v>
      </c>
      <c r="AM707" s="136">
        <v>53.190000000000012</v>
      </c>
      <c r="AN707" s="131"/>
      <c r="AO707" s="131"/>
      <c r="AP707" s="131"/>
      <c r="AQ707" s="131"/>
      <c r="AR707" s="131"/>
      <c r="AS707" s="131"/>
      <c r="AT707" s="131"/>
      <c r="AU707" s="91"/>
      <c r="AV707" s="91"/>
      <c r="AW707" s="131"/>
      <c r="AX707" s="131"/>
      <c r="AY707" s="131"/>
    </row>
    <row r="708" spans="1:51" ht="15" x14ac:dyDescent="0.25">
      <c r="A708" s="123"/>
      <c r="B708" s="124"/>
      <c r="C708" s="125">
        <v>783466</v>
      </c>
      <c r="D708" s="89"/>
      <c r="E708" s="86" t="s">
        <v>23</v>
      </c>
      <c r="F708" s="86" t="s">
        <v>418</v>
      </c>
      <c r="H708" s="126" t="s">
        <v>51</v>
      </c>
      <c r="I708" s="89">
        <v>1</v>
      </c>
      <c r="J708" s="127">
        <v>35465.0458</v>
      </c>
      <c r="K708" s="127">
        <v>49643.43</v>
      </c>
      <c r="L708" s="127">
        <v>8250.61</v>
      </c>
      <c r="M708" s="127">
        <v>27869.0458</v>
      </c>
      <c r="N708" s="127">
        <v>38429.430000000008</v>
      </c>
      <c r="O708" s="127">
        <v>7332.6100000000006</v>
      </c>
      <c r="P708" s="128">
        <f t="shared" si="90"/>
        <v>0.7858172792772764</v>
      </c>
      <c r="Q708" s="128">
        <f t="shared" si="91"/>
        <v>0.77410908150383662</v>
      </c>
      <c r="R708" s="128">
        <f t="shared" si="92"/>
        <v>0.88873549955700248</v>
      </c>
      <c r="S708" s="129">
        <v>1</v>
      </c>
      <c r="T708" s="129">
        <v>1</v>
      </c>
      <c r="U708" s="129">
        <v>1</v>
      </c>
      <c r="V708" s="138">
        <f t="shared" si="93"/>
        <v>3</v>
      </c>
      <c r="W708" s="138">
        <f t="shared" si="94"/>
        <v>3</v>
      </c>
      <c r="X708" s="138">
        <f t="shared" si="95"/>
        <v>1</v>
      </c>
      <c r="Y708" s="138">
        <f t="shared" si="96"/>
        <v>3</v>
      </c>
      <c r="Z708" s="138">
        <f t="shared" si="97"/>
        <v>3</v>
      </c>
      <c r="AA708" s="138">
        <f t="shared" si="98"/>
        <v>1</v>
      </c>
      <c r="AB708" s="127" t="s">
        <v>32</v>
      </c>
      <c r="AC708" s="127" t="s">
        <v>31</v>
      </c>
      <c r="AD708" s="127"/>
      <c r="AE708" s="130"/>
      <c r="AF708" s="136">
        <v>14.89</v>
      </c>
      <c r="AG708" s="136">
        <v>4.0599999999999996</v>
      </c>
      <c r="AH708" s="136">
        <v>20.53</v>
      </c>
      <c r="AI708" s="136">
        <v>5.99</v>
      </c>
      <c r="AJ708" s="136">
        <v>3.92</v>
      </c>
      <c r="AK708" s="136">
        <v>0.49</v>
      </c>
      <c r="AL708" s="136">
        <v>3.31</v>
      </c>
      <c r="AM708" s="136">
        <v>53.190000000000012</v>
      </c>
      <c r="AN708" s="131"/>
      <c r="AO708" s="131"/>
      <c r="AP708" s="131"/>
      <c r="AQ708" s="131"/>
      <c r="AR708" s="131"/>
      <c r="AS708" s="131"/>
      <c r="AT708" s="131"/>
      <c r="AU708" s="91"/>
      <c r="AV708" s="91"/>
      <c r="AW708" s="131"/>
      <c r="AX708" s="131"/>
      <c r="AY708" s="131"/>
    </row>
    <row r="709" spans="1:51" ht="15" x14ac:dyDescent="0.25">
      <c r="A709" s="123"/>
      <c r="B709" s="124"/>
      <c r="C709" s="125">
        <v>811357</v>
      </c>
      <c r="D709" s="89"/>
      <c r="E709" s="86" t="s">
        <v>23</v>
      </c>
      <c r="F709" s="86" t="s">
        <v>418</v>
      </c>
      <c r="H709" s="126" t="s">
        <v>51</v>
      </c>
      <c r="I709" s="89">
        <v>1</v>
      </c>
      <c r="J709" s="127">
        <v>35465.0458</v>
      </c>
      <c r="K709" s="127">
        <v>49643.43</v>
      </c>
      <c r="L709" s="127">
        <v>8250.61</v>
      </c>
      <c r="M709" s="127">
        <v>27869.0458</v>
      </c>
      <c r="N709" s="127">
        <v>38429.430000000008</v>
      </c>
      <c r="O709" s="127">
        <v>7332.6100000000006</v>
      </c>
      <c r="P709" s="128">
        <f t="shared" si="90"/>
        <v>0.7858172792772764</v>
      </c>
      <c r="Q709" s="128">
        <f t="shared" si="91"/>
        <v>0.77410908150383662</v>
      </c>
      <c r="R709" s="128">
        <f t="shared" si="92"/>
        <v>0.88873549955700248</v>
      </c>
      <c r="S709" s="129">
        <v>1</v>
      </c>
      <c r="T709" s="129">
        <v>1</v>
      </c>
      <c r="U709" s="129">
        <v>1</v>
      </c>
      <c r="V709" s="138">
        <f t="shared" si="93"/>
        <v>3</v>
      </c>
      <c r="W709" s="138">
        <f t="shared" si="94"/>
        <v>3</v>
      </c>
      <c r="X709" s="138">
        <f t="shared" si="95"/>
        <v>1</v>
      </c>
      <c r="Y709" s="138">
        <f t="shared" si="96"/>
        <v>3</v>
      </c>
      <c r="Z709" s="138">
        <f t="shared" si="97"/>
        <v>3</v>
      </c>
      <c r="AA709" s="138">
        <f t="shared" si="98"/>
        <v>1</v>
      </c>
      <c r="AB709" s="127" t="s">
        <v>32</v>
      </c>
      <c r="AC709" s="127" t="s">
        <v>31</v>
      </c>
      <c r="AD709" s="127"/>
      <c r="AE709" s="130"/>
      <c r="AF709" s="136">
        <v>14.89</v>
      </c>
      <c r="AG709" s="136">
        <v>4.0599999999999996</v>
      </c>
      <c r="AH709" s="136">
        <v>20.53</v>
      </c>
      <c r="AI709" s="136">
        <v>5.99</v>
      </c>
      <c r="AJ709" s="136">
        <v>3.92</v>
      </c>
      <c r="AK709" s="136">
        <v>0.49</v>
      </c>
      <c r="AL709" s="136">
        <v>3.31</v>
      </c>
      <c r="AM709" s="136">
        <v>53.190000000000012</v>
      </c>
      <c r="AN709" s="131"/>
      <c r="AO709" s="131"/>
      <c r="AP709" s="131"/>
      <c r="AQ709" s="131"/>
      <c r="AR709" s="131"/>
      <c r="AS709" s="131"/>
      <c r="AT709" s="131"/>
      <c r="AU709" s="91"/>
      <c r="AV709" s="91"/>
      <c r="AW709" s="131"/>
      <c r="AX709" s="131"/>
      <c r="AY709" s="131"/>
    </row>
    <row r="710" spans="1:51" ht="15" x14ac:dyDescent="0.25">
      <c r="A710" s="123"/>
      <c r="B710" s="124"/>
      <c r="C710" s="125">
        <v>859408</v>
      </c>
      <c r="D710" s="89"/>
      <c r="E710" s="86" t="s">
        <v>23</v>
      </c>
      <c r="F710" s="86" t="s">
        <v>418</v>
      </c>
      <c r="H710" s="126" t="s">
        <v>51</v>
      </c>
      <c r="I710" s="89">
        <v>1</v>
      </c>
      <c r="J710" s="127">
        <v>35465.0458</v>
      </c>
      <c r="K710" s="127">
        <v>49643.43</v>
      </c>
      <c r="L710" s="127">
        <v>8250.61</v>
      </c>
      <c r="M710" s="127">
        <v>27869.0458</v>
      </c>
      <c r="N710" s="127">
        <v>38429.430000000008</v>
      </c>
      <c r="O710" s="127">
        <v>7332.6100000000006</v>
      </c>
      <c r="P710" s="128">
        <f t="shared" ref="P710:P773" si="99">M710/J710</f>
        <v>0.7858172792772764</v>
      </c>
      <c r="Q710" s="128">
        <f t="shared" ref="Q710:Q773" si="100">N710/K710</f>
        <v>0.77410908150383662</v>
      </c>
      <c r="R710" s="128">
        <f t="shared" ref="R710:R773" si="101">O710/L710</f>
        <v>0.88873549955700248</v>
      </c>
      <c r="S710" s="129">
        <v>1</v>
      </c>
      <c r="T710" s="129">
        <v>1</v>
      </c>
      <c r="U710" s="129">
        <v>1</v>
      </c>
      <c r="V710" s="138">
        <f t="shared" ref="V710:V773" si="102">I710+2</f>
        <v>3</v>
      </c>
      <c r="W710" s="138">
        <f t="shared" ref="W710:W773" si="103">I710+2</f>
        <v>3</v>
      </c>
      <c r="X710" s="138">
        <f t="shared" ref="X710:X773" si="104">I710</f>
        <v>1</v>
      </c>
      <c r="Y710" s="138">
        <f t="shared" ref="Y710:Y773" si="105">IF(S710=0,0,V710)</f>
        <v>3</v>
      </c>
      <c r="Z710" s="138">
        <f t="shared" ref="Z710:Z773" si="106">IF(T710=0,0,W710)</f>
        <v>3</v>
      </c>
      <c r="AA710" s="138">
        <f t="shared" ref="AA710:AA773" si="107">IF(U710=0,0,1)</f>
        <v>1</v>
      </c>
      <c r="AB710" s="127" t="s">
        <v>32</v>
      </c>
      <c r="AC710" s="127" t="s">
        <v>31</v>
      </c>
      <c r="AD710" s="127"/>
      <c r="AE710" s="130"/>
      <c r="AF710" s="136">
        <v>14.89</v>
      </c>
      <c r="AG710" s="136">
        <v>4.0599999999999996</v>
      </c>
      <c r="AH710" s="136">
        <v>20.53</v>
      </c>
      <c r="AI710" s="136">
        <v>5.99</v>
      </c>
      <c r="AJ710" s="136">
        <v>3.92</v>
      </c>
      <c r="AK710" s="136">
        <v>0.49</v>
      </c>
      <c r="AL710" s="136">
        <v>3.31</v>
      </c>
      <c r="AM710" s="136">
        <v>53.190000000000012</v>
      </c>
      <c r="AN710" s="131"/>
      <c r="AO710" s="131"/>
      <c r="AP710" s="131"/>
      <c r="AQ710" s="131"/>
      <c r="AR710" s="131"/>
      <c r="AS710" s="131"/>
      <c r="AT710" s="131"/>
      <c r="AU710" s="91"/>
      <c r="AV710" s="91"/>
      <c r="AW710" s="131"/>
      <c r="AX710" s="131"/>
      <c r="AY710" s="131"/>
    </row>
    <row r="711" spans="1:51" ht="15" x14ac:dyDescent="0.25">
      <c r="A711" s="123"/>
      <c r="B711" s="124"/>
      <c r="C711" s="125">
        <v>885427</v>
      </c>
      <c r="D711" s="89"/>
      <c r="E711" s="86" t="s">
        <v>23</v>
      </c>
      <c r="F711" s="86" t="s">
        <v>418</v>
      </c>
      <c r="H711" s="126" t="s">
        <v>51</v>
      </c>
      <c r="I711" s="89">
        <v>1</v>
      </c>
      <c r="J711" s="127">
        <v>35465.0458</v>
      </c>
      <c r="K711" s="127">
        <v>49643.43</v>
      </c>
      <c r="L711" s="127">
        <v>8250.61</v>
      </c>
      <c r="M711" s="127">
        <v>27869.0458</v>
      </c>
      <c r="N711" s="127">
        <v>38429.430000000008</v>
      </c>
      <c r="O711" s="127">
        <v>7332.6100000000006</v>
      </c>
      <c r="P711" s="128">
        <f t="shared" si="99"/>
        <v>0.7858172792772764</v>
      </c>
      <c r="Q711" s="128">
        <f t="shared" si="100"/>
        <v>0.77410908150383662</v>
      </c>
      <c r="R711" s="128">
        <f t="shared" si="101"/>
        <v>0.88873549955700248</v>
      </c>
      <c r="S711" s="129">
        <v>1</v>
      </c>
      <c r="T711" s="129">
        <v>1</v>
      </c>
      <c r="U711" s="129">
        <v>1</v>
      </c>
      <c r="V711" s="138">
        <f t="shared" si="102"/>
        <v>3</v>
      </c>
      <c r="W711" s="138">
        <f t="shared" si="103"/>
        <v>3</v>
      </c>
      <c r="X711" s="138">
        <f t="shared" si="104"/>
        <v>1</v>
      </c>
      <c r="Y711" s="138">
        <f t="shared" si="105"/>
        <v>3</v>
      </c>
      <c r="Z711" s="138">
        <f t="shared" si="106"/>
        <v>3</v>
      </c>
      <c r="AA711" s="138">
        <f t="shared" si="107"/>
        <v>1</v>
      </c>
      <c r="AB711" s="127" t="s">
        <v>32</v>
      </c>
      <c r="AC711" s="127" t="s">
        <v>31</v>
      </c>
      <c r="AD711" s="127"/>
      <c r="AE711" s="130"/>
      <c r="AF711" s="136">
        <v>14.89</v>
      </c>
      <c r="AG711" s="136">
        <v>4.0599999999999996</v>
      </c>
      <c r="AH711" s="136">
        <v>20.53</v>
      </c>
      <c r="AI711" s="136">
        <v>5.99</v>
      </c>
      <c r="AJ711" s="136">
        <v>3.92</v>
      </c>
      <c r="AK711" s="136">
        <v>0.49</v>
      </c>
      <c r="AL711" s="136">
        <v>3.31</v>
      </c>
      <c r="AM711" s="136">
        <v>53.190000000000012</v>
      </c>
      <c r="AN711" s="131"/>
      <c r="AO711" s="131"/>
      <c r="AP711" s="131"/>
      <c r="AQ711" s="131"/>
      <c r="AR711" s="131"/>
      <c r="AS711" s="131"/>
      <c r="AT711" s="131"/>
      <c r="AU711" s="91"/>
      <c r="AV711" s="91"/>
      <c r="AW711" s="131"/>
      <c r="AX711" s="131"/>
      <c r="AY711" s="131"/>
    </row>
    <row r="712" spans="1:51" ht="15" x14ac:dyDescent="0.25">
      <c r="A712" s="123"/>
      <c r="B712" s="124"/>
      <c r="C712" s="125">
        <v>909129</v>
      </c>
      <c r="D712" s="89"/>
      <c r="E712" s="86" t="s">
        <v>23</v>
      </c>
      <c r="F712" s="86" t="s">
        <v>418</v>
      </c>
      <c r="H712" s="126" t="s">
        <v>51</v>
      </c>
      <c r="I712" s="89">
        <v>1</v>
      </c>
      <c r="J712" s="127">
        <v>35465.0458</v>
      </c>
      <c r="K712" s="127">
        <v>49643.43</v>
      </c>
      <c r="L712" s="127">
        <v>8250.61</v>
      </c>
      <c r="M712" s="127">
        <v>27869.0458</v>
      </c>
      <c r="N712" s="127">
        <v>38429.430000000008</v>
      </c>
      <c r="O712" s="127">
        <v>7332.6100000000006</v>
      </c>
      <c r="P712" s="128">
        <f t="shared" si="99"/>
        <v>0.7858172792772764</v>
      </c>
      <c r="Q712" s="128">
        <f t="shared" si="100"/>
        <v>0.77410908150383662</v>
      </c>
      <c r="R712" s="128">
        <f t="shared" si="101"/>
        <v>0.88873549955700248</v>
      </c>
      <c r="S712" s="129">
        <v>1</v>
      </c>
      <c r="T712" s="129">
        <v>1</v>
      </c>
      <c r="U712" s="129">
        <v>1</v>
      </c>
      <c r="V712" s="138">
        <f t="shared" si="102"/>
        <v>3</v>
      </c>
      <c r="W712" s="138">
        <f t="shared" si="103"/>
        <v>3</v>
      </c>
      <c r="X712" s="138">
        <f t="shared" si="104"/>
        <v>1</v>
      </c>
      <c r="Y712" s="138">
        <f t="shared" si="105"/>
        <v>3</v>
      </c>
      <c r="Z712" s="138">
        <f t="shared" si="106"/>
        <v>3</v>
      </c>
      <c r="AA712" s="138">
        <f t="shared" si="107"/>
        <v>1</v>
      </c>
      <c r="AB712" s="127" t="s">
        <v>32</v>
      </c>
      <c r="AC712" s="127" t="s">
        <v>31</v>
      </c>
      <c r="AD712" s="127"/>
      <c r="AE712" s="130"/>
      <c r="AF712" s="136">
        <v>14.89</v>
      </c>
      <c r="AG712" s="136">
        <v>4.0599999999999996</v>
      </c>
      <c r="AH712" s="136">
        <v>20.53</v>
      </c>
      <c r="AI712" s="136">
        <v>5.99</v>
      </c>
      <c r="AJ712" s="136">
        <v>3.92</v>
      </c>
      <c r="AK712" s="136">
        <v>0.49</v>
      </c>
      <c r="AL712" s="136">
        <v>3.31</v>
      </c>
      <c r="AM712" s="136">
        <v>53.190000000000012</v>
      </c>
      <c r="AN712" s="131"/>
      <c r="AO712" s="131"/>
      <c r="AP712" s="131"/>
      <c r="AQ712" s="131"/>
      <c r="AR712" s="131"/>
      <c r="AS712" s="131"/>
      <c r="AT712" s="131"/>
      <c r="AU712" s="91"/>
      <c r="AV712" s="91"/>
      <c r="AW712" s="131"/>
      <c r="AX712" s="131"/>
      <c r="AY712" s="131"/>
    </row>
    <row r="713" spans="1:51" ht="15" x14ac:dyDescent="0.25">
      <c r="A713" s="123"/>
      <c r="B713" s="124"/>
      <c r="C713" s="125">
        <v>945898</v>
      </c>
      <c r="D713" s="89"/>
      <c r="E713" s="86" t="s">
        <v>23</v>
      </c>
      <c r="F713" s="86" t="s">
        <v>418</v>
      </c>
      <c r="H713" s="126" t="s">
        <v>51</v>
      </c>
      <c r="I713" s="89">
        <v>1</v>
      </c>
      <c r="J713" s="127">
        <v>35465.0458</v>
      </c>
      <c r="K713" s="127">
        <v>49643.43</v>
      </c>
      <c r="L713" s="127">
        <v>8250.61</v>
      </c>
      <c r="M713" s="127">
        <v>27869.0458</v>
      </c>
      <c r="N713" s="127">
        <v>38429.430000000008</v>
      </c>
      <c r="O713" s="127">
        <v>7332.6100000000006</v>
      </c>
      <c r="P713" s="128">
        <f t="shared" si="99"/>
        <v>0.7858172792772764</v>
      </c>
      <c r="Q713" s="128">
        <f t="shared" si="100"/>
        <v>0.77410908150383662</v>
      </c>
      <c r="R713" s="128">
        <f t="shared" si="101"/>
        <v>0.88873549955700248</v>
      </c>
      <c r="S713" s="129">
        <v>1</v>
      </c>
      <c r="T713" s="129">
        <v>1</v>
      </c>
      <c r="U713" s="129">
        <v>1</v>
      </c>
      <c r="V713" s="138">
        <f t="shared" si="102"/>
        <v>3</v>
      </c>
      <c r="W713" s="138">
        <f t="shared" si="103"/>
        <v>3</v>
      </c>
      <c r="X713" s="138">
        <f t="shared" si="104"/>
        <v>1</v>
      </c>
      <c r="Y713" s="138">
        <f t="shared" si="105"/>
        <v>3</v>
      </c>
      <c r="Z713" s="138">
        <f t="shared" si="106"/>
        <v>3</v>
      </c>
      <c r="AA713" s="138">
        <f t="shared" si="107"/>
        <v>1</v>
      </c>
      <c r="AB713" s="127" t="s">
        <v>32</v>
      </c>
      <c r="AC713" s="127" t="s">
        <v>31</v>
      </c>
      <c r="AD713" s="127"/>
      <c r="AE713" s="130"/>
      <c r="AF713" s="136">
        <v>14.89</v>
      </c>
      <c r="AG713" s="136">
        <v>4.0599999999999996</v>
      </c>
      <c r="AH713" s="136">
        <v>20.53</v>
      </c>
      <c r="AI713" s="136">
        <v>5.99</v>
      </c>
      <c r="AJ713" s="136">
        <v>3.92</v>
      </c>
      <c r="AK713" s="136">
        <v>0.49</v>
      </c>
      <c r="AL713" s="136">
        <v>3.31</v>
      </c>
      <c r="AM713" s="136">
        <v>53.190000000000012</v>
      </c>
      <c r="AN713" s="131"/>
      <c r="AO713" s="131"/>
      <c r="AP713" s="131"/>
      <c r="AQ713" s="131"/>
      <c r="AR713" s="131"/>
      <c r="AS713" s="131"/>
      <c r="AT713" s="131"/>
      <c r="AU713" s="91"/>
      <c r="AV713" s="91"/>
      <c r="AW713" s="131"/>
      <c r="AX713" s="131"/>
      <c r="AY713" s="131"/>
    </row>
    <row r="714" spans="1:51" ht="15" x14ac:dyDescent="0.25">
      <c r="A714" s="123"/>
      <c r="B714" s="124"/>
      <c r="C714" s="125">
        <v>949779</v>
      </c>
      <c r="D714" s="89"/>
      <c r="E714" s="86" t="s">
        <v>23</v>
      </c>
      <c r="F714" s="86" t="s">
        <v>418</v>
      </c>
      <c r="H714" s="126" t="s">
        <v>51</v>
      </c>
      <c r="I714" s="89">
        <v>1</v>
      </c>
      <c r="J714" s="127">
        <v>35465.0458</v>
      </c>
      <c r="K714" s="127">
        <v>49643.43</v>
      </c>
      <c r="L714" s="127">
        <v>8250.61</v>
      </c>
      <c r="M714" s="127">
        <v>27869.0458</v>
      </c>
      <c r="N714" s="127">
        <v>38429.430000000008</v>
      </c>
      <c r="O714" s="127">
        <v>7332.6100000000006</v>
      </c>
      <c r="P714" s="128">
        <f t="shared" si="99"/>
        <v>0.7858172792772764</v>
      </c>
      <c r="Q714" s="128">
        <f t="shared" si="100"/>
        <v>0.77410908150383662</v>
      </c>
      <c r="R714" s="128">
        <f t="shared" si="101"/>
        <v>0.88873549955700248</v>
      </c>
      <c r="S714" s="129">
        <v>1</v>
      </c>
      <c r="T714" s="129">
        <v>1</v>
      </c>
      <c r="U714" s="129">
        <v>1</v>
      </c>
      <c r="V714" s="138">
        <f t="shared" si="102"/>
        <v>3</v>
      </c>
      <c r="W714" s="138">
        <f t="shared" si="103"/>
        <v>3</v>
      </c>
      <c r="X714" s="138">
        <f t="shared" si="104"/>
        <v>1</v>
      </c>
      <c r="Y714" s="138">
        <f t="shared" si="105"/>
        <v>3</v>
      </c>
      <c r="Z714" s="138">
        <f t="shared" si="106"/>
        <v>3</v>
      </c>
      <c r="AA714" s="138">
        <f t="shared" si="107"/>
        <v>1</v>
      </c>
      <c r="AB714" s="127" t="s">
        <v>32</v>
      </c>
      <c r="AC714" s="127" t="s">
        <v>31</v>
      </c>
      <c r="AD714" s="127"/>
      <c r="AE714" s="130"/>
      <c r="AF714" s="136">
        <v>14.89</v>
      </c>
      <c r="AG714" s="136">
        <v>4.0599999999999996</v>
      </c>
      <c r="AH714" s="136">
        <v>20.53</v>
      </c>
      <c r="AI714" s="136">
        <v>5.99</v>
      </c>
      <c r="AJ714" s="136">
        <v>3.92</v>
      </c>
      <c r="AK714" s="136">
        <v>0.49</v>
      </c>
      <c r="AL714" s="136">
        <v>3.31</v>
      </c>
      <c r="AM714" s="136">
        <v>53.190000000000012</v>
      </c>
      <c r="AN714" s="131"/>
      <c r="AO714" s="131"/>
      <c r="AP714" s="131"/>
      <c r="AQ714" s="131"/>
      <c r="AR714" s="131"/>
      <c r="AS714" s="131"/>
      <c r="AT714" s="131"/>
      <c r="AU714" s="91"/>
      <c r="AV714" s="91"/>
      <c r="AW714" s="131"/>
      <c r="AX714" s="131"/>
      <c r="AY714" s="131"/>
    </row>
    <row r="715" spans="1:51" ht="15" x14ac:dyDescent="0.25">
      <c r="A715" s="123"/>
      <c r="B715" s="124"/>
      <c r="C715" s="125">
        <v>957795</v>
      </c>
      <c r="D715" s="89"/>
      <c r="E715" s="86" t="s">
        <v>23</v>
      </c>
      <c r="F715" s="86" t="s">
        <v>418</v>
      </c>
      <c r="H715" s="126" t="s">
        <v>51</v>
      </c>
      <c r="I715" s="89">
        <v>1</v>
      </c>
      <c r="J715" s="127">
        <v>35465.0458</v>
      </c>
      <c r="K715" s="127">
        <v>49643.43</v>
      </c>
      <c r="L715" s="127">
        <v>8250.61</v>
      </c>
      <c r="M715" s="127">
        <v>27869.0458</v>
      </c>
      <c r="N715" s="127">
        <v>38429.430000000008</v>
      </c>
      <c r="O715" s="127">
        <v>7332.6100000000006</v>
      </c>
      <c r="P715" s="128">
        <f t="shared" si="99"/>
        <v>0.7858172792772764</v>
      </c>
      <c r="Q715" s="128">
        <f t="shared" si="100"/>
        <v>0.77410908150383662</v>
      </c>
      <c r="R715" s="128">
        <f t="shared" si="101"/>
        <v>0.88873549955700248</v>
      </c>
      <c r="S715" s="129">
        <v>1</v>
      </c>
      <c r="T715" s="129">
        <v>1</v>
      </c>
      <c r="U715" s="129">
        <v>1</v>
      </c>
      <c r="V715" s="138">
        <f t="shared" si="102"/>
        <v>3</v>
      </c>
      <c r="W715" s="138">
        <f t="shared" si="103"/>
        <v>3</v>
      </c>
      <c r="X715" s="138">
        <f t="shared" si="104"/>
        <v>1</v>
      </c>
      <c r="Y715" s="138">
        <f t="shared" si="105"/>
        <v>3</v>
      </c>
      <c r="Z715" s="138">
        <f t="shared" si="106"/>
        <v>3</v>
      </c>
      <c r="AA715" s="138">
        <f t="shared" si="107"/>
        <v>1</v>
      </c>
      <c r="AB715" s="127" t="s">
        <v>32</v>
      </c>
      <c r="AC715" s="127" t="s">
        <v>31</v>
      </c>
      <c r="AD715" s="127"/>
      <c r="AE715" s="130"/>
      <c r="AF715" s="136">
        <v>14.89</v>
      </c>
      <c r="AG715" s="136">
        <v>4.0599999999999996</v>
      </c>
      <c r="AH715" s="136">
        <v>20.53</v>
      </c>
      <c r="AI715" s="136">
        <v>5.99</v>
      </c>
      <c r="AJ715" s="136">
        <v>3.92</v>
      </c>
      <c r="AK715" s="136">
        <v>0.49</v>
      </c>
      <c r="AL715" s="136">
        <v>3.31</v>
      </c>
      <c r="AM715" s="136">
        <v>53.190000000000012</v>
      </c>
      <c r="AN715" s="131"/>
      <c r="AO715" s="131"/>
      <c r="AP715" s="131"/>
      <c r="AQ715" s="131"/>
      <c r="AR715" s="131"/>
      <c r="AS715" s="131"/>
      <c r="AT715" s="131"/>
      <c r="AU715" s="91"/>
      <c r="AV715" s="91"/>
      <c r="AW715" s="131"/>
      <c r="AX715" s="131"/>
      <c r="AY715" s="131"/>
    </row>
    <row r="716" spans="1:51" ht="15" x14ac:dyDescent="0.25">
      <c r="A716" s="123"/>
      <c r="B716" s="124"/>
      <c r="C716" s="125">
        <v>968687</v>
      </c>
      <c r="D716" s="89"/>
      <c r="E716" s="86" t="s">
        <v>23</v>
      </c>
      <c r="F716" s="86" t="s">
        <v>418</v>
      </c>
      <c r="H716" s="126" t="s">
        <v>51</v>
      </c>
      <c r="I716" s="89">
        <v>1</v>
      </c>
      <c r="J716" s="127">
        <v>35465.0458</v>
      </c>
      <c r="K716" s="127">
        <v>49643.43</v>
      </c>
      <c r="L716" s="127">
        <v>8250.61</v>
      </c>
      <c r="M716" s="127">
        <v>27869.0458</v>
      </c>
      <c r="N716" s="127">
        <v>38429.430000000008</v>
      </c>
      <c r="O716" s="127">
        <v>7332.6100000000006</v>
      </c>
      <c r="P716" s="128">
        <f t="shared" si="99"/>
        <v>0.7858172792772764</v>
      </c>
      <c r="Q716" s="128">
        <f t="shared" si="100"/>
        <v>0.77410908150383662</v>
      </c>
      <c r="R716" s="128">
        <f t="shared" si="101"/>
        <v>0.88873549955700248</v>
      </c>
      <c r="S716" s="129">
        <v>1</v>
      </c>
      <c r="T716" s="129">
        <v>1</v>
      </c>
      <c r="U716" s="129">
        <v>1</v>
      </c>
      <c r="V716" s="138">
        <f t="shared" si="102"/>
        <v>3</v>
      </c>
      <c r="W716" s="138">
        <f t="shared" si="103"/>
        <v>3</v>
      </c>
      <c r="X716" s="138">
        <f t="shared" si="104"/>
        <v>1</v>
      </c>
      <c r="Y716" s="138">
        <f t="shared" si="105"/>
        <v>3</v>
      </c>
      <c r="Z716" s="138">
        <f t="shared" si="106"/>
        <v>3</v>
      </c>
      <c r="AA716" s="138">
        <f t="shared" si="107"/>
        <v>1</v>
      </c>
      <c r="AB716" s="127" t="s">
        <v>32</v>
      </c>
      <c r="AC716" s="127" t="s">
        <v>31</v>
      </c>
      <c r="AD716" s="127"/>
      <c r="AE716" s="130"/>
      <c r="AF716" s="136">
        <v>14.89</v>
      </c>
      <c r="AG716" s="136">
        <v>4.0599999999999996</v>
      </c>
      <c r="AH716" s="136">
        <v>20.53</v>
      </c>
      <c r="AI716" s="136">
        <v>5.99</v>
      </c>
      <c r="AJ716" s="136">
        <v>3.92</v>
      </c>
      <c r="AK716" s="136">
        <v>0.49</v>
      </c>
      <c r="AL716" s="136">
        <v>3.31</v>
      </c>
      <c r="AM716" s="136">
        <v>53.190000000000012</v>
      </c>
      <c r="AN716" s="131"/>
      <c r="AO716" s="131"/>
      <c r="AP716" s="131"/>
      <c r="AQ716" s="131"/>
      <c r="AR716" s="131"/>
      <c r="AS716" s="131"/>
      <c r="AT716" s="131"/>
      <c r="AU716" s="91"/>
      <c r="AV716" s="91"/>
      <c r="AW716" s="131"/>
      <c r="AX716" s="131"/>
      <c r="AY716" s="131"/>
    </row>
    <row r="717" spans="1:51" ht="15" x14ac:dyDescent="0.25">
      <c r="A717" s="123"/>
      <c r="B717" s="124"/>
      <c r="C717" s="125">
        <v>717</v>
      </c>
      <c r="D717" s="89"/>
      <c r="E717" s="86" t="s">
        <v>27</v>
      </c>
      <c r="F717" s="86" t="s">
        <v>418</v>
      </c>
      <c r="H717" s="126" t="s">
        <v>51</v>
      </c>
      <c r="I717" s="89">
        <v>2</v>
      </c>
      <c r="J717" s="127">
        <v>36953.209900000002</v>
      </c>
      <c r="K717" s="127">
        <v>56546.509999999995</v>
      </c>
      <c r="L717" s="127">
        <v>7122.36</v>
      </c>
      <c r="M717" s="127">
        <v>19283.209900000013</v>
      </c>
      <c r="N717" s="127">
        <v>47201.509999999995</v>
      </c>
      <c r="O717" s="127">
        <v>6357.36</v>
      </c>
      <c r="P717" s="128">
        <f t="shared" si="99"/>
        <v>0.52182773708110297</v>
      </c>
      <c r="Q717" s="128">
        <f t="shared" si="100"/>
        <v>0.83473781140516012</v>
      </c>
      <c r="R717" s="128">
        <f t="shared" si="101"/>
        <v>0.89259178137583606</v>
      </c>
      <c r="S717" s="129">
        <v>1</v>
      </c>
      <c r="T717" s="129">
        <v>1</v>
      </c>
      <c r="U717" s="129">
        <v>1</v>
      </c>
      <c r="V717" s="138">
        <f t="shared" si="102"/>
        <v>4</v>
      </c>
      <c r="W717" s="138">
        <f t="shared" si="103"/>
        <v>4</v>
      </c>
      <c r="X717" s="138">
        <f t="shared" si="104"/>
        <v>2</v>
      </c>
      <c r="Y717" s="138">
        <f t="shared" si="105"/>
        <v>4</v>
      </c>
      <c r="Z717" s="138">
        <f t="shared" si="106"/>
        <v>4</v>
      </c>
      <c r="AA717" s="138">
        <f t="shared" si="107"/>
        <v>1</v>
      </c>
      <c r="AB717" s="127" t="s">
        <v>32</v>
      </c>
      <c r="AC717" s="127"/>
      <c r="AD717" s="127"/>
      <c r="AE717" s="130"/>
      <c r="AF717" s="136">
        <v>14.98</v>
      </c>
      <c r="AG717" s="136">
        <v>11.33</v>
      </c>
      <c r="AH717" s="136">
        <v>36.68</v>
      </c>
      <c r="AI717" s="136">
        <v>5.99</v>
      </c>
      <c r="AJ717" s="136">
        <v>4.08</v>
      </c>
      <c r="AK717" s="136">
        <v>0.49</v>
      </c>
      <c r="AL717" s="136">
        <v>3.31</v>
      </c>
      <c r="AM717" s="136">
        <v>76.86</v>
      </c>
      <c r="AN717" s="131"/>
      <c r="AO717" s="131"/>
      <c r="AP717" s="131"/>
      <c r="AQ717" s="131"/>
      <c r="AR717" s="131"/>
      <c r="AS717" s="131"/>
      <c r="AT717" s="131"/>
      <c r="AU717" s="91"/>
      <c r="AV717" s="91"/>
      <c r="AW717" s="131"/>
      <c r="AX717" s="131"/>
      <c r="AY717" s="131"/>
    </row>
    <row r="718" spans="1:51" ht="15" x14ac:dyDescent="0.25">
      <c r="A718" s="123"/>
      <c r="B718" s="124"/>
      <c r="C718" s="125">
        <v>2652</v>
      </c>
      <c r="D718" s="89"/>
      <c r="E718" s="86" t="s">
        <v>27</v>
      </c>
      <c r="F718" s="86" t="s">
        <v>418</v>
      </c>
      <c r="H718" s="126" t="s">
        <v>51</v>
      </c>
      <c r="I718" s="89">
        <v>1</v>
      </c>
      <c r="J718" s="127">
        <v>36953.209900000002</v>
      </c>
      <c r="K718" s="127">
        <v>56546.509999999995</v>
      </c>
      <c r="L718" s="127">
        <v>7122.36</v>
      </c>
      <c r="M718" s="127">
        <v>19283.209900000013</v>
      </c>
      <c r="N718" s="127">
        <v>47201.509999999995</v>
      </c>
      <c r="O718" s="127">
        <v>6357.36</v>
      </c>
      <c r="P718" s="128">
        <f t="shared" si="99"/>
        <v>0.52182773708110297</v>
      </c>
      <c r="Q718" s="128">
        <f t="shared" si="100"/>
        <v>0.83473781140516012</v>
      </c>
      <c r="R718" s="128">
        <f t="shared" si="101"/>
        <v>0.89259178137583606</v>
      </c>
      <c r="S718" s="129">
        <v>1</v>
      </c>
      <c r="T718" s="129">
        <v>1</v>
      </c>
      <c r="U718" s="129">
        <v>1</v>
      </c>
      <c r="V718" s="138">
        <f t="shared" si="102"/>
        <v>3</v>
      </c>
      <c r="W718" s="138">
        <f t="shared" si="103"/>
        <v>3</v>
      </c>
      <c r="X718" s="138">
        <f t="shared" si="104"/>
        <v>1</v>
      </c>
      <c r="Y718" s="138">
        <f t="shared" si="105"/>
        <v>3</v>
      </c>
      <c r="Z718" s="138">
        <f t="shared" si="106"/>
        <v>3</v>
      </c>
      <c r="AA718" s="138">
        <f t="shared" si="107"/>
        <v>1</v>
      </c>
      <c r="AB718" s="127" t="s">
        <v>32</v>
      </c>
      <c r="AC718" s="127"/>
      <c r="AD718" s="127"/>
      <c r="AE718" s="130"/>
      <c r="AF718" s="136">
        <v>11.24</v>
      </c>
      <c r="AG718" s="136">
        <v>11.33</v>
      </c>
      <c r="AH718" s="136">
        <v>27.51</v>
      </c>
      <c r="AI718" s="136">
        <v>5.99</v>
      </c>
      <c r="AJ718" s="136">
        <v>4.08</v>
      </c>
      <c r="AK718" s="136">
        <v>0.49</v>
      </c>
      <c r="AL718" s="136">
        <v>3.31</v>
      </c>
      <c r="AM718" s="136">
        <v>63.95</v>
      </c>
      <c r="AN718" s="131"/>
      <c r="AO718" s="131"/>
      <c r="AP718" s="131"/>
      <c r="AQ718" s="131"/>
      <c r="AR718" s="131"/>
      <c r="AS718" s="131"/>
      <c r="AT718" s="131"/>
      <c r="AU718" s="91"/>
      <c r="AV718" s="91"/>
      <c r="AW718" s="131"/>
      <c r="AX718" s="131"/>
      <c r="AY718" s="131"/>
    </row>
    <row r="719" spans="1:51" ht="15" x14ac:dyDescent="0.25">
      <c r="A719" s="123"/>
      <c r="B719" s="124"/>
      <c r="C719" s="125">
        <v>4777</v>
      </c>
      <c r="D719" s="89"/>
      <c r="E719" s="86" t="s">
        <v>27</v>
      </c>
      <c r="F719" s="86" t="s">
        <v>418</v>
      </c>
      <c r="H719" s="126" t="s">
        <v>51</v>
      </c>
      <c r="I719" s="89">
        <v>1</v>
      </c>
      <c r="J719" s="127">
        <v>36953.209900000002</v>
      </c>
      <c r="K719" s="127">
        <v>56546.509999999995</v>
      </c>
      <c r="L719" s="127">
        <v>7122.36</v>
      </c>
      <c r="M719" s="127">
        <v>19283.209900000013</v>
      </c>
      <c r="N719" s="127">
        <v>47201.509999999995</v>
      </c>
      <c r="O719" s="127">
        <v>6357.36</v>
      </c>
      <c r="P719" s="128">
        <f t="shared" si="99"/>
        <v>0.52182773708110297</v>
      </c>
      <c r="Q719" s="128">
        <f t="shared" si="100"/>
        <v>0.83473781140516012</v>
      </c>
      <c r="R719" s="128">
        <f t="shared" si="101"/>
        <v>0.89259178137583606</v>
      </c>
      <c r="S719" s="129">
        <v>1</v>
      </c>
      <c r="T719" s="129">
        <v>1</v>
      </c>
      <c r="U719" s="129">
        <v>1</v>
      </c>
      <c r="V719" s="138">
        <f t="shared" si="102"/>
        <v>3</v>
      </c>
      <c r="W719" s="138">
        <f t="shared" si="103"/>
        <v>3</v>
      </c>
      <c r="X719" s="138">
        <f t="shared" si="104"/>
        <v>1</v>
      </c>
      <c r="Y719" s="138">
        <f t="shared" si="105"/>
        <v>3</v>
      </c>
      <c r="Z719" s="138">
        <f t="shared" si="106"/>
        <v>3</v>
      </c>
      <c r="AA719" s="138">
        <f t="shared" si="107"/>
        <v>1</v>
      </c>
      <c r="AB719" s="127" t="s">
        <v>32</v>
      </c>
      <c r="AC719" s="127"/>
      <c r="AD719" s="127"/>
      <c r="AE719" s="130"/>
      <c r="AF719" s="136">
        <v>11.24</v>
      </c>
      <c r="AG719" s="136">
        <v>11.33</v>
      </c>
      <c r="AH719" s="136">
        <v>27.51</v>
      </c>
      <c r="AI719" s="136">
        <v>5.99</v>
      </c>
      <c r="AJ719" s="136">
        <v>4.08</v>
      </c>
      <c r="AK719" s="136">
        <v>0.49</v>
      </c>
      <c r="AL719" s="136">
        <v>3.31</v>
      </c>
      <c r="AM719" s="136">
        <v>63.95</v>
      </c>
      <c r="AN719" s="131"/>
      <c r="AO719" s="131"/>
      <c r="AP719" s="131"/>
      <c r="AQ719" s="131"/>
      <c r="AR719" s="131"/>
      <c r="AS719" s="131"/>
      <c r="AT719" s="131"/>
      <c r="AU719" s="91"/>
      <c r="AV719" s="91"/>
      <c r="AW719" s="131"/>
      <c r="AX719" s="131"/>
      <c r="AY719" s="131"/>
    </row>
    <row r="720" spans="1:51" ht="15" x14ac:dyDescent="0.25">
      <c r="A720" s="123"/>
      <c r="B720" s="124"/>
      <c r="C720" s="125">
        <v>16170</v>
      </c>
      <c r="D720" s="89"/>
      <c r="E720" s="86" t="s">
        <v>27</v>
      </c>
      <c r="F720" s="86" t="s">
        <v>418</v>
      </c>
      <c r="H720" s="126" t="s">
        <v>51</v>
      </c>
      <c r="I720" s="89">
        <v>1</v>
      </c>
      <c r="J720" s="127">
        <v>36953.209900000002</v>
      </c>
      <c r="K720" s="127">
        <v>56546.509999999995</v>
      </c>
      <c r="L720" s="127">
        <v>7122.36</v>
      </c>
      <c r="M720" s="127">
        <v>19283.209900000013</v>
      </c>
      <c r="N720" s="127">
        <v>47201.509999999995</v>
      </c>
      <c r="O720" s="127">
        <v>6357.36</v>
      </c>
      <c r="P720" s="128">
        <f t="shared" si="99"/>
        <v>0.52182773708110297</v>
      </c>
      <c r="Q720" s="128">
        <f t="shared" si="100"/>
        <v>0.83473781140516012</v>
      </c>
      <c r="R720" s="128">
        <f t="shared" si="101"/>
        <v>0.89259178137583606</v>
      </c>
      <c r="S720" s="129">
        <v>1</v>
      </c>
      <c r="T720" s="129">
        <v>1</v>
      </c>
      <c r="U720" s="129">
        <v>1</v>
      </c>
      <c r="V720" s="138">
        <f t="shared" si="102"/>
        <v>3</v>
      </c>
      <c r="W720" s="138">
        <f t="shared" si="103"/>
        <v>3</v>
      </c>
      <c r="X720" s="138">
        <f t="shared" si="104"/>
        <v>1</v>
      </c>
      <c r="Y720" s="138">
        <f t="shared" si="105"/>
        <v>3</v>
      </c>
      <c r="Z720" s="138">
        <f t="shared" si="106"/>
        <v>3</v>
      </c>
      <c r="AA720" s="138">
        <f t="shared" si="107"/>
        <v>1</v>
      </c>
      <c r="AB720" s="127" t="s">
        <v>32</v>
      </c>
      <c r="AC720" s="127"/>
      <c r="AD720" s="127"/>
      <c r="AE720" s="130"/>
      <c r="AF720" s="136">
        <v>11.24</v>
      </c>
      <c r="AG720" s="136">
        <v>11.33</v>
      </c>
      <c r="AH720" s="136">
        <v>27.51</v>
      </c>
      <c r="AI720" s="136">
        <v>5.99</v>
      </c>
      <c r="AJ720" s="136">
        <v>4.08</v>
      </c>
      <c r="AK720" s="136">
        <v>0.49</v>
      </c>
      <c r="AL720" s="136">
        <v>3.31</v>
      </c>
      <c r="AM720" s="136">
        <v>63.95</v>
      </c>
      <c r="AN720" s="131"/>
      <c r="AO720" s="131"/>
      <c r="AP720" s="131"/>
      <c r="AQ720" s="131"/>
      <c r="AR720" s="131"/>
      <c r="AS720" s="131"/>
      <c r="AT720" s="131"/>
      <c r="AU720" s="91"/>
      <c r="AV720" s="91"/>
      <c r="AW720" s="131"/>
      <c r="AX720" s="131"/>
      <c r="AY720" s="131"/>
    </row>
    <row r="721" spans="1:51" ht="15" x14ac:dyDescent="0.25">
      <c r="A721" s="123"/>
      <c r="B721" s="124"/>
      <c r="C721" s="125">
        <v>68682</v>
      </c>
      <c r="D721" s="89"/>
      <c r="E721" s="86" t="s">
        <v>27</v>
      </c>
      <c r="F721" s="86" t="s">
        <v>418</v>
      </c>
      <c r="H721" s="126" t="s">
        <v>51</v>
      </c>
      <c r="I721" s="89">
        <v>1</v>
      </c>
      <c r="J721" s="127">
        <v>36953.209900000002</v>
      </c>
      <c r="K721" s="127">
        <v>56546.509999999995</v>
      </c>
      <c r="L721" s="127">
        <v>7122.36</v>
      </c>
      <c r="M721" s="127">
        <v>19283.209900000013</v>
      </c>
      <c r="N721" s="127">
        <v>47201.509999999995</v>
      </c>
      <c r="O721" s="127">
        <v>6357.36</v>
      </c>
      <c r="P721" s="128">
        <f t="shared" si="99"/>
        <v>0.52182773708110297</v>
      </c>
      <c r="Q721" s="128">
        <f t="shared" si="100"/>
        <v>0.83473781140516012</v>
      </c>
      <c r="R721" s="128">
        <f t="shared" si="101"/>
        <v>0.89259178137583606</v>
      </c>
      <c r="S721" s="129">
        <v>1</v>
      </c>
      <c r="T721" s="129">
        <v>1</v>
      </c>
      <c r="U721" s="129">
        <v>1</v>
      </c>
      <c r="V721" s="138">
        <f t="shared" si="102"/>
        <v>3</v>
      </c>
      <c r="W721" s="138">
        <f t="shared" si="103"/>
        <v>3</v>
      </c>
      <c r="X721" s="138">
        <f t="shared" si="104"/>
        <v>1</v>
      </c>
      <c r="Y721" s="138">
        <f t="shared" si="105"/>
        <v>3</v>
      </c>
      <c r="Z721" s="138">
        <f t="shared" si="106"/>
        <v>3</v>
      </c>
      <c r="AA721" s="138">
        <f t="shared" si="107"/>
        <v>1</v>
      </c>
      <c r="AB721" s="127" t="s">
        <v>32</v>
      </c>
      <c r="AC721" s="127"/>
      <c r="AD721" s="127"/>
      <c r="AE721" s="130"/>
      <c r="AF721" s="136">
        <v>11.24</v>
      </c>
      <c r="AG721" s="136">
        <v>11.33</v>
      </c>
      <c r="AH721" s="136">
        <v>27.51</v>
      </c>
      <c r="AI721" s="136">
        <v>5.99</v>
      </c>
      <c r="AJ721" s="136">
        <v>4.08</v>
      </c>
      <c r="AK721" s="136">
        <v>0.49</v>
      </c>
      <c r="AL721" s="136">
        <v>3.31</v>
      </c>
      <c r="AM721" s="136">
        <v>63.95</v>
      </c>
      <c r="AN721" s="131"/>
      <c r="AO721" s="131"/>
      <c r="AP721" s="131"/>
      <c r="AQ721" s="131"/>
      <c r="AR721" s="131"/>
      <c r="AS721" s="131"/>
      <c r="AT721" s="131"/>
      <c r="AU721" s="91"/>
      <c r="AV721" s="91"/>
      <c r="AW721" s="131"/>
      <c r="AX721" s="131"/>
      <c r="AY721" s="131"/>
    </row>
    <row r="722" spans="1:51" ht="15" x14ac:dyDescent="0.25">
      <c r="A722" s="123"/>
      <c r="B722" s="124"/>
      <c r="C722" s="125">
        <v>72001</v>
      </c>
      <c r="D722" s="89"/>
      <c r="E722" s="86" t="s">
        <v>27</v>
      </c>
      <c r="F722" s="86" t="s">
        <v>418</v>
      </c>
      <c r="H722" s="126" t="s">
        <v>51</v>
      </c>
      <c r="I722" s="89">
        <v>1</v>
      </c>
      <c r="J722" s="127">
        <v>36953.209900000002</v>
      </c>
      <c r="K722" s="127">
        <v>56546.509999999995</v>
      </c>
      <c r="L722" s="127">
        <v>7122.36</v>
      </c>
      <c r="M722" s="127">
        <v>19283.209900000013</v>
      </c>
      <c r="N722" s="127">
        <v>47201.509999999995</v>
      </c>
      <c r="O722" s="127">
        <v>6357.36</v>
      </c>
      <c r="P722" s="128">
        <f t="shared" si="99"/>
        <v>0.52182773708110297</v>
      </c>
      <c r="Q722" s="128">
        <f t="shared" si="100"/>
        <v>0.83473781140516012</v>
      </c>
      <c r="R722" s="128">
        <f t="shared" si="101"/>
        <v>0.89259178137583606</v>
      </c>
      <c r="S722" s="129">
        <v>1</v>
      </c>
      <c r="T722" s="129">
        <v>1</v>
      </c>
      <c r="U722" s="129">
        <v>1</v>
      </c>
      <c r="V722" s="138">
        <f t="shared" si="102"/>
        <v>3</v>
      </c>
      <c r="W722" s="138">
        <f t="shared" si="103"/>
        <v>3</v>
      </c>
      <c r="X722" s="138">
        <f t="shared" si="104"/>
        <v>1</v>
      </c>
      <c r="Y722" s="138">
        <f t="shared" si="105"/>
        <v>3</v>
      </c>
      <c r="Z722" s="138">
        <f t="shared" si="106"/>
        <v>3</v>
      </c>
      <c r="AA722" s="138">
        <f t="shared" si="107"/>
        <v>1</v>
      </c>
      <c r="AB722" s="127" t="s">
        <v>32</v>
      </c>
      <c r="AC722" s="127"/>
      <c r="AD722" s="127"/>
      <c r="AE722" s="130"/>
      <c r="AF722" s="136">
        <v>11.24</v>
      </c>
      <c r="AG722" s="136">
        <v>11.33</v>
      </c>
      <c r="AH722" s="136">
        <v>27.51</v>
      </c>
      <c r="AI722" s="136">
        <v>5.99</v>
      </c>
      <c r="AJ722" s="136">
        <v>4.08</v>
      </c>
      <c r="AK722" s="136">
        <v>0.49</v>
      </c>
      <c r="AL722" s="136">
        <v>3.31</v>
      </c>
      <c r="AM722" s="136">
        <v>63.95</v>
      </c>
      <c r="AN722" s="131"/>
      <c r="AO722" s="131"/>
      <c r="AP722" s="131"/>
      <c r="AQ722" s="131"/>
      <c r="AR722" s="131"/>
      <c r="AS722" s="131"/>
      <c r="AT722" s="131"/>
      <c r="AU722" s="91"/>
      <c r="AV722" s="91"/>
      <c r="AW722" s="131"/>
      <c r="AX722" s="131"/>
      <c r="AY722" s="131"/>
    </row>
    <row r="723" spans="1:51" ht="15" x14ac:dyDescent="0.25">
      <c r="A723" s="123"/>
      <c r="B723" s="124"/>
      <c r="C723" s="125">
        <v>106870</v>
      </c>
      <c r="D723" s="89"/>
      <c r="E723" s="86" t="s">
        <v>27</v>
      </c>
      <c r="F723" s="86" t="s">
        <v>418</v>
      </c>
      <c r="H723" s="126" t="s">
        <v>51</v>
      </c>
      <c r="I723" s="89">
        <v>1</v>
      </c>
      <c r="J723" s="127">
        <v>36953.209900000002</v>
      </c>
      <c r="K723" s="127">
        <v>56546.509999999995</v>
      </c>
      <c r="L723" s="127">
        <v>7122.36</v>
      </c>
      <c r="M723" s="127">
        <v>19283.209900000013</v>
      </c>
      <c r="N723" s="127">
        <v>47201.509999999995</v>
      </c>
      <c r="O723" s="127">
        <v>6357.36</v>
      </c>
      <c r="P723" s="128">
        <f t="shared" si="99"/>
        <v>0.52182773708110297</v>
      </c>
      <c r="Q723" s="128">
        <f t="shared" si="100"/>
        <v>0.83473781140516012</v>
      </c>
      <c r="R723" s="128">
        <f t="shared" si="101"/>
        <v>0.89259178137583606</v>
      </c>
      <c r="S723" s="129">
        <v>1</v>
      </c>
      <c r="T723" s="129">
        <v>1</v>
      </c>
      <c r="U723" s="129">
        <v>1</v>
      </c>
      <c r="V723" s="138">
        <f t="shared" si="102"/>
        <v>3</v>
      </c>
      <c r="W723" s="138">
        <f t="shared" si="103"/>
        <v>3</v>
      </c>
      <c r="X723" s="138">
        <f t="shared" si="104"/>
        <v>1</v>
      </c>
      <c r="Y723" s="138">
        <f t="shared" si="105"/>
        <v>3</v>
      </c>
      <c r="Z723" s="138">
        <f t="shared" si="106"/>
        <v>3</v>
      </c>
      <c r="AA723" s="138">
        <f t="shared" si="107"/>
        <v>1</v>
      </c>
      <c r="AB723" s="127" t="s">
        <v>32</v>
      </c>
      <c r="AC723" s="127"/>
      <c r="AD723" s="127"/>
      <c r="AE723" s="130"/>
      <c r="AF723" s="136">
        <v>11.24</v>
      </c>
      <c r="AG723" s="136">
        <v>11.33</v>
      </c>
      <c r="AH723" s="136">
        <v>27.51</v>
      </c>
      <c r="AI723" s="136">
        <v>5.99</v>
      </c>
      <c r="AJ723" s="136">
        <v>4.08</v>
      </c>
      <c r="AK723" s="136">
        <v>0.49</v>
      </c>
      <c r="AL723" s="136">
        <v>3.31</v>
      </c>
      <c r="AM723" s="136">
        <v>63.95</v>
      </c>
      <c r="AN723" s="131"/>
      <c r="AO723" s="131"/>
      <c r="AP723" s="131"/>
      <c r="AQ723" s="131"/>
      <c r="AR723" s="131"/>
      <c r="AS723" s="131"/>
      <c r="AT723" s="131"/>
      <c r="AU723" s="91"/>
      <c r="AV723" s="91"/>
      <c r="AW723" s="131"/>
      <c r="AX723" s="131"/>
      <c r="AY723" s="131"/>
    </row>
    <row r="724" spans="1:51" ht="15" x14ac:dyDescent="0.25">
      <c r="A724" s="123"/>
      <c r="B724" s="124"/>
      <c r="C724" s="125">
        <v>156226</v>
      </c>
      <c r="D724" s="89"/>
      <c r="E724" s="86" t="s">
        <v>27</v>
      </c>
      <c r="F724" s="86" t="s">
        <v>418</v>
      </c>
      <c r="H724" s="126" t="s">
        <v>51</v>
      </c>
      <c r="I724" s="89">
        <v>1</v>
      </c>
      <c r="J724" s="127">
        <v>36953.209900000002</v>
      </c>
      <c r="K724" s="127">
        <v>56546.509999999995</v>
      </c>
      <c r="L724" s="127">
        <v>7122.36</v>
      </c>
      <c r="M724" s="127">
        <v>19283.209900000013</v>
      </c>
      <c r="N724" s="127">
        <v>47201.509999999995</v>
      </c>
      <c r="O724" s="127">
        <v>6357.36</v>
      </c>
      <c r="P724" s="128">
        <f t="shared" si="99"/>
        <v>0.52182773708110297</v>
      </c>
      <c r="Q724" s="128">
        <f t="shared" si="100"/>
        <v>0.83473781140516012</v>
      </c>
      <c r="R724" s="128">
        <f t="shared" si="101"/>
        <v>0.89259178137583606</v>
      </c>
      <c r="S724" s="129">
        <v>1</v>
      </c>
      <c r="T724" s="129">
        <v>1</v>
      </c>
      <c r="U724" s="129">
        <v>1</v>
      </c>
      <c r="V724" s="138">
        <f t="shared" si="102"/>
        <v>3</v>
      </c>
      <c r="W724" s="138">
        <f t="shared" si="103"/>
        <v>3</v>
      </c>
      <c r="X724" s="138">
        <f t="shared" si="104"/>
        <v>1</v>
      </c>
      <c r="Y724" s="138">
        <f t="shared" si="105"/>
        <v>3</v>
      </c>
      <c r="Z724" s="138">
        <f t="shared" si="106"/>
        <v>3</v>
      </c>
      <c r="AA724" s="138">
        <f t="shared" si="107"/>
        <v>1</v>
      </c>
      <c r="AB724" s="127" t="s">
        <v>32</v>
      </c>
      <c r="AC724" s="127"/>
      <c r="AD724" s="127"/>
      <c r="AE724" s="130"/>
      <c r="AF724" s="136">
        <v>11.24</v>
      </c>
      <c r="AG724" s="136">
        <v>11.33</v>
      </c>
      <c r="AH724" s="136">
        <v>27.51</v>
      </c>
      <c r="AI724" s="136">
        <v>5.99</v>
      </c>
      <c r="AJ724" s="136">
        <v>4.08</v>
      </c>
      <c r="AK724" s="136">
        <v>0.49</v>
      </c>
      <c r="AL724" s="136">
        <v>3.31</v>
      </c>
      <c r="AM724" s="136">
        <v>63.95</v>
      </c>
      <c r="AN724" s="131"/>
      <c r="AO724" s="131"/>
      <c r="AP724" s="131"/>
      <c r="AQ724" s="131"/>
      <c r="AR724" s="131"/>
      <c r="AS724" s="131"/>
      <c r="AT724" s="131"/>
      <c r="AU724" s="91"/>
      <c r="AV724" s="91"/>
      <c r="AW724" s="131"/>
      <c r="AX724" s="131"/>
      <c r="AY724" s="131"/>
    </row>
    <row r="725" spans="1:51" ht="15" x14ac:dyDescent="0.25">
      <c r="A725" s="123"/>
      <c r="B725" s="124"/>
      <c r="C725" s="125">
        <v>298835</v>
      </c>
      <c r="D725" s="89"/>
      <c r="E725" s="86" t="s">
        <v>27</v>
      </c>
      <c r="F725" s="86" t="s">
        <v>418</v>
      </c>
      <c r="H725" s="126" t="s">
        <v>51</v>
      </c>
      <c r="I725" s="89">
        <v>2</v>
      </c>
      <c r="J725" s="127">
        <v>36953.209900000002</v>
      </c>
      <c r="K725" s="127">
        <v>56546.509999999995</v>
      </c>
      <c r="L725" s="127">
        <v>7122.36</v>
      </c>
      <c r="M725" s="127">
        <v>19283.209900000013</v>
      </c>
      <c r="N725" s="127">
        <v>47201.509999999995</v>
      </c>
      <c r="O725" s="127">
        <v>6357.36</v>
      </c>
      <c r="P725" s="128">
        <f t="shared" si="99"/>
        <v>0.52182773708110297</v>
      </c>
      <c r="Q725" s="128">
        <f t="shared" si="100"/>
        <v>0.83473781140516012</v>
      </c>
      <c r="R725" s="128">
        <f t="shared" si="101"/>
        <v>0.89259178137583606</v>
      </c>
      <c r="S725" s="129">
        <v>1</v>
      </c>
      <c r="T725" s="129">
        <v>1</v>
      </c>
      <c r="U725" s="129">
        <v>1</v>
      </c>
      <c r="V725" s="138">
        <f t="shared" si="102"/>
        <v>4</v>
      </c>
      <c r="W725" s="138">
        <f t="shared" si="103"/>
        <v>4</v>
      </c>
      <c r="X725" s="138">
        <f t="shared" si="104"/>
        <v>2</v>
      </c>
      <c r="Y725" s="138">
        <f t="shared" si="105"/>
        <v>4</v>
      </c>
      <c r="Z725" s="138">
        <f t="shared" si="106"/>
        <v>4</v>
      </c>
      <c r="AA725" s="138">
        <f t="shared" si="107"/>
        <v>1</v>
      </c>
      <c r="AB725" s="127" t="s">
        <v>32</v>
      </c>
      <c r="AC725" s="127"/>
      <c r="AD725" s="127"/>
      <c r="AE725" s="130"/>
      <c r="AF725" s="136">
        <v>14.98</v>
      </c>
      <c r="AG725" s="136">
        <v>11.33</v>
      </c>
      <c r="AH725" s="136">
        <v>36.68</v>
      </c>
      <c r="AI725" s="136">
        <v>5.99</v>
      </c>
      <c r="AJ725" s="136">
        <v>4.08</v>
      </c>
      <c r="AK725" s="136">
        <v>0.49</v>
      </c>
      <c r="AL725" s="136">
        <v>3.31</v>
      </c>
      <c r="AM725" s="136">
        <v>76.86</v>
      </c>
      <c r="AN725" s="131"/>
      <c r="AO725" s="131"/>
      <c r="AP725" s="131"/>
      <c r="AQ725" s="131"/>
      <c r="AR725" s="131"/>
      <c r="AS725" s="131"/>
      <c r="AT725" s="131"/>
      <c r="AU725" s="91"/>
      <c r="AV725" s="91"/>
      <c r="AW725" s="131"/>
      <c r="AX725" s="131"/>
      <c r="AY725" s="131"/>
    </row>
    <row r="726" spans="1:51" ht="15" x14ac:dyDescent="0.25">
      <c r="A726" s="123"/>
      <c r="B726" s="124"/>
      <c r="C726" s="125">
        <v>373750</v>
      </c>
      <c r="D726" s="89"/>
      <c r="E726" s="86" t="s">
        <v>27</v>
      </c>
      <c r="F726" s="86" t="s">
        <v>418</v>
      </c>
      <c r="H726" s="126" t="s">
        <v>51</v>
      </c>
      <c r="I726" s="89">
        <v>1</v>
      </c>
      <c r="J726" s="127">
        <v>36953.209900000002</v>
      </c>
      <c r="K726" s="127">
        <v>56546.509999999995</v>
      </c>
      <c r="L726" s="127">
        <v>7122.36</v>
      </c>
      <c r="M726" s="127">
        <v>19283.209900000013</v>
      </c>
      <c r="N726" s="127">
        <v>47201.509999999995</v>
      </c>
      <c r="O726" s="127">
        <v>6357.36</v>
      </c>
      <c r="P726" s="128">
        <f t="shared" si="99"/>
        <v>0.52182773708110297</v>
      </c>
      <c r="Q726" s="128">
        <f t="shared" si="100"/>
        <v>0.83473781140516012</v>
      </c>
      <c r="R726" s="128">
        <f t="shared" si="101"/>
        <v>0.89259178137583606</v>
      </c>
      <c r="S726" s="129">
        <v>1</v>
      </c>
      <c r="T726" s="129">
        <v>1</v>
      </c>
      <c r="U726" s="129">
        <v>1</v>
      </c>
      <c r="V726" s="138">
        <f t="shared" si="102"/>
        <v>3</v>
      </c>
      <c r="W726" s="138">
        <f t="shared" si="103"/>
        <v>3</v>
      </c>
      <c r="X726" s="138">
        <f t="shared" si="104"/>
        <v>1</v>
      </c>
      <c r="Y726" s="138">
        <f t="shared" si="105"/>
        <v>3</v>
      </c>
      <c r="Z726" s="138">
        <f t="shared" si="106"/>
        <v>3</v>
      </c>
      <c r="AA726" s="138">
        <f t="shared" si="107"/>
        <v>1</v>
      </c>
      <c r="AB726" s="127" t="s">
        <v>32</v>
      </c>
      <c r="AC726" s="127"/>
      <c r="AD726" s="127"/>
      <c r="AE726" s="130"/>
      <c r="AF726" s="136">
        <v>11.24</v>
      </c>
      <c r="AG726" s="136">
        <v>11.33</v>
      </c>
      <c r="AH726" s="136">
        <v>27.51</v>
      </c>
      <c r="AI726" s="136">
        <v>5.99</v>
      </c>
      <c r="AJ726" s="136">
        <v>4.08</v>
      </c>
      <c r="AK726" s="136">
        <v>0.49</v>
      </c>
      <c r="AL726" s="136">
        <v>3.31</v>
      </c>
      <c r="AM726" s="136">
        <v>63.95</v>
      </c>
      <c r="AN726" s="131"/>
      <c r="AO726" s="131"/>
      <c r="AP726" s="131"/>
      <c r="AQ726" s="131"/>
      <c r="AR726" s="131"/>
      <c r="AS726" s="131"/>
      <c r="AT726" s="131"/>
      <c r="AU726" s="91"/>
      <c r="AV726" s="91"/>
      <c r="AW726" s="131"/>
      <c r="AX726" s="131"/>
      <c r="AY726" s="131"/>
    </row>
    <row r="727" spans="1:51" ht="15" x14ac:dyDescent="0.25">
      <c r="A727" s="123"/>
      <c r="B727" s="124"/>
      <c r="C727" s="125">
        <v>374356</v>
      </c>
      <c r="D727" s="89"/>
      <c r="E727" s="86" t="s">
        <v>27</v>
      </c>
      <c r="F727" s="86" t="s">
        <v>418</v>
      </c>
      <c r="H727" s="126" t="s">
        <v>51</v>
      </c>
      <c r="I727" s="89">
        <v>1</v>
      </c>
      <c r="J727" s="127">
        <v>36953.209900000002</v>
      </c>
      <c r="K727" s="127">
        <v>56546.509999999995</v>
      </c>
      <c r="L727" s="127">
        <v>7122.36</v>
      </c>
      <c r="M727" s="127">
        <v>19283.209900000013</v>
      </c>
      <c r="N727" s="127">
        <v>47201.509999999995</v>
      </c>
      <c r="O727" s="127">
        <v>6357.36</v>
      </c>
      <c r="P727" s="128">
        <f t="shared" si="99"/>
        <v>0.52182773708110297</v>
      </c>
      <c r="Q727" s="128">
        <f t="shared" si="100"/>
        <v>0.83473781140516012</v>
      </c>
      <c r="R727" s="128">
        <f t="shared" si="101"/>
        <v>0.89259178137583606</v>
      </c>
      <c r="S727" s="129">
        <v>1</v>
      </c>
      <c r="T727" s="129">
        <v>1</v>
      </c>
      <c r="U727" s="129">
        <v>1</v>
      </c>
      <c r="V727" s="138">
        <f t="shared" si="102"/>
        <v>3</v>
      </c>
      <c r="W727" s="138">
        <f t="shared" si="103"/>
        <v>3</v>
      </c>
      <c r="X727" s="138">
        <f t="shared" si="104"/>
        <v>1</v>
      </c>
      <c r="Y727" s="138">
        <f t="shared" si="105"/>
        <v>3</v>
      </c>
      <c r="Z727" s="138">
        <f t="shared" si="106"/>
        <v>3</v>
      </c>
      <c r="AA727" s="138">
        <f t="shared" si="107"/>
        <v>1</v>
      </c>
      <c r="AB727" s="127" t="s">
        <v>32</v>
      </c>
      <c r="AC727" s="127"/>
      <c r="AD727" s="127"/>
      <c r="AE727" s="130"/>
      <c r="AF727" s="136">
        <v>11.24</v>
      </c>
      <c r="AG727" s="136">
        <v>11.33</v>
      </c>
      <c r="AH727" s="136">
        <v>27.51</v>
      </c>
      <c r="AI727" s="136">
        <v>5.99</v>
      </c>
      <c r="AJ727" s="136">
        <v>4.08</v>
      </c>
      <c r="AK727" s="136">
        <v>0.49</v>
      </c>
      <c r="AL727" s="136">
        <v>3.31</v>
      </c>
      <c r="AM727" s="136">
        <v>63.95</v>
      </c>
      <c r="AN727" s="131"/>
      <c r="AO727" s="131"/>
      <c r="AP727" s="131"/>
      <c r="AQ727" s="131"/>
      <c r="AR727" s="131"/>
      <c r="AS727" s="131"/>
      <c r="AT727" s="131"/>
      <c r="AU727" s="91"/>
      <c r="AV727" s="91"/>
      <c r="AW727" s="131"/>
      <c r="AX727" s="131"/>
      <c r="AY727" s="131"/>
    </row>
    <row r="728" spans="1:51" ht="15" x14ac:dyDescent="0.25">
      <c r="A728" s="123"/>
      <c r="B728" s="124"/>
      <c r="C728" s="125">
        <v>451807</v>
      </c>
      <c r="D728" s="89"/>
      <c r="E728" s="86" t="s">
        <v>27</v>
      </c>
      <c r="F728" s="86" t="s">
        <v>418</v>
      </c>
      <c r="H728" s="126" t="s">
        <v>51</v>
      </c>
      <c r="I728" s="89">
        <v>1</v>
      </c>
      <c r="J728" s="127">
        <v>36953.209900000002</v>
      </c>
      <c r="K728" s="127">
        <v>56546.509999999995</v>
      </c>
      <c r="L728" s="127">
        <v>7122.36</v>
      </c>
      <c r="M728" s="127">
        <v>19283.209900000013</v>
      </c>
      <c r="N728" s="127">
        <v>47201.509999999995</v>
      </c>
      <c r="O728" s="127">
        <v>6357.36</v>
      </c>
      <c r="P728" s="128">
        <f t="shared" si="99"/>
        <v>0.52182773708110297</v>
      </c>
      <c r="Q728" s="128">
        <f t="shared" si="100"/>
        <v>0.83473781140516012</v>
      </c>
      <c r="R728" s="128">
        <f t="shared" si="101"/>
        <v>0.89259178137583606</v>
      </c>
      <c r="S728" s="129">
        <v>1</v>
      </c>
      <c r="T728" s="129">
        <v>1</v>
      </c>
      <c r="U728" s="129">
        <v>1</v>
      </c>
      <c r="V728" s="138">
        <f t="shared" si="102"/>
        <v>3</v>
      </c>
      <c r="W728" s="138">
        <f t="shared" si="103"/>
        <v>3</v>
      </c>
      <c r="X728" s="138">
        <f t="shared" si="104"/>
        <v>1</v>
      </c>
      <c r="Y728" s="138">
        <f t="shared" si="105"/>
        <v>3</v>
      </c>
      <c r="Z728" s="138">
        <f t="shared" si="106"/>
        <v>3</v>
      </c>
      <c r="AA728" s="138">
        <f t="shared" si="107"/>
        <v>1</v>
      </c>
      <c r="AB728" s="127" t="s">
        <v>32</v>
      </c>
      <c r="AC728" s="127"/>
      <c r="AD728" s="127"/>
      <c r="AE728" s="130"/>
      <c r="AF728" s="136">
        <v>11.24</v>
      </c>
      <c r="AG728" s="136">
        <v>11.33</v>
      </c>
      <c r="AH728" s="136">
        <v>27.51</v>
      </c>
      <c r="AI728" s="136">
        <v>5.99</v>
      </c>
      <c r="AJ728" s="136">
        <v>4.08</v>
      </c>
      <c r="AK728" s="136">
        <v>0.49</v>
      </c>
      <c r="AL728" s="136">
        <v>3.31</v>
      </c>
      <c r="AM728" s="136">
        <v>63.95</v>
      </c>
      <c r="AN728" s="131"/>
      <c r="AO728" s="131"/>
      <c r="AP728" s="131"/>
      <c r="AQ728" s="131"/>
      <c r="AR728" s="131"/>
      <c r="AS728" s="131"/>
      <c r="AT728" s="131"/>
      <c r="AU728" s="91"/>
      <c r="AV728" s="91"/>
      <c r="AW728" s="131"/>
      <c r="AX728" s="131"/>
      <c r="AY728" s="131"/>
    </row>
    <row r="729" spans="1:51" ht="15" x14ac:dyDescent="0.25">
      <c r="A729" s="123"/>
      <c r="B729" s="124"/>
      <c r="C729" s="125">
        <v>458977</v>
      </c>
      <c r="D729" s="89"/>
      <c r="E729" s="86" t="s">
        <v>27</v>
      </c>
      <c r="F729" s="86" t="s">
        <v>418</v>
      </c>
      <c r="H729" s="126" t="s">
        <v>51</v>
      </c>
      <c r="I729" s="89">
        <v>1</v>
      </c>
      <c r="J729" s="127">
        <v>36953.209900000002</v>
      </c>
      <c r="K729" s="127">
        <v>56546.509999999995</v>
      </c>
      <c r="L729" s="127">
        <v>7122.36</v>
      </c>
      <c r="M729" s="127">
        <v>19283.209900000013</v>
      </c>
      <c r="N729" s="127">
        <v>47201.509999999995</v>
      </c>
      <c r="O729" s="127">
        <v>6357.36</v>
      </c>
      <c r="P729" s="128">
        <f t="shared" si="99"/>
        <v>0.52182773708110297</v>
      </c>
      <c r="Q729" s="128">
        <f t="shared" si="100"/>
        <v>0.83473781140516012</v>
      </c>
      <c r="R729" s="128">
        <f t="shared" si="101"/>
        <v>0.89259178137583606</v>
      </c>
      <c r="S729" s="129">
        <v>1</v>
      </c>
      <c r="T729" s="129">
        <v>1</v>
      </c>
      <c r="U729" s="129">
        <v>1</v>
      </c>
      <c r="V729" s="138">
        <f t="shared" si="102"/>
        <v>3</v>
      </c>
      <c r="W729" s="138">
        <f t="shared" si="103"/>
        <v>3</v>
      </c>
      <c r="X729" s="138">
        <f t="shared" si="104"/>
        <v>1</v>
      </c>
      <c r="Y729" s="138">
        <f t="shared" si="105"/>
        <v>3</v>
      </c>
      <c r="Z729" s="138">
        <f t="shared" si="106"/>
        <v>3</v>
      </c>
      <c r="AA729" s="138">
        <f t="shared" si="107"/>
        <v>1</v>
      </c>
      <c r="AB729" s="127" t="s">
        <v>32</v>
      </c>
      <c r="AC729" s="127"/>
      <c r="AD729" s="127"/>
      <c r="AE729" s="130"/>
      <c r="AF729" s="136">
        <v>11.24</v>
      </c>
      <c r="AG729" s="136">
        <v>11.33</v>
      </c>
      <c r="AH729" s="136">
        <v>27.51</v>
      </c>
      <c r="AI729" s="136">
        <v>5.99</v>
      </c>
      <c r="AJ729" s="136">
        <v>4.08</v>
      </c>
      <c r="AK729" s="136">
        <v>0.49</v>
      </c>
      <c r="AL729" s="136">
        <v>3.31</v>
      </c>
      <c r="AM729" s="136">
        <v>63.95</v>
      </c>
      <c r="AN729" s="131"/>
      <c r="AO729" s="131"/>
      <c r="AP729" s="131"/>
      <c r="AQ729" s="131"/>
      <c r="AR729" s="131"/>
      <c r="AS729" s="131"/>
      <c r="AT729" s="131"/>
      <c r="AU729" s="91"/>
      <c r="AV729" s="91"/>
      <c r="AW729" s="131"/>
      <c r="AX729" s="131"/>
      <c r="AY729" s="131"/>
    </row>
    <row r="730" spans="1:51" ht="15" x14ac:dyDescent="0.25">
      <c r="A730" s="123"/>
      <c r="B730" s="124"/>
      <c r="C730" s="125">
        <v>544400</v>
      </c>
      <c r="D730" s="89"/>
      <c r="E730" s="86" t="s">
        <v>27</v>
      </c>
      <c r="F730" s="86" t="s">
        <v>418</v>
      </c>
      <c r="H730" s="126" t="s">
        <v>51</v>
      </c>
      <c r="I730" s="89">
        <v>2</v>
      </c>
      <c r="J730" s="127">
        <v>36953.209900000002</v>
      </c>
      <c r="K730" s="127">
        <v>56546.509999999995</v>
      </c>
      <c r="L730" s="127">
        <v>7122.36</v>
      </c>
      <c r="M730" s="127">
        <v>19283.209900000013</v>
      </c>
      <c r="N730" s="127">
        <v>47201.509999999995</v>
      </c>
      <c r="O730" s="127">
        <v>6357.36</v>
      </c>
      <c r="P730" s="128">
        <f t="shared" si="99"/>
        <v>0.52182773708110297</v>
      </c>
      <c r="Q730" s="128">
        <f t="shared" si="100"/>
        <v>0.83473781140516012</v>
      </c>
      <c r="R730" s="128">
        <f t="shared" si="101"/>
        <v>0.89259178137583606</v>
      </c>
      <c r="S730" s="129">
        <v>1</v>
      </c>
      <c r="T730" s="129">
        <v>1</v>
      </c>
      <c r="U730" s="129">
        <v>1</v>
      </c>
      <c r="V730" s="138">
        <f t="shared" si="102"/>
        <v>4</v>
      </c>
      <c r="W730" s="138">
        <f t="shared" si="103"/>
        <v>4</v>
      </c>
      <c r="X730" s="138">
        <f t="shared" si="104"/>
        <v>2</v>
      </c>
      <c r="Y730" s="138">
        <f t="shared" si="105"/>
        <v>4</v>
      </c>
      <c r="Z730" s="138">
        <f t="shared" si="106"/>
        <v>4</v>
      </c>
      <c r="AA730" s="138">
        <f t="shared" si="107"/>
        <v>1</v>
      </c>
      <c r="AB730" s="127" t="s">
        <v>32</v>
      </c>
      <c r="AC730" s="127"/>
      <c r="AD730" s="127"/>
      <c r="AE730" s="130"/>
      <c r="AF730" s="136">
        <v>14.98</v>
      </c>
      <c r="AG730" s="136">
        <v>11.33</v>
      </c>
      <c r="AH730" s="136">
        <v>36.68</v>
      </c>
      <c r="AI730" s="136">
        <v>5.99</v>
      </c>
      <c r="AJ730" s="136">
        <v>4.08</v>
      </c>
      <c r="AK730" s="136">
        <v>0.49</v>
      </c>
      <c r="AL730" s="136">
        <v>3.31</v>
      </c>
      <c r="AM730" s="136">
        <v>76.86</v>
      </c>
      <c r="AN730" s="131"/>
      <c r="AO730" s="131"/>
      <c r="AP730" s="131"/>
      <c r="AQ730" s="131"/>
      <c r="AR730" s="131"/>
      <c r="AS730" s="131"/>
      <c r="AT730" s="131"/>
      <c r="AU730" s="91"/>
      <c r="AV730" s="91"/>
      <c r="AW730" s="131"/>
      <c r="AX730" s="131"/>
      <c r="AY730" s="131"/>
    </row>
    <row r="731" spans="1:51" ht="15" x14ac:dyDescent="0.25">
      <c r="A731" s="123"/>
      <c r="B731" s="124"/>
      <c r="C731" s="125">
        <v>605784</v>
      </c>
      <c r="D731" s="89"/>
      <c r="E731" s="86" t="s">
        <v>27</v>
      </c>
      <c r="F731" s="86" t="s">
        <v>418</v>
      </c>
      <c r="H731" s="126" t="s">
        <v>51</v>
      </c>
      <c r="I731" s="89">
        <v>1</v>
      </c>
      <c r="J731" s="127">
        <v>36953.209900000002</v>
      </c>
      <c r="K731" s="127">
        <v>56546.509999999995</v>
      </c>
      <c r="L731" s="127">
        <v>7122.36</v>
      </c>
      <c r="M731" s="127">
        <v>19283.209900000013</v>
      </c>
      <c r="N731" s="127">
        <v>47201.509999999995</v>
      </c>
      <c r="O731" s="127">
        <v>6357.36</v>
      </c>
      <c r="P731" s="128">
        <f t="shared" si="99"/>
        <v>0.52182773708110297</v>
      </c>
      <c r="Q731" s="128">
        <f t="shared" si="100"/>
        <v>0.83473781140516012</v>
      </c>
      <c r="R731" s="128">
        <f t="shared" si="101"/>
        <v>0.89259178137583606</v>
      </c>
      <c r="S731" s="129">
        <v>1</v>
      </c>
      <c r="T731" s="129">
        <v>1</v>
      </c>
      <c r="U731" s="129">
        <v>1</v>
      </c>
      <c r="V731" s="138">
        <f t="shared" si="102"/>
        <v>3</v>
      </c>
      <c r="W731" s="138">
        <f t="shared" si="103"/>
        <v>3</v>
      </c>
      <c r="X731" s="138">
        <f t="shared" si="104"/>
        <v>1</v>
      </c>
      <c r="Y731" s="138">
        <f t="shared" si="105"/>
        <v>3</v>
      </c>
      <c r="Z731" s="138">
        <f t="shared" si="106"/>
        <v>3</v>
      </c>
      <c r="AA731" s="138">
        <f t="shared" si="107"/>
        <v>1</v>
      </c>
      <c r="AB731" s="127" t="s">
        <v>32</v>
      </c>
      <c r="AC731" s="127"/>
      <c r="AD731" s="127"/>
      <c r="AE731" s="130"/>
      <c r="AF731" s="136">
        <v>11.24</v>
      </c>
      <c r="AG731" s="136">
        <v>11.33</v>
      </c>
      <c r="AH731" s="136">
        <v>27.51</v>
      </c>
      <c r="AI731" s="136">
        <v>5.99</v>
      </c>
      <c r="AJ731" s="136">
        <v>4.08</v>
      </c>
      <c r="AK731" s="136">
        <v>0.49</v>
      </c>
      <c r="AL731" s="136">
        <v>3.31</v>
      </c>
      <c r="AM731" s="136">
        <v>63.95</v>
      </c>
      <c r="AN731" s="131"/>
      <c r="AO731" s="131"/>
      <c r="AP731" s="131"/>
      <c r="AQ731" s="131"/>
      <c r="AR731" s="131"/>
      <c r="AS731" s="131"/>
      <c r="AT731" s="131"/>
      <c r="AU731" s="91"/>
      <c r="AV731" s="91"/>
      <c r="AW731" s="131"/>
      <c r="AX731" s="131"/>
      <c r="AY731" s="131"/>
    </row>
    <row r="732" spans="1:51" ht="15" x14ac:dyDescent="0.25">
      <c r="A732" s="123"/>
      <c r="B732" s="124"/>
      <c r="C732" s="125">
        <v>639166</v>
      </c>
      <c r="D732" s="89"/>
      <c r="E732" s="86" t="s">
        <v>27</v>
      </c>
      <c r="F732" s="86" t="s">
        <v>418</v>
      </c>
      <c r="H732" s="126" t="s">
        <v>51</v>
      </c>
      <c r="I732" s="89">
        <v>1</v>
      </c>
      <c r="J732" s="127">
        <v>36953.209900000002</v>
      </c>
      <c r="K732" s="127">
        <v>56546.509999999995</v>
      </c>
      <c r="L732" s="127">
        <v>7122.36</v>
      </c>
      <c r="M732" s="127">
        <v>19283.209900000013</v>
      </c>
      <c r="N732" s="127">
        <v>47201.509999999995</v>
      </c>
      <c r="O732" s="127">
        <v>6357.36</v>
      </c>
      <c r="P732" s="128">
        <f t="shared" si="99"/>
        <v>0.52182773708110297</v>
      </c>
      <c r="Q732" s="128">
        <f t="shared" si="100"/>
        <v>0.83473781140516012</v>
      </c>
      <c r="R732" s="128">
        <f t="shared" si="101"/>
        <v>0.89259178137583606</v>
      </c>
      <c r="S732" s="129">
        <v>1</v>
      </c>
      <c r="T732" s="129">
        <v>1</v>
      </c>
      <c r="U732" s="129">
        <v>1</v>
      </c>
      <c r="V732" s="138">
        <f t="shared" si="102"/>
        <v>3</v>
      </c>
      <c r="W732" s="138">
        <f t="shared" si="103"/>
        <v>3</v>
      </c>
      <c r="X732" s="138">
        <f t="shared" si="104"/>
        <v>1</v>
      </c>
      <c r="Y732" s="138">
        <f t="shared" si="105"/>
        <v>3</v>
      </c>
      <c r="Z732" s="138">
        <f t="shared" si="106"/>
        <v>3</v>
      </c>
      <c r="AA732" s="138">
        <f t="shared" si="107"/>
        <v>1</v>
      </c>
      <c r="AB732" s="127" t="s">
        <v>32</v>
      </c>
      <c r="AC732" s="127"/>
      <c r="AD732" s="127"/>
      <c r="AE732" s="130"/>
      <c r="AF732" s="136">
        <v>11.24</v>
      </c>
      <c r="AG732" s="136">
        <v>11.33</v>
      </c>
      <c r="AH732" s="136">
        <v>27.51</v>
      </c>
      <c r="AI732" s="136">
        <v>5.99</v>
      </c>
      <c r="AJ732" s="136">
        <v>4.08</v>
      </c>
      <c r="AK732" s="136">
        <v>0.49</v>
      </c>
      <c r="AL732" s="136">
        <v>3.31</v>
      </c>
      <c r="AM732" s="136">
        <v>63.95</v>
      </c>
      <c r="AN732" s="131"/>
      <c r="AO732" s="131"/>
      <c r="AP732" s="131"/>
      <c r="AQ732" s="131"/>
      <c r="AR732" s="131"/>
      <c r="AS732" s="131"/>
      <c r="AT732" s="131"/>
      <c r="AU732" s="91"/>
      <c r="AV732" s="91"/>
      <c r="AW732" s="131"/>
      <c r="AX732" s="131"/>
      <c r="AY732" s="131"/>
    </row>
    <row r="733" spans="1:51" ht="15" x14ac:dyDescent="0.25">
      <c r="A733" s="123"/>
      <c r="B733" s="124"/>
      <c r="C733" s="125">
        <v>679705</v>
      </c>
      <c r="D733" s="89"/>
      <c r="E733" s="86" t="s">
        <v>27</v>
      </c>
      <c r="F733" s="86" t="s">
        <v>418</v>
      </c>
      <c r="H733" s="126" t="s">
        <v>51</v>
      </c>
      <c r="I733" s="89">
        <v>1</v>
      </c>
      <c r="J733" s="127">
        <v>36953.209900000002</v>
      </c>
      <c r="K733" s="127">
        <v>56546.509999999995</v>
      </c>
      <c r="L733" s="127">
        <v>7122.36</v>
      </c>
      <c r="M733" s="127">
        <v>19283.209900000013</v>
      </c>
      <c r="N733" s="127">
        <v>47201.509999999995</v>
      </c>
      <c r="O733" s="127">
        <v>6357.36</v>
      </c>
      <c r="P733" s="128">
        <f t="shared" si="99"/>
        <v>0.52182773708110297</v>
      </c>
      <c r="Q733" s="128">
        <f t="shared" si="100"/>
        <v>0.83473781140516012</v>
      </c>
      <c r="R733" s="128">
        <f t="shared" si="101"/>
        <v>0.89259178137583606</v>
      </c>
      <c r="S733" s="129">
        <v>1</v>
      </c>
      <c r="T733" s="129">
        <v>1</v>
      </c>
      <c r="U733" s="129">
        <v>1</v>
      </c>
      <c r="V733" s="138">
        <f t="shared" si="102"/>
        <v>3</v>
      </c>
      <c r="W733" s="138">
        <f t="shared" si="103"/>
        <v>3</v>
      </c>
      <c r="X733" s="138">
        <f t="shared" si="104"/>
        <v>1</v>
      </c>
      <c r="Y733" s="138">
        <f t="shared" si="105"/>
        <v>3</v>
      </c>
      <c r="Z733" s="138">
        <f t="shared" si="106"/>
        <v>3</v>
      </c>
      <c r="AA733" s="138">
        <f t="shared" si="107"/>
        <v>1</v>
      </c>
      <c r="AB733" s="127" t="s">
        <v>32</v>
      </c>
      <c r="AC733" s="127"/>
      <c r="AD733" s="127"/>
      <c r="AE733" s="130"/>
      <c r="AF733" s="136">
        <v>11.24</v>
      </c>
      <c r="AG733" s="136">
        <v>11.33</v>
      </c>
      <c r="AH733" s="136">
        <v>27.51</v>
      </c>
      <c r="AI733" s="136">
        <v>5.99</v>
      </c>
      <c r="AJ733" s="136">
        <v>4.08</v>
      </c>
      <c r="AK733" s="136">
        <v>0.49</v>
      </c>
      <c r="AL733" s="136">
        <v>3.31</v>
      </c>
      <c r="AM733" s="136">
        <v>63.95</v>
      </c>
      <c r="AN733" s="131"/>
      <c r="AO733" s="131"/>
      <c r="AP733" s="131"/>
      <c r="AQ733" s="131"/>
      <c r="AR733" s="131"/>
      <c r="AS733" s="131"/>
      <c r="AT733" s="131"/>
      <c r="AU733" s="91"/>
      <c r="AV733" s="91"/>
      <c r="AW733" s="131"/>
      <c r="AX733" s="131"/>
      <c r="AY733" s="131"/>
    </row>
    <row r="734" spans="1:51" ht="15" x14ac:dyDescent="0.25">
      <c r="A734" s="123"/>
      <c r="B734" s="124"/>
      <c r="C734" s="125">
        <v>697502</v>
      </c>
      <c r="D734" s="89"/>
      <c r="E734" s="86" t="s">
        <v>27</v>
      </c>
      <c r="F734" s="86" t="s">
        <v>418</v>
      </c>
      <c r="H734" s="126" t="s">
        <v>51</v>
      </c>
      <c r="I734" s="89">
        <v>1</v>
      </c>
      <c r="J734" s="127">
        <v>36953.209900000002</v>
      </c>
      <c r="K734" s="127">
        <v>56546.509999999995</v>
      </c>
      <c r="L734" s="127">
        <v>7122.36</v>
      </c>
      <c r="M734" s="127">
        <v>19283.209900000013</v>
      </c>
      <c r="N734" s="127">
        <v>47201.509999999995</v>
      </c>
      <c r="O734" s="127">
        <v>6357.36</v>
      </c>
      <c r="P734" s="128">
        <f t="shared" si="99"/>
        <v>0.52182773708110297</v>
      </c>
      <c r="Q734" s="128">
        <f t="shared" si="100"/>
        <v>0.83473781140516012</v>
      </c>
      <c r="R734" s="128">
        <f t="shared" si="101"/>
        <v>0.89259178137583606</v>
      </c>
      <c r="S734" s="129">
        <v>1</v>
      </c>
      <c r="T734" s="129">
        <v>1</v>
      </c>
      <c r="U734" s="129">
        <v>1</v>
      </c>
      <c r="V734" s="138">
        <f t="shared" si="102"/>
        <v>3</v>
      </c>
      <c r="W734" s="138">
        <f t="shared" si="103"/>
        <v>3</v>
      </c>
      <c r="X734" s="138">
        <f t="shared" si="104"/>
        <v>1</v>
      </c>
      <c r="Y734" s="138">
        <f t="shared" si="105"/>
        <v>3</v>
      </c>
      <c r="Z734" s="138">
        <f t="shared" si="106"/>
        <v>3</v>
      </c>
      <c r="AA734" s="138">
        <f t="shared" si="107"/>
        <v>1</v>
      </c>
      <c r="AB734" s="127" t="s">
        <v>32</v>
      </c>
      <c r="AC734" s="127"/>
      <c r="AD734" s="127"/>
      <c r="AE734" s="130"/>
      <c r="AF734" s="136">
        <v>11.24</v>
      </c>
      <c r="AG734" s="136">
        <v>11.33</v>
      </c>
      <c r="AH734" s="136">
        <v>27.51</v>
      </c>
      <c r="AI734" s="136">
        <v>5.99</v>
      </c>
      <c r="AJ734" s="136">
        <v>4.08</v>
      </c>
      <c r="AK734" s="136">
        <v>0.49</v>
      </c>
      <c r="AL734" s="136">
        <v>3.31</v>
      </c>
      <c r="AM734" s="136">
        <v>63.95</v>
      </c>
      <c r="AN734" s="131"/>
      <c r="AO734" s="131"/>
      <c r="AP734" s="131"/>
      <c r="AQ734" s="131"/>
      <c r="AR734" s="131"/>
      <c r="AS734" s="131"/>
      <c r="AT734" s="131"/>
      <c r="AU734" s="91"/>
      <c r="AV734" s="91"/>
      <c r="AW734" s="131"/>
      <c r="AX734" s="131"/>
      <c r="AY734" s="131"/>
    </row>
    <row r="735" spans="1:51" ht="15" x14ac:dyDescent="0.25">
      <c r="A735" s="123"/>
      <c r="B735" s="124"/>
      <c r="C735" s="125">
        <v>700235</v>
      </c>
      <c r="D735" s="89"/>
      <c r="E735" s="86" t="s">
        <v>27</v>
      </c>
      <c r="F735" s="86" t="s">
        <v>418</v>
      </c>
      <c r="H735" s="126" t="s">
        <v>51</v>
      </c>
      <c r="I735" s="89">
        <v>1</v>
      </c>
      <c r="J735" s="127">
        <v>36953.209900000002</v>
      </c>
      <c r="K735" s="127">
        <v>56546.509999999995</v>
      </c>
      <c r="L735" s="127">
        <v>7122.36</v>
      </c>
      <c r="M735" s="127">
        <v>19283.209900000013</v>
      </c>
      <c r="N735" s="127">
        <v>47201.509999999995</v>
      </c>
      <c r="O735" s="127">
        <v>6357.36</v>
      </c>
      <c r="P735" s="128">
        <f t="shared" si="99"/>
        <v>0.52182773708110297</v>
      </c>
      <c r="Q735" s="128">
        <f t="shared" si="100"/>
        <v>0.83473781140516012</v>
      </c>
      <c r="R735" s="128">
        <f t="shared" si="101"/>
        <v>0.89259178137583606</v>
      </c>
      <c r="S735" s="129">
        <v>1</v>
      </c>
      <c r="T735" s="129">
        <v>1</v>
      </c>
      <c r="U735" s="129">
        <v>1</v>
      </c>
      <c r="V735" s="138">
        <f t="shared" si="102"/>
        <v>3</v>
      </c>
      <c r="W735" s="138">
        <f t="shared" si="103"/>
        <v>3</v>
      </c>
      <c r="X735" s="138">
        <f t="shared" si="104"/>
        <v>1</v>
      </c>
      <c r="Y735" s="138">
        <f t="shared" si="105"/>
        <v>3</v>
      </c>
      <c r="Z735" s="138">
        <f t="shared" si="106"/>
        <v>3</v>
      </c>
      <c r="AA735" s="138">
        <f t="shared" si="107"/>
        <v>1</v>
      </c>
      <c r="AB735" s="127" t="s">
        <v>32</v>
      </c>
      <c r="AC735" s="127"/>
      <c r="AD735" s="127"/>
      <c r="AE735" s="130"/>
      <c r="AF735" s="136">
        <v>11.24</v>
      </c>
      <c r="AG735" s="136">
        <v>11.33</v>
      </c>
      <c r="AH735" s="136">
        <v>27.51</v>
      </c>
      <c r="AI735" s="136">
        <v>5.99</v>
      </c>
      <c r="AJ735" s="136">
        <v>4.08</v>
      </c>
      <c r="AK735" s="136">
        <v>0.49</v>
      </c>
      <c r="AL735" s="136">
        <v>3.31</v>
      </c>
      <c r="AM735" s="136">
        <v>63.95</v>
      </c>
      <c r="AN735" s="131"/>
      <c r="AO735" s="131"/>
      <c r="AP735" s="131"/>
      <c r="AQ735" s="131"/>
      <c r="AR735" s="131"/>
      <c r="AS735" s="131"/>
      <c r="AT735" s="131"/>
      <c r="AU735" s="91"/>
      <c r="AV735" s="91"/>
      <c r="AW735" s="131"/>
      <c r="AX735" s="131"/>
      <c r="AY735" s="131"/>
    </row>
    <row r="736" spans="1:51" ht="15" x14ac:dyDescent="0.25">
      <c r="A736" s="123"/>
      <c r="B736" s="124"/>
      <c r="C736" s="125">
        <v>723936</v>
      </c>
      <c r="D736" s="89"/>
      <c r="E736" s="86" t="s">
        <v>27</v>
      </c>
      <c r="F736" s="86" t="s">
        <v>418</v>
      </c>
      <c r="H736" s="126" t="s">
        <v>51</v>
      </c>
      <c r="I736" s="89">
        <v>2</v>
      </c>
      <c r="J736" s="127">
        <v>36953.209900000002</v>
      </c>
      <c r="K736" s="127">
        <v>56546.509999999995</v>
      </c>
      <c r="L736" s="127">
        <v>7122.36</v>
      </c>
      <c r="M736" s="127">
        <v>19283.209900000013</v>
      </c>
      <c r="N736" s="127">
        <v>47201.509999999995</v>
      </c>
      <c r="O736" s="127">
        <v>6357.36</v>
      </c>
      <c r="P736" s="128">
        <f t="shared" si="99"/>
        <v>0.52182773708110297</v>
      </c>
      <c r="Q736" s="128">
        <f t="shared" si="100"/>
        <v>0.83473781140516012</v>
      </c>
      <c r="R736" s="128">
        <f t="shared" si="101"/>
        <v>0.89259178137583606</v>
      </c>
      <c r="S736" s="129">
        <v>1</v>
      </c>
      <c r="T736" s="129">
        <v>1</v>
      </c>
      <c r="U736" s="129">
        <v>1</v>
      </c>
      <c r="V736" s="138">
        <f t="shared" si="102"/>
        <v>4</v>
      </c>
      <c r="W736" s="138">
        <f t="shared" si="103"/>
        <v>4</v>
      </c>
      <c r="X736" s="138">
        <f t="shared" si="104"/>
        <v>2</v>
      </c>
      <c r="Y736" s="138">
        <f t="shared" si="105"/>
        <v>4</v>
      </c>
      <c r="Z736" s="138">
        <f t="shared" si="106"/>
        <v>4</v>
      </c>
      <c r="AA736" s="138">
        <f t="shared" si="107"/>
        <v>1</v>
      </c>
      <c r="AB736" s="127" t="s">
        <v>32</v>
      </c>
      <c r="AC736" s="127"/>
      <c r="AD736" s="127"/>
      <c r="AE736" s="130"/>
      <c r="AF736" s="136">
        <v>14.98</v>
      </c>
      <c r="AG736" s="136">
        <v>11.33</v>
      </c>
      <c r="AH736" s="136">
        <v>36.68</v>
      </c>
      <c r="AI736" s="136">
        <v>5.99</v>
      </c>
      <c r="AJ736" s="136">
        <v>4.08</v>
      </c>
      <c r="AK736" s="136">
        <v>0.49</v>
      </c>
      <c r="AL736" s="136">
        <v>3.31</v>
      </c>
      <c r="AM736" s="136">
        <v>76.86</v>
      </c>
      <c r="AN736" s="131"/>
      <c r="AO736" s="131"/>
      <c r="AP736" s="131"/>
      <c r="AQ736" s="131"/>
      <c r="AR736" s="131"/>
      <c r="AS736" s="131"/>
      <c r="AT736" s="131"/>
      <c r="AU736" s="91"/>
      <c r="AV736" s="91"/>
      <c r="AW736" s="131"/>
      <c r="AX736" s="131"/>
      <c r="AY736" s="131"/>
    </row>
    <row r="737" spans="1:51" ht="15" x14ac:dyDescent="0.25">
      <c r="A737" s="123"/>
      <c r="B737" s="124"/>
      <c r="C737" s="125">
        <v>761896</v>
      </c>
      <c r="D737" s="89"/>
      <c r="E737" s="86" t="s">
        <v>27</v>
      </c>
      <c r="F737" s="86" t="s">
        <v>418</v>
      </c>
      <c r="H737" s="126" t="s">
        <v>51</v>
      </c>
      <c r="I737" s="89">
        <v>1</v>
      </c>
      <c r="J737" s="127">
        <v>36953.209900000002</v>
      </c>
      <c r="K737" s="127">
        <v>56546.509999999995</v>
      </c>
      <c r="L737" s="127">
        <v>7122.36</v>
      </c>
      <c r="M737" s="127">
        <v>19283.209900000013</v>
      </c>
      <c r="N737" s="127">
        <v>47201.509999999995</v>
      </c>
      <c r="O737" s="127">
        <v>6357.36</v>
      </c>
      <c r="P737" s="128">
        <f t="shared" si="99"/>
        <v>0.52182773708110297</v>
      </c>
      <c r="Q737" s="128">
        <f t="shared" si="100"/>
        <v>0.83473781140516012</v>
      </c>
      <c r="R737" s="128">
        <f t="shared" si="101"/>
        <v>0.89259178137583606</v>
      </c>
      <c r="S737" s="129">
        <v>1</v>
      </c>
      <c r="T737" s="129">
        <v>1</v>
      </c>
      <c r="U737" s="129">
        <v>1</v>
      </c>
      <c r="V737" s="138">
        <f t="shared" si="102"/>
        <v>3</v>
      </c>
      <c r="W737" s="138">
        <f t="shared" si="103"/>
        <v>3</v>
      </c>
      <c r="X737" s="138">
        <f t="shared" si="104"/>
        <v>1</v>
      </c>
      <c r="Y737" s="138">
        <f t="shared" si="105"/>
        <v>3</v>
      </c>
      <c r="Z737" s="138">
        <f t="shared" si="106"/>
        <v>3</v>
      </c>
      <c r="AA737" s="138">
        <f t="shared" si="107"/>
        <v>1</v>
      </c>
      <c r="AB737" s="127" t="s">
        <v>32</v>
      </c>
      <c r="AC737" s="127"/>
      <c r="AD737" s="127"/>
      <c r="AE737" s="130"/>
      <c r="AF737" s="136">
        <v>11.24</v>
      </c>
      <c r="AG737" s="136">
        <v>11.33</v>
      </c>
      <c r="AH737" s="136">
        <v>27.51</v>
      </c>
      <c r="AI737" s="136">
        <v>5.99</v>
      </c>
      <c r="AJ737" s="136">
        <v>4.08</v>
      </c>
      <c r="AK737" s="136">
        <v>0.49</v>
      </c>
      <c r="AL737" s="136">
        <v>3.31</v>
      </c>
      <c r="AM737" s="136">
        <v>63.95</v>
      </c>
      <c r="AN737" s="131"/>
      <c r="AO737" s="131"/>
      <c r="AP737" s="131"/>
      <c r="AQ737" s="131"/>
      <c r="AR737" s="131"/>
      <c r="AS737" s="131"/>
      <c r="AT737" s="131"/>
      <c r="AU737" s="91"/>
      <c r="AV737" s="91"/>
      <c r="AW737" s="131"/>
      <c r="AX737" s="131"/>
      <c r="AY737" s="131"/>
    </row>
    <row r="738" spans="1:51" ht="15" x14ac:dyDescent="0.25">
      <c r="A738" s="123"/>
      <c r="B738" s="124"/>
      <c r="C738" s="125">
        <v>780291</v>
      </c>
      <c r="D738" s="89"/>
      <c r="E738" s="86" t="s">
        <v>27</v>
      </c>
      <c r="F738" s="86" t="s">
        <v>418</v>
      </c>
      <c r="H738" s="126" t="s">
        <v>51</v>
      </c>
      <c r="I738" s="89">
        <v>1</v>
      </c>
      <c r="J738" s="127">
        <v>36953.209900000002</v>
      </c>
      <c r="K738" s="127">
        <v>56546.509999999995</v>
      </c>
      <c r="L738" s="127">
        <v>7122.36</v>
      </c>
      <c r="M738" s="127">
        <v>19283.209900000013</v>
      </c>
      <c r="N738" s="127">
        <v>47201.509999999995</v>
      </c>
      <c r="O738" s="127">
        <v>6357.36</v>
      </c>
      <c r="P738" s="128">
        <f t="shared" si="99"/>
        <v>0.52182773708110297</v>
      </c>
      <c r="Q738" s="128">
        <f t="shared" si="100"/>
        <v>0.83473781140516012</v>
      </c>
      <c r="R738" s="128">
        <f t="shared" si="101"/>
        <v>0.89259178137583606</v>
      </c>
      <c r="S738" s="129">
        <v>1</v>
      </c>
      <c r="T738" s="129">
        <v>1</v>
      </c>
      <c r="U738" s="129">
        <v>1</v>
      </c>
      <c r="V738" s="138">
        <f t="shared" si="102"/>
        <v>3</v>
      </c>
      <c r="W738" s="138">
        <f t="shared" si="103"/>
        <v>3</v>
      </c>
      <c r="X738" s="138">
        <f t="shared" si="104"/>
        <v>1</v>
      </c>
      <c r="Y738" s="138">
        <f t="shared" si="105"/>
        <v>3</v>
      </c>
      <c r="Z738" s="138">
        <f t="shared" si="106"/>
        <v>3</v>
      </c>
      <c r="AA738" s="138">
        <f t="shared" si="107"/>
        <v>1</v>
      </c>
      <c r="AB738" s="127" t="s">
        <v>32</v>
      </c>
      <c r="AC738" s="127"/>
      <c r="AD738" s="127"/>
      <c r="AE738" s="130"/>
      <c r="AF738" s="136">
        <v>11.24</v>
      </c>
      <c r="AG738" s="136">
        <v>11.33</v>
      </c>
      <c r="AH738" s="136">
        <v>27.51</v>
      </c>
      <c r="AI738" s="136">
        <v>5.99</v>
      </c>
      <c r="AJ738" s="136">
        <v>4.08</v>
      </c>
      <c r="AK738" s="136">
        <v>0.49</v>
      </c>
      <c r="AL738" s="136">
        <v>3.31</v>
      </c>
      <c r="AM738" s="136">
        <v>63.95</v>
      </c>
      <c r="AN738" s="131"/>
      <c r="AO738" s="131"/>
      <c r="AP738" s="131"/>
      <c r="AQ738" s="131"/>
      <c r="AR738" s="131"/>
      <c r="AS738" s="131"/>
      <c r="AT738" s="131"/>
      <c r="AU738" s="91"/>
      <c r="AV738" s="91"/>
      <c r="AW738" s="131"/>
      <c r="AX738" s="131"/>
      <c r="AY738" s="131"/>
    </row>
    <row r="739" spans="1:51" ht="15" x14ac:dyDescent="0.25">
      <c r="A739" s="123"/>
      <c r="B739" s="124"/>
      <c r="C739" s="125">
        <v>792549</v>
      </c>
      <c r="D739" s="89"/>
      <c r="E739" s="86" t="s">
        <v>27</v>
      </c>
      <c r="F739" s="86" t="s">
        <v>418</v>
      </c>
      <c r="H739" s="126" t="s">
        <v>51</v>
      </c>
      <c r="I739" s="89">
        <v>2</v>
      </c>
      <c r="J739" s="127">
        <v>36953.209900000002</v>
      </c>
      <c r="K739" s="127">
        <v>56546.509999999995</v>
      </c>
      <c r="L739" s="127">
        <v>7122.36</v>
      </c>
      <c r="M739" s="127">
        <v>19283.209900000013</v>
      </c>
      <c r="N739" s="127">
        <v>47201.509999999995</v>
      </c>
      <c r="O739" s="127">
        <v>6357.36</v>
      </c>
      <c r="P739" s="128">
        <f t="shared" si="99"/>
        <v>0.52182773708110297</v>
      </c>
      <c r="Q739" s="128">
        <f t="shared" si="100"/>
        <v>0.83473781140516012</v>
      </c>
      <c r="R739" s="128">
        <f t="shared" si="101"/>
        <v>0.89259178137583606</v>
      </c>
      <c r="S739" s="129">
        <v>1</v>
      </c>
      <c r="T739" s="129">
        <v>1</v>
      </c>
      <c r="U739" s="129">
        <v>1</v>
      </c>
      <c r="V739" s="138">
        <f t="shared" si="102"/>
        <v>4</v>
      </c>
      <c r="W739" s="138">
        <f t="shared" si="103"/>
        <v>4</v>
      </c>
      <c r="X739" s="138">
        <f t="shared" si="104"/>
        <v>2</v>
      </c>
      <c r="Y739" s="138">
        <f t="shared" si="105"/>
        <v>4</v>
      </c>
      <c r="Z739" s="138">
        <f t="shared" si="106"/>
        <v>4</v>
      </c>
      <c r="AA739" s="138">
        <f t="shared" si="107"/>
        <v>1</v>
      </c>
      <c r="AB739" s="127" t="s">
        <v>32</v>
      </c>
      <c r="AC739" s="127"/>
      <c r="AD739" s="127"/>
      <c r="AE739" s="130"/>
      <c r="AF739" s="136">
        <v>14.98</v>
      </c>
      <c r="AG739" s="136">
        <v>11.33</v>
      </c>
      <c r="AH739" s="136">
        <v>36.68</v>
      </c>
      <c r="AI739" s="136">
        <v>5.99</v>
      </c>
      <c r="AJ739" s="136">
        <v>4.08</v>
      </c>
      <c r="AK739" s="136">
        <v>0.49</v>
      </c>
      <c r="AL739" s="136">
        <v>3.31</v>
      </c>
      <c r="AM739" s="136">
        <v>76.86</v>
      </c>
      <c r="AN739" s="131"/>
      <c r="AO739" s="131"/>
      <c r="AP739" s="131"/>
      <c r="AQ739" s="131"/>
      <c r="AR739" s="131"/>
      <c r="AS739" s="131"/>
      <c r="AT739" s="131"/>
      <c r="AU739" s="91"/>
      <c r="AV739" s="91"/>
      <c r="AW739" s="131"/>
      <c r="AX739" s="131"/>
      <c r="AY739" s="131"/>
    </row>
    <row r="740" spans="1:51" ht="15" x14ac:dyDescent="0.25">
      <c r="A740" s="123"/>
      <c r="B740" s="124"/>
      <c r="C740" s="125">
        <v>883858</v>
      </c>
      <c r="D740" s="89"/>
      <c r="E740" s="86" t="s">
        <v>27</v>
      </c>
      <c r="F740" s="86" t="s">
        <v>418</v>
      </c>
      <c r="H740" s="126" t="s">
        <v>51</v>
      </c>
      <c r="I740" s="89">
        <v>2</v>
      </c>
      <c r="J740" s="127">
        <v>36953.209900000002</v>
      </c>
      <c r="K740" s="127">
        <v>56546.509999999995</v>
      </c>
      <c r="L740" s="127">
        <v>7122.36</v>
      </c>
      <c r="M740" s="127">
        <v>19283.209900000013</v>
      </c>
      <c r="N740" s="127">
        <v>47201.509999999995</v>
      </c>
      <c r="O740" s="127">
        <v>6357.36</v>
      </c>
      <c r="P740" s="128">
        <f t="shared" si="99"/>
        <v>0.52182773708110297</v>
      </c>
      <c r="Q740" s="128">
        <f t="shared" si="100"/>
        <v>0.83473781140516012</v>
      </c>
      <c r="R740" s="128">
        <f t="shared" si="101"/>
        <v>0.89259178137583606</v>
      </c>
      <c r="S740" s="129">
        <v>1</v>
      </c>
      <c r="T740" s="129">
        <v>1</v>
      </c>
      <c r="U740" s="129">
        <v>1</v>
      </c>
      <c r="V740" s="138">
        <f t="shared" si="102"/>
        <v>4</v>
      </c>
      <c r="W740" s="138">
        <f t="shared" si="103"/>
        <v>4</v>
      </c>
      <c r="X740" s="138">
        <f t="shared" si="104"/>
        <v>2</v>
      </c>
      <c r="Y740" s="138">
        <f t="shared" si="105"/>
        <v>4</v>
      </c>
      <c r="Z740" s="138">
        <f t="shared" si="106"/>
        <v>4</v>
      </c>
      <c r="AA740" s="138">
        <f t="shared" si="107"/>
        <v>1</v>
      </c>
      <c r="AB740" s="127" t="s">
        <v>32</v>
      </c>
      <c r="AC740" s="127"/>
      <c r="AD740" s="127"/>
      <c r="AE740" s="130"/>
      <c r="AF740" s="136">
        <v>14.98</v>
      </c>
      <c r="AG740" s="136">
        <v>11.33</v>
      </c>
      <c r="AH740" s="136">
        <v>36.68</v>
      </c>
      <c r="AI740" s="136">
        <v>5.99</v>
      </c>
      <c r="AJ740" s="136">
        <v>4.08</v>
      </c>
      <c r="AK740" s="136">
        <v>0.49</v>
      </c>
      <c r="AL740" s="136">
        <v>3.31</v>
      </c>
      <c r="AM740" s="136">
        <v>76.86</v>
      </c>
      <c r="AN740" s="131"/>
      <c r="AO740" s="131"/>
      <c r="AP740" s="131"/>
      <c r="AQ740" s="131"/>
      <c r="AR740" s="131"/>
      <c r="AS740" s="131"/>
      <c r="AT740" s="131"/>
      <c r="AU740" s="91"/>
      <c r="AV740" s="91"/>
      <c r="AW740" s="131"/>
      <c r="AX740" s="131"/>
      <c r="AY740" s="131"/>
    </row>
    <row r="741" spans="1:51" ht="15" x14ac:dyDescent="0.25">
      <c r="A741" s="123"/>
      <c r="B741" s="124"/>
      <c r="C741" s="125">
        <v>894591</v>
      </c>
      <c r="D741" s="89"/>
      <c r="E741" s="86" t="s">
        <v>27</v>
      </c>
      <c r="F741" s="86" t="s">
        <v>418</v>
      </c>
      <c r="H741" s="126" t="s">
        <v>51</v>
      </c>
      <c r="I741" s="89">
        <v>2</v>
      </c>
      <c r="J741" s="127">
        <v>36953.209900000002</v>
      </c>
      <c r="K741" s="127">
        <v>56546.509999999995</v>
      </c>
      <c r="L741" s="127">
        <v>7122.36</v>
      </c>
      <c r="M741" s="127">
        <v>19283.209900000013</v>
      </c>
      <c r="N741" s="127">
        <v>47201.509999999995</v>
      </c>
      <c r="O741" s="127">
        <v>6357.36</v>
      </c>
      <c r="P741" s="128">
        <f t="shared" si="99"/>
        <v>0.52182773708110297</v>
      </c>
      <c r="Q741" s="128">
        <f t="shared" si="100"/>
        <v>0.83473781140516012</v>
      </c>
      <c r="R741" s="128">
        <f t="shared" si="101"/>
        <v>0.89259178137583606</v>
      </c>
      <c r="S741" s="129">
        <v>1</v>
      </c>
      <c r="T741" s="129">
        <v>1</v>
      </c>
      <c r="U741" s="129">
        <v>1</v>
      </c>
      <c r="V741" s="138">
        <f t="shared" si="102"/>
        <v>4</v>
      </c>
      <c r="W741" s="138">
        <f t="shared" si="103"/>
        <v>4</v>
      </c>
      <c r="X741" s="138">
        <f t="shared" si="104"/>
        <v>2</v>
      </c>
      <c r="Y741" s="138">
        <f t="shared" si="105"/>
        <v>4</v>
      </c>
      <c r="Z741" s="138">
        <f t="shared" si="106"/>
        <v>4</v>
      </c>
      <c r="AA741" s="138">
        <f t="shared" si="107"/>
        <v>1</v>
      </c>
      <c r="AB741" s="127" t="s">
        <v>32</v>
      </c>
      <c r="AC741" s="127"/>
      <c r="AD741" s="127"/>
      <c r="AE741" s="130"/>
      <c r="AF741" s="136">
        <v>14.98</v>
      </c>
      <c r="AG741" s="136">
        <v>11.33</v>
      </c>
      <c r="AH741" s="136">
        <v>36.68</v>
      </c>
      <c r="AI741" s="136">
        <v>5.99</v>
      </c>
      <c r="AJ741" s="136">
        <v>4.08</v>
      </c>
      <c r="AK741" s="136">
        <v>0.49</v>
      </c>
      <c r="AL741" s="136">
        <v>3.31</v>
      </c>
      <c r="AM741" s="136">
        <v>76.86</v>
      </c>
      <c r="AN741" s="131"/>
      <c r="AO741" s="131"/>
      <c r="AP741" s="131"/>
      <c r="AQ741" s="131"/>
      <c r="AR741" s="131"/>
      <c r="AS741" s="131"/>
      <c r="AT741" s="131"/>
      <c r="AU741" s="91"/>
      <c r="AV741" s="91"/>
      <c r="AW741" s="131"/>
      <c r="AX741" s="131"/>
      <c r="AY741" s="131"/>
    </row>
    <row r="742" spans="1:51" ht="15" x14ac:dyDescent="0.25">
      <c r="A742" s="123"/>
      <c r="B742" s="124"/>
      <c r="C742" s="125">
        <v>941054</v>
      </c>
      <c r="D742" s="89"/>
      <c r="E742" s="86" t="s">
        <v>27</v>
      </c>
      <c r="F742" s="86" t="s">
        <v>418</v>
      </c>
      <c r="H742" s="126" t="s">
        <v>51</v>
      </c>
      <c r="I742" s="89">
        <v>1</v>
      </c>
      <c r="J742" s="127">
        <v>36953.209900000002</v>
      </c>
      <c r="K742" s="127">
        <v>56546.509999999995</v>
      </c>
      <c r="L742" s="127">
        <v>7122.36</v>
      </c>
      <c r="M742" s="127">
        <v>19283.209900000013</v>
      </c>
      <c r="N742" s="127">
        <v>47201.509999999995</v>
      </c>
      <c r="O742" s="127">
        <v>6357.36</v>
      </c>
      <c r="P742" s="128">
        <f t="shared" si="99"/>
        <v>0.52182773708110297</v>
      </c>
      <c r="Q742" s="128">
        <f t="shared" si="100"/>
        <v>0.83473781140516012</v>
      </c>
      <c r="R742" s="128">
        <f t="shared" si="101"/>
        <v>0.89259178137583606</v>
      </c>
      <c r="S742" s="129">
        <v>1</v>
      </c>
      <c r="T742" s="129">
        <v>1</v>
      </c>
      <c r="U742" s="129">
        <v>1</v>
      </c>
      <c r="V742" s="138">
        <f t="shared" si="102"/>
        <v>3</v>
      </c>
      <c r="W742" s="138">
        <f t="shared" si="103"/>
        <v>3</v>
      </c>
      <c r="X742" s="138">
        <f t="shared" si="104"/>
        <v>1</v>
      </c>
      <c r="Y742" s="138">
        <f t="shared" si="105"/>
        <v>3</v>
      </c>
      <c r="Z742" s="138">
        <f t="shared" si="106"/>
        <v>3</v>
      </c>
      <c r="AA742" s="138">
        <f t="shared" si="107"/>
        <v>1</v>
      </c>
      <c r="AB742" s="127" t="s">
        <v>32</v>
      </c>
      <c r="AC742" s="127"/>
      <c r="AD742" s="127"/>
      <c r="AE742" s="130"/>
      <c r="AF742" s="136">
        <v>11.24</v>
      </c>
      <c r="AG742" s="136">
        <v>11.33</v>
      </c>
      <c r="AH742" s="136">
        <v>27.51</v>
      </c>
      <c r="AI742" s="136">
        <v>5.99</v>
      </c>
      <c r="AJ742" s="136">
        <v>4.08</v>
      </c>
      <c r="AK742" s="136">
        <v>0.49</v>
      </c>
      <c r="AL742" s="136">
        <v>3.31</v>
      </c>
      <c r="AM742" s="136">
        <v>63.95</v>
      </c>
      <c r="AN742" s="131"/>
      <c r="AO742" s="131"/>
      <c r="AP742" s="131"/>
      <c r="AQ742" s="131"/>
      <c r="AR742" s="131"/>
      <c r="AS742" s="131"/>
      <c r="AT742" s="131"/>
      <c r="AU742" s="91"/>
      <c r="AV742" s="91"/>
      <c r="AW742" s="131"/>
      <c r="AX742" s="131"/>
      <c r="AY742" s="131"/>
    </row>
    <row r="743" spans="1:51" ht="15" x14ac:dyDescent="0.25">
      <c r="A743" s="123"/>
      <c r="B743" s="124"/>
      <c r="C743" s="125">
        <v>941240</v>
      </c>
      <c r="D743" s="89"/>
      <c r="E743" s="86" t="s">
        <v>27</v>
      </c>
      <c r="F743" s="86" t="s">
        <v>418</v>
      </c>
      <c r="H743" s="126" t="s">
        <v>51</v>
      </c>
      <c r="I743" s="89">
        <v>2</v>
      </c>
      <c r="J743" s="127">
        <v>36953.209900000002</v>
      </c>
      <c r="K743" s="127">
        <v>56546.509999999995</v>
      </c>
      <c r="L743" s="127">
        <v>7122.36</v>
      </c>
      <c r="M743" s="127">
        <v>19283.209900000013</v>
      </c>
      <c r="N743" s="127">
        <v>47201.509999999995</v>
      </c>
      <c r="O743" s="127">
        <v>6357.36</v>
      </c>
      <c r="P743" s="128">
        <f t="shared" si="99"/>
        <v>0.52182773708110297</v>
      </c>
      <c r="Q743" s="128">
        <f t="shared" si="100"/>
        <v>0.83473781140516012</v>
      </c>
      <c r="R743" s="128">
        <f t="shared" si="101"/>
        <v>0.89259178137583606</v>
      </c>
      <c r="S743" s="129">
        <v>1</v>
      </c>
      <c r="T743" s="129">
        <v>1</v>
      </c>
      <c r="U743" s="129">
        <v>1</v>
      </c>
      <c r="V743" s="138">
        <f t="shared" si="102"/>
        <v>4</v>
      </c>
      <c r="W743" s="138">
        <f t="shared" si="103"/>
        <v>4</v>
      </c>
      <c r="X743" s="138">
        <f t="shared" si="104"/>
        <v>2</v>
      </c>
      <c r="Y743" s="138">
        <f t="shared" si="105"/>
        <v>4</v>
      </c>
      <c r="Z743" s="138">
        <f t="shared" si="106"/>
        <v>4</v>
      </c>
      <c r="AA743" s="138">
        <f t="shared" si="107"/>
        <v>1</v>
      </c>
      <c r="AB743" s="127" t="s">
        <v>32</v>
      </c>
      <c r="AC743" s="127"/>
      <c r="AD743" s="127"/>
      <c r="AE743" s="130"/>
      <c r="AF743" s="136">
        <v>14.98</v>
      </c>
      <c r="AG743" s="136">
        <v>11.33</v>
      </c>
      <c r="AH743" s="136">
        <v>36.68</v>
      </c>
      <c r="AI743" s="136">
        <v>5.99</v>
      </c>
      <c r="AJ743" s="136">
        <v>4.08</v>
      </c>
      <c r="AK743" s="136">
        <v>0.49</v>
      </c>
      <c r="AL743" s="136">
        <v>3.31</v>
      </c>
      <c r="AM743" s="136">
        <v>76.86</v>
      </c>
      <c r="AN743" s="131"/>
      <c r="AO743" s="131"/>
      <c r="AP743" s="131"/>
      <c r="AQ743" s="131"/>
      <c r="AR743" s="131"/>
      <c r="AS743" s="131"/>
      <c r="AT743" s="131"/>
      <c r="AU743" s="91"/>
      <c r="AV743" s="91"/>
      <c r="AW743" s="131"/>
      <c r="AX743" s="131"/>
      <c r="AY743" s="131"/>
    </row>
    <row r="744" spans="1:51" ht="15" x14ac:dyDescent="0.25">
      <c r="A744" s="123"/>
      <c r="B744" s="124"/>
      <c r="C744" s="125">
        <v>953307</v>
      </c>
      <c r="D744" s="89"/>
      <c r="E744" s="86" t="s">
        <v>27</v>
      </c>
      <c r="F744" s="86" t="s">
        <v>418</v>
      </c>
      <c r="H744" s="126" t="s">
        <v>51</v>
      </c>
      <c r="I744" s="89">
        <v>1</v>
      </c>
      <c r="J744" s="127">
        <v>36953.209900000002</v>
      </c>
      <c r="K744" s="127">
        <v>56546.509999999995</v>
      </c>
      <c r="L744" s="127">
        <v>7122.36</v>
      </c>
      <c r="M744" s="127">
        <v>19283.209900000013</v>
      </c>
      <c r="N744" s="127">
        <v>47201.509999999995</v>
      </c>
      <c r="O744" s="127">
        <v>6357.36</v>
      </c>
      <c r="P744" s="128">
        <f t="shared" si="99"/>
        <v>0.52182773708110297</v>
      </c>
      <c r="Q744" s="128">
        <f t="shared" si="100"/>
        <v>0.83473781140516012</v>
      </c>
      <c r="R744" s="128">
        <f t="shared" si="101"/>
        <v>0.89259178137583606</v>
      </c>
      <c r="S744" s="129">
        <v>1</v>
      </c>
      <c r="T744" s="129">
        <v>1</v>
      </c>
      <c r="U744" s="129">
        <v>1</v>
      </c>
      <c r="V744" s="138">
        <f t="shared" si="102"/>
        <v>3</v>
      </c>
      <c r="W744" s="138">
        <f t="shared" si="103"/>
        <v>3</v>
      </c>
      <c r="X744" s="138">
        <f t="shared" si="104"/>
        <v>1</v>
      </c>
      <c r="Y744" s="138">
        <f t="shared" si="105"/>
        <v>3</v>
      </c>
      <c r="Z744" s="138">
        <f t="shared" si="106"/>
        <v>3</v>
      </c>
      <c r="AA744" s="138">
        <f t="shared" si="107"/>
        <v>1</v>
      </c>
      <c r="AB744" s="127" t="s">
        <v>32</v>
      </c>
      <c r="AC744" s="127"/>
      <c r="AD744" s="127"/>
      <c r="AE744" s="130"/>
      <c r="AF744" s="136">
        <v>11.24</v>
      </c>
      <c r="AG744" s="136">
        <v>11.33</v>
      </c>
      <c r="AH744" s="136">
        <v>27.51</v>
      </c>
      <c r="AI744" s="136">
        <v>5.99</v>
      </c>
      <c r="AJ744" s="136">
        <v>4.08</v>
      </c>
      <c r="AK744" s="136">
        <v>0.49</v>
      </c>
      <c r="AL744" s="136">
        <v>3.31</v>
      </c>
      <c r="AM744" s="136">
        <v>63.95</v>
      </c>
      <c r="AN744" s="131"/>
      <c r="AO744" s="131"/>
      <c r="AP744" s="131"/>
      <c r="AQ744" s="131"/>
      <c r="AR744" s="131"/>
      <c r="AS744" s="131"/>
      <c r="AT744" s="131"/>
      <c r="AU744" s="91"/>
      <c r="AV744" s="91"/>
      <c r="AW744" s="131"/>
      <c r="AX744" s="131"/>
      <c r="AY744" s="131"/>
    </row>
    <row r="745" spans="1:51" ht="15" x14ac:dyDescent="0.25">
      <c r="A745" s="123"/>
      <c r="B745" s="124"/>
      <c r="C745" s="125">
        <v>985058</v>
      </c>
      <c r="D745" s="89"/>
      <c r="E745" s="86" t="s">
        <v>27</v>
      </c>
      <c r="F745" s="86" t="s">
        <v>418</v>
      </c>
      <c r="H745" s="126" t="s">
        <v>51</v>
      </c>
      <c r="I745" s="89">
        <v>2</v>
      </c>
      <c r="J745" s="127">
        <v>36953.209900000002</v>
      </c>
      <c r="K745" s="127">
        <v>56546.509999999995</v>
      </c>
      <c r="L745" s="127">
        <v>7122.36</v>
      </c>
      <c r="M745" s="127">
        <v>19283.209900000013</v>
      </c>
      <c r="N745" s="127">
        <v>47201.509999999995</v>
      </c>
      <c r="O745" s="127">
        <v>6357.36</v>
      </c>
      <c r="P745" s="128">
        <f t="shared" si="99"/>
        <v>0.52182773708110297</v>
      </c>
      <c r="Q745" s="128">
        <f t="shared" si="100"/>
        <v>0.83473781140516012</v>
      </c>
      <c r="R745" s="128">
        <f t="shared" si="101"/>
        <v>0.89259178137583606</v>
      </c>
      <c r="S745" s="129">
        <v>1</v>
      </c>
      <c r="T745" s="129">
        <v>1</v>
      </c>
      <c r="U745" s="129">
        <v>1</v>
      </c>
      <c r="V745" s="138">
        <f t="shared" si="102"/>
        <v>4</v>
      </c>
      <c r="W745" s="138">
        <f t="shared" si="103"/>
        <v>4</v>
      </c>
      <c r="X745" s="138">
        <f t="shared" si="104"/>
        <v>2</v>
      </c>
      <c r="Y745" s="138">
        <f t="shared" si="105"/>
        <v>4</v>
      </c>
      <c r="Z745" s="138">
        <f t="shared" si="106"/>
        <v>4</v>
      </c>
      <c r="AA745" s="138">
        <f t="shared" si="107"/>
        <v>1</v>
      </c>
      <c r="AB745" s="127" t="s">
        <v>32</v>
      </c>
      <c r="AC745" s="127"/>
      <c r="AD745" s="127"/>
      <c r="AE745" s="130"/>
      <c r="AF745" s="136">
        <v>14.98</v>
      </c>
      <c r="AG745" s="136">
        <v>11.33</v>
      </c>
      <c r="AH745" s="136">
        <v>36.68</v>
      </c>
      <c r="AI745" s="136">
        <v>5.99</v>
      </c>
      <c r="AJ745" s="136">
        <v>4.08</v>
      </c>
      <c r="AK745" s="136">
        <v>0.49</v>
      </c>
      <c r="AL745" s="136">
        <v>3.31</v>
      </c>
      <c r="AM745" s="136">
        <v>76.86</v>
      </c>
      <c r="AN745" s="131"/>
      <c r="AO745" s="131"/>
      <c r="AP745" s="131"/>
      <c r="AQ745" s="131"/>
      <c r="AR745" s="131"/>
      <c r="AS745" s="131"/>
      <c r="AT745" s="131"/>
      <c r="AU745" s="91"/>
      <c r="AV745" s="91"/>
      <c r="AW745" s="131"/>
      <c r="AX745" s="131"/>
      <c r="AY745" s="131"/>
    </row>
    <row r="746" spans="1:51" ht="15" x14ac:dyDescent="0.25">
      <c r="A746" s="123"/>
      <c r="B746" s="124"/>
      <c r="C746" s="125">
        <v>995777</v>
      </c>
      <c r="D746" s="89"/>
      <c r="E746" s="86" t="s">
        <v>27</v>
      </c>
      <c r="F746" s="86" t="s">
        <v>418</v>
      </c>
      <c r="H746" s="126" t="s">
        <v>51</v>
      </c>
      <c r="I746" s="89">
        <v>1</v>
      </c>
      <c r="J746" s="127">
        <v>36953.209900000002</v>
      </c>
      <c r="K746" s="127">
        <v>56546.509999999995</v>
      </c>
      <c r="L746" s="127">
        <v>7122.36</v>
      </c>
      <c r="M746" s="127">
        <v>19283.209900000013</v>
      </c>
      <c r="N746" s="127">
        <v>47201.509999999995</v>
      </c>
      <c r="O746" s="127">
        <v>6357.36</v>
      </c>
      <c r="P746" s="128">
        <f t="shared" si="99"/>
        <v>0.52182773708110297</v>
      </c>
      <c r="Q746" s="128">
        <f t="shared" si="100"/>
        <v>0.83473781140516012</v>
      </c>
      <c r="R746" s="128">
        <f t="shared" si="101"/>
        <v>0.89259178137583606</v>
      </c>
      <c r="S746" s="129">
        <v>1</v>
      </c>
      <c r="T746" s="129">
        <v>1</v>
      </c>
      <c r="U746" s="129">
        <v>1</v>
      </c>
      <c r="V746" s="138">
        <f t="shared" si="102"/>
        <v>3</v>
      </c>
      <c r="W746" s="138">
        <f t="shared" si="103"/>
        <v>3</v>
      </c>
      <c r="X746" s="138">
        <f t="shared" si="104"/>
        <v>1</v>
      </c>
      <c r="Y746" s="138">
        <f t="shared" si="105"/>
        <v>3</v>
      </c>
      <c r="Z746" s="138">
        <f t="shared" si="106"/>
        <v>3</v>
      </c>
      <c r="AA746" s="138">
        <f t="shared" si="107"/>
        <v>1</v>
      </c>
      <c r="AB746" s="127" t="s">
        <v>32</v>
      </c>
      <c r="AC746" s="127"/>
      <c r="AD746" s="127"/>
      <c r="AE746" s="130"/>
      <c r="AF746" s="136">
        <v>11.24</v>
      </c>
      <c r="AG746" s="136">
        <v>11.33</v>
      </c>
      <c r="AH746" s="136">
        <v>27.51</v>
      </c>
      <c r="AI746" s="136">
        <v>5.99</v>
      </c>
      <c r="AJ746" s="136">
        <v>4.08</v>
      </c>
      <c r="AK746" s="136">
        <v>0.49</v>
      </c>
      <c r="AL746" s="136">
        <v>3.31</v>
      </c>
      <c r="AM746" s="136">
        <v>63.95</v>
      </c>
      <c r="AN746" s="131"/>
      <c r="AO746" s="131"/>
      <c r="AP746" s="131"/>
      <c r="AQ746" s="131"/>
      <c r="AR746" s="131"/>
      <c r="AS746" s="131"/>
      <c r="AT746" s="131"/>
      <c r="AU746" s="91"/>
      <c r="AV746" s="91"/>
      <c r="AW746" s="131"/>
      <c r="AX746" s="131"/>
      <c r="AY746" s="131"/>
    </row>
    <row r="747" spans="1:51" ht="15" x14ac:dyDescent="0.25">
      <c r="A747" s="123"/>
      <c r="B747" s="124"/>
      <c r="C747" s="125">
        <v>32464</v>
      </c>
      <c r="D747" s="89"/>
      <c r="E747" s="86" t="s">
        <v>30</v>
      </c>
      <c r="F747" s="86" t="s">
        <v>418</v>
      </c>
      <c r="H747" s="126" t="s">
        <v>51</v>
      </c>
      <c r="I747" s="89">
        <v>0</v>
      </c>
      <c r="J747" s="127">
        <v>15302.715200000001</v>
      </c>
      <c r="K747" s="127">
        <v>54330.64</v>
      </c>
      <c r="L747" s="127">
        <v>6752.8600000000006</v>
      </c>
      <c r="M747" s="127">
        <v>0</v>
      </c>
      <c r="N747" s="127">
        <v>44674.14</v>
      </c>
      <c r="O747" s="127">
        <v>5962.3600000000006</v>
      </c>
      <c r="P747" s="128">
        <f t="shared" si="99"/>
        <v>0</v>
      </c>
      <c r="Q747" s="128">
        <f t="shared" si="100"/>
        <v>0.82226419567301245</v>
      </c>
      <c r="R747" s="128">
        <f t="shared" si="101"/>
        <v>0.88293848828496369</v>
      </c>
      <c r="S747" s="129">
        <v>0</v>
      </c>
      <c r="T747" s="129">
        <v>1</v>
      </c>
      <c r="U747" s="129">
        <v>1</v>
      </c>
      <c r="V747" s="138">
        <f t="shared" si="102"/>
        <v>2</v>
      </c>
      <c r="W747" s="138">
        <f t="shared" si="103"/>
        <v>2</v>
      </c>
      <c r="X747" s="138">
        <f t="shared" si="104"/>
        <v>0</v>
      </c>
      <c r="Y747" s="138">
        <f t="shared" si="105"/>
        <v>0</v>
      </c>
      <c r="Z747" s="138">
        <f t="shared" si="106"/>
        <v>2</v>
      </c>
      <c r="AA747" s="138">
        <f t="shared" si="107"/>
        <v>1</v>
      </c>
      <c r="AB747" s="127" t="s">
        <v>32</v>
      </c>
      <c r="AC747" s="127" t="s">
        <v>31</v>
      </c>
      <c r="AD747" s="127"/>
      <c r="AE747" s="130"/>
      <c r="AF747" s="136">
        <v>0</v>
      </c>
      <c r="AG747" s="136">
        <v>4.0599999999999996</v>
      </c>
      <c r="AH747" s="136">
        <v>22.03</v>
      </c>
      <c r="AI747" s="136">
        <v>5.99</v>
      </c>
      <c r="AJ747" s="136">
        <v>3.7</v>
      </c>
      <c r="AK747" s="136">
        <v>0.49</v>
      </c>
      <c r="AL747" s="136">
        <v>3.31</v>
      </c>
      <c r="AM747" s="136">
        <v>39.580000000000005</v>
      </c>
      <c r="AN747" s="131"/>
      <c r="AO747" s="131"/>
      <c r="AP747" s="131"/>
      <c r="AQ747" s="131"/>
      <c r="AR747" s="131"/>
      <c r="AS747" s="131"/>
      <c r="AT747" s="131"/>
      <c r="AU747" s="91"/>
      <c r="AV747" s="91"/>
      <c r="AW747" s="131"/>
      <c r="AX747" s="131"/>
      <c r="AY747" s="131"/>
    </row>
    <row r="748" spans="1:51" ht="15" x14ac:dyDescent="0.25">
      <c r="A748" s="123"/>
      <c r="B748" s="124"/>
      <c r="C748" s="125">
        <v>189353</v>
      </c>
      <c r="D748" s="89"/>
      <c r="E748" s="86" t="s">
        <v>30</v>
      </c>
      <c r="F748" s="86" t="s">
        <v>418</v>
      </c>
      <c r="H748" s="126" t="s">
        <v>51</v>
      </c>
      <c r="I748" s="89">
        <v>0</v>
      </c>
      <c r="J748" s="127">
        <v>15302.715200000001</v>
      </c>
      <c r="K748" s="127">
        <v>54330.64</v>
      </c>
      <c r="L748" s="127">
        <v>6752.8600000000006</v>
      </c>
      <c r="M748" s="127">
        <v>0</v>
      </c>
      <c r="N748" s="127">
        <v>44674.14</v>
      </c>
      <c r="O748" s="127">
        <v>5962.3600000000006</v>
      </c>
      <c r="P748" s="128">
        <f t="shared" si="99"/>
        <v>0</v>
      </c>
      <c r="Q748" s="128">
        <f t="shared" si="100"/>
        <v>0.82226419567301245</v>
      </c>
      <c r="R748" s="128">
        <f t="shared" si="101"/>
        <v>0.88293848828496369</v>
      </c>
      <c r="S748" s="129">
        <v>0</v>
      </c>
      <c r="T748" s="129">
        <v>1</v>
      </c>
      <c r="U748" s="129">
        <v>1</v>
      </c>
      <c r="V748" s="138">
        <f t="shared" si="102"/>
        <v>2</v>
      </c>
      <c r="W748" s="138">
        <f t="shared" si="103"/>
        <v>2</v>
      </c>
      <c r="X748" s="138">
        <f t="shared" si="104"/>
        <v>0</v>
      </c>
      <c r="Y748" s="138">
        <f t="shared" si="105"/>
        <v>0</v>
      </c>
      <c r="Z748" s="138">
        <f t="shared" si="106"/>
        <v>2</v>
      </c>
      <c r="AA748" s="138">
        <f t="shared" si="107"/>
        <v>1</v>
      </c>
      <c r="AB748" s="127" t="s">
        <v>32</v>
      </c>
      <c r="AC748" s="127" t="s">
        <v>31</v>
      </c>
      <c r="AD748" s="127"/>
      <c r="AE748" s="130"/>
      <c r="AF748" s="136">
        <v>0</v>
      </c>
      <c r="AG748" s="136">
        <v>4.0599999999999996</v>
      </c>
      <c r="AH748" s="136">
        <v>22.03</v>
      </c>
      <c r="AI748" s="136">
        <v>5.99</v>
      </c>
      <c r="AJ748" s="136">
        <v>3.7</v>
      </c>
      <c r="AK748" s="136">
        <v>0.49</v>
      </c>
      <c r="AL748" s="136">
        <v>3.31</v>
      </c>
      <c r="AM748" s="136">
        <v>39.580000000000005</v>
      </c>
      <c r="AN748" s="131"/>
      <c r="AO748" s="131"/>
      <c r="AP748" s="131"/>
      <c r="AQ748" s="131"/>
      <c r="AR748" s="131"/>
      <c r="AS748" s="131"/>
      <c r="AT748" s="131"/>
      <c r="AU748" s="91"/>
      <c r="AV748" s="91"/>
      <c r="AW748" s="131"/>
      <c r="AX748" s="131"/>
      <c r="AY748" s="131"/>
    </row>
    <row r="749" spans="1:51" ht="15" x14ac:dyDescent="0.25">
      <c r="A749" s="123"/>
      <c r="B749" s="124"/>
      <c r="C749" s="125">
        <v>198103</v>
      </c>
      <c r="D749" s="89"/>
      <c r="E749" s="86" t="s">
        <v>30</v>
      </c>
      <c r="F749" s="86" t="s">
        <v>418</v>
      </c>
      <c r="H749" s="126" t="s">
        <v>51</v>
      </c>
      <c r="I749" s="89">
        <v>0</v>
      </c>
      <c r="J749" s="127">
        <v>15302.715200000001</v>
      </c>
      <c r="K749" s="127">
        <v>54330.64</v>
      </c>
      <c r="L749" s="127">
        <v>6752.8600000000006</v>
      </c>
      <c r="M749" s="127">
        <v>0</v>
      </c>
      <c r="N749" s="127">
        <v>44674.14</v>
      </c>
      <c r="O749" s="127">
        <v>5962.3600000000006</v>
      </c>
      <c r="P749" s="128">
        <f t="shared" si="99"/>
        <v>0</v>
      </c>
      <c r="Q749" s="128">
        <f t="shared" si="100"/>
        <v>0.82226419567301245</v>
      </c>
      <c r="R749" s="128">
        <f t="shared" si="101"/>
        <v>0.88293848828496369</v>
      </c>
      <c r="S749" s="129">
        <v>0</v>
      </c>
      <c r="T749" s="129">
        <v>1</v>
      </c>
      <c r="U749" s="129">
        <v>1</v>
      </c>
      <c r="V749" s="138">
        <f t="shared" si="102"/>
        <v>2</v>
      </c>
      <c r="W749" s="138">
        <f t="shared" si="103"/>
        <v>2</v>
      </c>
      <c r="X749" s="138">
        <f t="shared" si="104"/>
        <v>0</v>
      </c>
      <c r="Y749" s="138">
        <f t="shared" si="105"/>
        <v>0</v>
      </c>
      <c r="Z749" s="138">
        <f t="shared" si="106"/>
        <v>2</v>
      </c>
      <c r="AA749" s="138">
        <f t="shared" si="107"/>
        <v>1</v>
      </c>
      <c r="AB749" s="127" t="s">
        <v>32</v>
      </c>
      <c r="AC749" s="127" t="s">
        <v>31</v>
      </c>
      <c r="AD749" s="127"/>
      <c r="AE749" s="130"/>
      <c r="AF749" s="136">
        <v>0</v>
      </c>
      <c r="AG749" s="136">
        <v>4.0599999999999996</v>
      </c>
      <c r="AH749" s="136">
        <v>22.03</v>
      </c>
      <c r="AI749" s="136">
        <v>5.99</v>
      </c>
      <c r="AJ749" s="136">
        <v>3.7</v>
      </c>
      <c r="AK749" s="136">
        <v>0.49</v>
      </c>
      <c r="AL749" s="136">
        <v>3.31</v>
      </c>
      <c r="AM749" s="136">
        <v>39.580000000000005</v>
      </c>
      <c r="AN749" s="131"/>
      <c r="AO749" s="131"/>
      <c r="AP749" s="131"/>
      <c r="AQ749" s="131"/>
      <c r="AR749" s="131"/>
      <c r="AS749" s="131"/>
      <c r="AT749" s="131"/>
      <c r="AU749" s="91"/>
      <c r="AV749" s="91"/>
      <c r="AW749" s="131"/>
      <c r="AX749" s="131"/>
      <c r="AY749" s="131"/>
    </row>
    <row r="750" spans="1:51" ht="15" x14ac:dyDescent="0.25">
      <c r="A750" s="123"/>
      <c r="B750" s="124"/>
      <c r="C750" s="125">
        <v>215746</v>
      </c>
      <c r="D750" s="89"/>
      <c r="E750" s="86" t="s">
        <v>30</v>
      </c>
      <c r="F750" s="86" t="s">
        <v>418</v>
      </c>
      <c r="H750" s="126" t="s">
        <v>51</v>
      </c>
      <c r="I750" s="89">
        <v>1</v>
      </c>
      <c r="J750" s="127">
        <v>15302.715200000001</v>
      </c>
      <c r="K750" s="127">
        <v>54330.64</v>
      </c>
      <c r="L750" s="127">
        <v>6752.8600000000006</v>
      </c>
      <c r="M750" s="127">
        <v>0</v>
      </c>
      <c r="N750" s="127">
        <v>44674.14</v>
      </c>
      <c r="O750" s="127">
        <v>5962.3600000000006</v>
      </c>
      <c r="P750" s="128">
        <f t="shared" si="99"/>
        <v>0</v>
      </c>
      <c r="Q750" s="128">
        <f t="shared" si="100"/>
        <v>0.82226419567301245</v>
      </c>
      <c r="R750" s="128">
        <f t="shared" si="101"/>
        <v>0.88293848828496369</v>
      </c>
      <c r="S750" s="129">
        <v>0</v>
      </c>
      <c r="T750" s="129">
        <v>1</v>
      </c>
      <c r="U750" s="129">
        <v>1</v>
      </c>
      <c r="V750" s="138">
        <f t="shared" si="102"/>
        <v>3</v>
      </c>
      <c r="W750" s="138">
        <f t="shared" si="103"/>
        <v>3</v>
      </c>
      <c r="X750" s="138">
        <f t="shared" si="104"/>
        <v>1</v>
      </c>
      <c r="Y750" s="138">
        <f t="shared" si="105"/>
        <v>0</v>
      </c>
      <c r="Z750" s="138">
        <f t="shared" si="106"/>
        <v>3</v>
      </c>
      <c r="AA750" s="138">
        <f t="shared" si="107"/>
        <v>1</v>
      </c>
      <c r="AB750" s="127" t="s">
        <v>32</v>
      </c>
      <c r="AC750" s="127" t="s">
        <v>31</v>
      </c>
      <c r="AD750" s="127"/>
      <c r="AE750" s="130"/>
      <c r="AF750" s="136">
        <v>0</v>
      </c>
      <c r="AG750" s="136">
        <v>4.0599999999999996</v>
      </c>
      <c r="AH750" s="136">
        <v>33.04</v>
      </c>
      <c r="AI750" s="136">
        <v>5.99</v>
      </c>
      <c r="AJ750" s="136">
        <v>3.7</v>
      </c>
      <c r="AK750" s="136">
        <v>0.49</v>
      </c>
      <c r="AL750" s="136">
        <v>3.31</v>
      </c>
      <c r="AM750" s="136">
        <v>50.590000000000011</v>
      </c>
      <c r="AN750" s="131"/>
      <c r="AO750" s="131"/>
      <c r="AP750" s="131"/>
      <c r="AQ750" s="131"/>
      <c r="AR750" s="131"/>
      <c r="AS750" s="131"/>
      <c r="AT750" s="131"/>
      <c r="AU750" s="91"/>
      <c r="AV750" s="91"/>
      <c r="AW750" s="131"/>
      <c r="AX750" s="131"/>
      <c r="AY750" s="131"/>
    </row>
    <row r="751" spans="1:51" ht="15" x14ac:dyDescent="0.25">
      <c r="A751" s="123"/>
      <c r="B751" s="124"/>
      <c r="C751" s="125">
        <v>274191</v>
      </c>
      <c r="D751" s="89"/>
      <c r="E751" s="86" t="s">
        <v>30</v>
      </c>
      <c r="F751" s="86" t="s">
        <v>418</v>
      </c>
      <c r="H751" s="126" t="s">
        <v>51</v>
      </c>
      <c r="I751" s="89">
        <v>1</v>
      </c>
      <c r="J751" s="127">
        <v>15302.715200000001</v>
      </c>
      <c r="K751" s="127">
        <v>54330.64</v>
      </c>
      <c r="L751" s="127">
        <v>6752.8600000000006</v>
      </c>
      <c r="M751" s="127">
        <v>0</v>
      </c>
      <c r="N751" s="127">
        <v>44674.14</v>
      </c>
      <c r="O751" s="127">
        <v>5962.3600000000006</v>
      </c>
      <c r="P751" s="128">
        <f t="shared" si="99"/>
        <v>0</v>
      </c>
      <c r="Q751" s="128">
        <f t="shared" si="100"/>
        <v>0.82226419567301245</v>
      </c>
      <c r="R751" s="128">
        <f t="shared" si="101"/>
        <v>0.88293848828496369</v>
      </c>
      <c r="S751" s="129">
        <v>0</v>
      </c>
      <c r="T751" s="129">
        <v>1</v>
      </c>
      <c r="U751" s="129">
        <v>1</v>
      </c>
      <c r="V751" s="138">
        <f t="shared" si="102"/>
        <v>3</v>
      </c>
      <c r="W751" s="138">
        <f t="shared" si="103"/>
        <v>3</v>
      </c>
      <c r="X751" s="138">
        <f t="shared" si="104"/>
        <v>1</v>
      </c>
      <c r="Y751" s="138">
        <f t="shared" si="105"/>
        <v>0</v>
      </c>
      <c r="Z751" s="138">
        <f t="shared" si="106"/>
        <v>3</v>
      </c>
      <c r="AA751" s="138">
        <f t="shared" si="107"/>
        <v>1</v>
      </c>
      <c r="AB751" s="127" t="s">
        <v>32</v>
      </c>
      <c r="AC751" s="127" t="s">
        <v>31</v>
      </c>
      <c r="AD751" s="127"/>
      <c r="AE751" s="130"/>
      <c r="AF751" s="136">
        <v>0</v>
      </c>
      <c r="AG751" s="136">
        <v>4.0599999999999996</v>
      </c>
      <c r="AH751" s="136">
        <v>33.04</v>
      </c>
      <c r="AI751" s="136">
        <v>5.99</v>
      </c>
      <c r="AJ751" s="136">
        <v>3.7</v>
      </c>
      <c r="AK751" s="136">
        <v>0.49</v>
      </c>
      <c r="AL751" s="136">
        <v>3.31</v>
      </c>
      <c r="AM751" s="136">
        <v>50.590000000000011</v>
      </c>
      <c r="AN751" s="131"/>
      <c r="AO751" s="131"/>
      <c r="AP751" s="131"/>
      <c r="AQ751" s="131"/>
      <c r="AR751" s="131"/>
      <c r="AS751" s="131"/>
      <c r="AT751" s="131"/>
      <c r="AU751" s="91"/>
      <c r="AV751" s="91"/>
      <c r="AW751" s="131"/>
      <c r="AX751" s="131"/>
      <c r="AY751" s="131"/>
    </row>
    <row r="752" spans="1:51" ht="15" x14ac:dyDescent="0.25">
      <c r="A752" s="123"/>
      <c r="B752" s="124"/>
      <c r="C752" s="125">
        <v>455591</v>
      </c>
      <c r="D752" s="89"/>
      <c r="E752" s="86" t="s">
        <v>30</v>
      </c>
      <c r="F752" s="86" t="s">
        <v>418</v>
      </c>
      <c r="H752" s="126" t="s">
        <v>51</v>
      </c>
      <c r="I752" s="89">
        <v>0</v>
      </c>
      <c r="J752" s="127">
        <v>15302.715200000001</v>
      </c>
      <c r="K752" s="127">
        <v>54330.64</v>
      </c>
      <c r="L752" s="127">
        <v>6752.8600000000006</v>
      </c>
      <c r="M752" s="127">
        <v>0</v>
      </c>
      <c r="N752" s="127">
        <v>44674.14</v>
      </c>
      <c r="O752" s="127">
        <v>5962.3600000000006</v>
      </c>
      <c r="P752" s="128">
        <f t="shared" si="99"/>
        <v>0</v>
      </c>
      <c r="Q752" s="128">
        <f t="shared" si="100"/>
        <v>0.82226419567301245</v>
      </c>
      <c r="R752" s="128">
        <f t="shared" si="101"/>
        <v>0.88293848828496369</v>
      </c>
      <c r="S752" s="129">
        <v>0</v>
      </c>
      <c r="T752" s="129">
        <v>1</v>
      </c>
      <c r="U752" s="129">
        <v>1</v>
      </c>
      <c r="V752" s="138">
        <f t="shared" si="102"/>
        <v>2</v>
      </c>
      <c r="W752" s="138">
        <f t="shared" si="103"/>
        <v>2</v>
      </c>
      <c r="X752" s="138">
        <f t="shared" si="104"/>
        <v>0</v>
      </c>
      <c r="Y752" s="138">
        <f t="shared" si="105"/>
        <v>0</v>
      </c>
      <c r="Z752" s="138">
        <f t="shared" si="106"/>
        <v>2</v>
      </c>
      <c r="AA752" s="138">
        <f t="shared" si="107"/>
        <v>1</v>
      </c>
      <c r="AB752" s="127" t="s">
        <v>32</v>
      </c>
      <c r="AC752" s="127" t="s">
        <v>31</v>
      </c>
      <c r="AD752" s="127"/>
      <c r="AE752" s="130"/>
      <c r="AF752" s="136">
        <v>0</v>
      </c>
      <c r="AG752" s="136">
        <v>4.0599999999999996</v>
      </c>
      <c r="AH752" s="136">
        <v>22.03</v>
      </c>
      <c r="AI752" s="136">
        <v>5.99</v>
      </c>
      <c r="AJ752" s="136">
        <v>3.7</v>
      </c>
      <c r="AK752" s="136">
        <v>0.49</v>
      </c>
      <c r="AL752" s="136">
        <v>3.31</v>
      </c>
      <c r="AM752" s="136">
        <v>39.580000000000005</v>
      </c>
      <c r="AN752" s="131"/>
      <c r="AO752" s="131"/>
      <c r="AP752" s="131"/>
      <c r="AQ752" s="131"/>
      <c r="AR752" s="131"/>
      <c r="AS752" s="131"/>
      <c r="AT752" s="131"/>
      <c r="AU752" s="91"/>
      <c r="AV752" s="91"/>
      <c r="AW752" s="131"/>
      <c r="AX752" s="131"/>
      <c r="AY752" s="131"/>
    </row>
    <row r="753" spans="1:51" ht="15" x14ac:dyDescent="0.25">
      <c r="A753" s="123"/>
      <c r="B753" s="124"/>
      <c r="C753" s="125">
        <v>460573</v>
      </c>
      <c r="D753" s="89"/>
      <c r="E753" s="86" t="s">
        <v>30</v>
      </c>
      <c r="F753" s="86" t="s">
        <v>418</v>
      </c>
      <c r="H753" s="126" t="s">
        <v>51</v>
      </c>
      <c r="I753" s="89">
        <v>1</v>
      </c>
      <c r="J753" s="127">
        <v>15302.715200000001</v>
      </c>
      <c r="K753" s="127">
        <v>54330.64</v>
      </c>
      <c r="L753" s="127">
        <v>6752.8600000000006</v>
      </c>
      <c r="M753" s="127">
        <v>0</v>
      </c>
      <c r="N753" s="127">
        <v>44674.14</v>
      </c>
      <c r="O753" s="127">
        <v>5962.3600000000006</v>
      </c>
      <c r="P753" s="128">
        <f t="shared" si="99"/>
        <v>0</v>
      </c>
      <c r="Q753" s="128">
        <f t="shared" si="100"/>
        <v>0.82226419567301245</v>
      </c>
      <c r="R753" s="128">
        <f t="shared" si="101"/>
        <v>0.88293848828496369</v>
      </c>
      <c r="S753" s="129">
        <v>0</v>
      </c>
      <c r="T753" s="129">
        <v>1</v>
      </c>
      <c r="U753" s="129">
        <v>1</v>
      </c>
      <c r="V753" s="138">
        <f t="shared" si="102"/>
        <v>3</v>
      </c>
      <c r="W753" s="138">
        <f t="shared" si="103"/>
        <v>3</v>
      </c>
      <c r="X753" s="138">
        <f t="shared" si="104"/>
        <v>1</v>
      </c>
      <c r="Y753" s="138">
        <f t="shared" si="105"/>
        <v>0</v>
      </c>
      <c r="Z753" s="138">
        <f t="shared" si="106"/>
        <v>3</v>
      </c>
      <c r="AA753" s="138">
        <f t="shared" si="107"/>
        <v>1</v>
      </c>
      <c r="AB753" s="127" t="s">
        <v>32</v>
      </c>
      <c r="AC753" s="127" t="s">
        <v>31</v>
      </c>
      <c r="AD753" s="127"/>
      <c r="AE753" s="130"/>
      <c r="AF753" s="136">
        <v>0</v>
      </c>
      <c r="AG753" s="136">
        <v>4.0599999999999996</v>
      </c>
      <c r="AH753" s="136">
        <v>33.04</v>
      </c>
      <c r="AI753" s="136">
        <v>5.99</v>
      </c>
      <c r="AJ753" s="136">
        <v>3.7</v>
      </c>
      <c r="AK753" s="136">
        <v>0.49</v>
      </c>
      <c r="AL753" s="136">
        <v>3.31</v>
      </c>
      <c r="AM753" s="136">
        <v>50.590000000000011</v>
      </c>
      <c r="AN753" s="131"/>
      <c r="AO753" s="131"/>
      <c r="AP753" s="131"/>
      <c r="AQ753" s="131"/>
      <c r="AR753" s="131"/>
      <c r="AS753" s="131"/>
      <c r="AT753" s="131"/>
      <c r="AU753" s="91"/>
      <c r="AV753" s="91"/>
      <c r="AW753" s="131"/>
      <c r="AX753" s="131"/>
      <c r="AY753" s="131"/>
    </row>
    <row r="754" spans="1:51" ht="15" x14ac:dyDescent="0.25">
      <c r="A754" s="123"/>
      <c r="B754" s="124"/>
      <c r="C754" s="125">
        <v>486036</v>
      </c>
      <c r="D754" s="89"/>
      <c r="E754" s="86" t="s">
        <v>30</v>
      </c>
      <c r="F754" s="86" t="s">
        <v>418</v>
      </c>
      <c r="H754" s="126" t="s">
        <v>51</v>
      </c>
      <c r="I754" s="89">
        <v>1</v>
      </c>
      <c r="J754" s="127">
        <v>15302.715200000001</v>
      </c>
      <c r="K754" s="127">
        <v>54330.64</v>
      </c>
      <c r="L754" s="127">
        <v>6752.8600000000006</v>
      </c>
      <c r="M754" s="127">
        <v>0</v>
      </c>
      <c r="N754" s="127">
        <v>44674.14</v>
      </c>
      <c r="O754" s="127">
        <v>5962.3600000000006</v>
      </c>
      <c r="P754" s="128">
        <f t="shared" si="99"/>
        <v>0</v>
      </c>
      <c r="Q754" s="128">
        <f t="shared" si="100"/>
        <v>0.82226419567301245</v>
      </c>
      <c r="R754" s="128">
        <f t="shared" si="101"/>
        <v>0.88293848828496369</v>
      </c>
      <c r="S754" s="129">
        <v>0</v>
      </c>
      <c r="T754" s="129">
        <v>1</v>
      </c>
      <c r="U754" s="129">
        <v>1</v>
      </c>
      <c r="V754" s="138">
        <f t="shared" si="102"/>
        <v>3</v>
      </c>
      <c r="W754" s="138">
        <f t="shared" si="103"/>
        <v>3</v>
      </c>
      <c r="X754" s="138">
        <f t="shared" si="104"/>
        <v>1</v>
      </c>
      <c r="Y754" s="138">
        <f t="shared" si="105"/>
        <v>0</v>
      </c>
      <c r="Z754" s="138">
        <f t="shared" si="106"/>
        <v>3</v>
      </c>
      <c r="AA754" s="138">
        <f t="shared" si="107"/>
        <v>1</v>
      </c>
      <c r="AB754" s="127" t="s">
        <v>32</v>
      </c>
      <c r="AC754" s="127" t="s">
        <v>31</v>
      </c>
      <c r="AD754" s="127"/>
      <c r="AE754" s="130"/>
      <c r="AF754" s="136">
        <v>0</v>
      </c>
      <c r="AG754" s="136">
        <v>4.0599999999999996</v>
      </c>
      <c r="AH754" s="136">
        <v>33.04</v>
      </c>
      <c r="AI754" s="136">
        <v>5.99</v>
      </c>
      <c r="AJ754" s="136">
        <v>3.7</v>
      </c>
      <c r="AK754" s="136">
        <v>0.49</v>
      </c>
      <c r="AL754" s="136">
        <v>3.31</v>
      </c>
      <c r="AM754" s="136">
        <v>50.590000000000011</v>
      </c>
      <c r="AN754" s="131"/>
      <c r="AO754" s="131"/>
      <c r="AP754" s="131"/>
      <c r="AQ754" s="131"/>
      <c r="AR754" s="131"/>
      <c r="AS754" s="131"/>
      <c r="AT754" s="131"/>
      <c r="AU754" s="91"/>
      <c r="AV754" s="91"/>
      <c r="AW754" s="131"/>
      <c r="AX754" s="131"/>
      <c r="AY754" s="131"/>
    </row>
    <row r="755" spans="1:51" ht="15" x14ac:dyDescent="0.25">
      <c r="A755" s="123"/>
      <c r="B755" s="124"/>
      <c r="C755" s="125">
        <v>517293</v>
      </c>
      <c r="D755" s="89"/>
      <c r="E755" s="86" t="s">
        <v>30</v>
      </c>
      <c r="F755" s="86" t="s">
        <v>418</v>
      </c>
      <c r="H755" s="126" t="s">
        <v>51</v>
      </c>
      <c r="I755" s="89">
        <v>0</v>
      </c>
      <c r="J755" s="127">
        <v>15302.715200000001</v>
      </c>
      <c r="K755" s="127">
        <v>54330.64</v>
      </c>
      <c r="L755" s="127">
        <v>6752.8600000000006</v>
      </c>
      <c r="M755" s="127">
        <v>0</v>
      </c>
      <c r="N755" s="127">
        <v>44674.14</v>
      </c>
      <c r="O755" s="127">
        <v>5962.3600000000006</v>
      </c>
      <c r="P755" s="128">
        <f t="shared" si="99"/>
        <v>0</v>
      </c>
      <c r="Q755" s="128">
        <f t="shared" si="100"/>
        <v>0.82226419567301245</v>
      </c>
      <c r="R755" s="128">
        <f t="shared" si="101"/>
        <v>0.88293848828496369</v>
      </c>
      <c r="S755" s="129">
        <v>0</v>
      </c>
      <c r="T755" s="129">
        <v>1</v>
      </c>
      <c r="U755" s="129">
        <v>1</v>
      </c>
      <c r="V755" s="138">
        <f t="shared" si="102"/>
        <v>2</v>
      </c>
      <c r="W755" s="138">
        <f t="shared" si="103"/>
        <v>2</v>
      </c>
      <c r="X755" s="138">
        <f t="shared" si="104"/>
        <v>0</v>
      </c>
      <c r="Y755" s="138">
        <f t="shared" si="105"/>
        <v>0</v>
      </c>
      <c r="Z755" s="138">
        <f t="shared" si="106"/>
        <v>2</v>
      </c>
      <c r="AA755" s="138">
        <f t="shared" si="107"/>
        <v>1</v>
      </c>
      <c r="AB755" s="127" t="s">
        <v>32</v>
      </c>
      <c r="AC755" s="127" t="s">
        <v>31</v>
      </c>
      <c r="AD755" s="127"/>
      <c r="AE755" s="130"/>
      <c r="AF755" s="136">
        <v>0</v>
      </c>
      <c r="AG755" s="136">
        <v>4.0599999999999996</v>
      </c>
      <c r="AH755" s="136">
        <v>22.03</v>
      </c>
      <c r="AI755" s="136">
        <v>5.99</v>
      </c>
      <c r="AJ755" s="136">
        <v>3.7</v>
      </c>
      <c r="AK755" s="136">
        <v>0.49</v>
      </c>
      <c r="AL755" s="136">
        <v>3.31</v>
      </c>
      <c r="AM755" s="136">
        <v>39.580000000000005</v>
      </c>
      <c r="AN755" s="131"/>
      <c r="AO755" s="131"/>
      <c r="AP755" s="131"/>
      <c r="AQ755" s="131"/>
      <c r="AR755" s="131"/>
      <c r="AS755" s="131"/>
      <c r="AT755" s="131"/>
      <c r="AU755" s="91"/>
      <c r="AV755" s="91"/>
      <c r="AW755" s="131"/>
      <c r="AX755" s="131"/>
      <c r="AY755" s="131"/>
    </row>
    <row r="756" spans="1:51" ht="15" x14ac:dyDescent="0.25">
      <c r="A756" s="123"/>
      <c r="B756" s="124"/>
      <c r="C756" s="125">
        <v>523271.99999999994</v>
      </c>
      <c r="D756" s="89"/>
      <c r="E756" s="86" t="s">
        <v>30</v>
      </c>
      <c r="F756" s="86" t="s">
        <v>418</v>
      </c>
      <c r="H756" s="126" t="s">
        <v>51</v>
      </c>
      <c r="I756" s="89">
        <v>0</v>
      </c>
      <c r="J756" s="127">
        <v>15302.715200000001</v>
      </c>
      <c r="K756" s="127">
        <v>54330.64</v>
      </c>
      <c r="L756" s="127">
        <v>6752.8600000000006</v>
      </c>
      <c r="M756" s="127">
        <v>0</v>
      </c>
      <c r="N756" s="127">
        <v>44674.14</v>
      </c>
      <c r="O756" s="127">
        <v>5962.3600000000006</v>
      </c>
      <c r="P756" s="128">
        <f t="shared" si="99"/>
        <v>0</v>
      </c>
      <c r="Q756" s="128">
        <f t="shared" si="100"/>
        <v>0.82226419567301245</v>
      </c>
      <c r="R756" s="128">
        <f t="shared" si="101"/>
        <v>0.88293848828496369</v>
      </c>
      <c r="S756" s="129">
        <v>0</v>
      </c>
      <c r="T756" s="129">
        <v>1</v>
      </c>
      <c r="U756" s="129">
        <v>1</v>
      </c>
      <c r="V756" s="138">
        <f t="shared" si="102"/>
        <v>2</v>
      </c>
      <c r="W756" s="138">
        <f t="shared" si="103"/>
        <v>2</v>
      </c>
      <c r="X756" s="138">
        <f t="shared" si="104"/>
        <v>0</v>
      </c>
      <c r="Y756" s="138">
        <f t="shared" si="105"/>
        <v>0</v>
      </c>
      <c r="Z756" s="138">
        <f t="shared" si="106"/>
        <v>2</v>
      </c>
      <c r="AA756" s="138">
        <f t="shared" si="107"/>
        <v>1</v>
      </c>
      <c r="AB756" s="127" t="s">
        <v>32</v>
      </c>
      <c r="AC756" s="127" t="s">
        <v>31</v>
      </c>
      <c r="AD756" s="127"/>
      <c r="AE756" s="130"/>
      <c r="AF756" s="136">
        <v>0</v>
      </c>
      <c r="AG756" s="136">
        <v>4.0599999999999996</v>
      </c>
      <c r="AH756" s="136">
        <v>22.03</v>
      </c>
      <c r="AI756" s="136">
        <v>5.99</v>
      </c>
      <c r="AJ756" s="136">
        <v>3.7</v>
      </c>
      <c r="AK756" s="136">
        <v>0.49</v>
      </c>
      <c r="AL756" s="136">
        <v>3.31</v>
      </c>
      <c r="AM756" s="136">
        <v>39.580000000000005</v>
      </c>
      <c r="AN756" s="131"/>
      <c r="AO756" s="131"/>
      <c r="AP756" s="131"/>
      <c r="AQ756" s="131"/>
      <c r="AR756" s="131"/>
      <c r="AS756" s="131"/>
      <c r="AT756" s="131"/>
      <c r="AU756" s="91"/>
      <c r="AV756" s="91"/>
      <c r="AW756" s="131"/>
      <c r="AX756" s="131"/>
      <c r="AY756" s="131"/>
    </row>
    <row r="757" spans="1:51" ht="15" x14ac:dyDescent="0.25">
      <c r="A757" s="123"/>
      <c r="B757" s="124"/>
      <c r="C757" s="125">
        <v>563236</v>
      </c>
      <c r="D757" s="89"/>
      <c r="E757" s="86" t="s">
        <v>30</v>
      </c>
      <c r="F757" s="86" t="s">
        <v>418</v>
      </c>
      <c r="H757" s="126" t="s">
        <v>51</v>
      </c>
      <c r="I757" s="89">
        <v>0</v>
      </c>
      <c r="J757" s="127">
        <v>15302.715200000001</v>
      </c>
      <c r="K757" s="127">
        <v>54330.64</v>
      </c>
      <c r="L757" s="127">
        <v>6752.8600000000006</v>
      </c>
      <c r="M757" s="127">
        <v>0</v>
      </c>
      <c r="N757" s="127">
        <v>44674.14</v>
      </c>
      <c r="O757" s="127">
        <v>5962.3600000000006</v>
      </c>
      <c r="P757" s="128">
        <f t="shared" si="99"/>
        <v>0</v>
      </c>
      <c r="Q757" s="128">
        <f t="shared" si="100"/>
        <v>0.82226419567301245</v>
      </c>
      <c r="R757" s="128">
        <f t="shared" si="101"/>
        <v>0.88293848828496369</v>
      </c>
      <c r="S757" s="129">
        <v>0</v>
      </c>
      <c r="T757" s="129">
        <v>1</v>
      </c>
      <c r="U757" s="129">
        <v>1</v>
      </c>
      <c r="V757" s="138">
        <f t="shared" si="102"/>
        <v>2</v>
      </c>
      <c r="W757" s="138">
        <f t="shared" si="103"/>
        <v>2</v>
      </c>
      <c r="X757" s="138">
        <f t="shared" si="104"/>
        <v>0</v>
      </c>
      <c r="Y757" s="138">
        <f t="shared" si="105"/>
        <v>0</v>
      </c>
      <c r="Z757" s="138">
        <f t="shared" si="106"/>
        <v>2</v>
      </c>
      <c r="AA757" s="138">
        <f t="shared" si="107"/>
        <v>1</v>
      </c>
      <c r="AB757" s="127" t="s">
        <v>32</v>
      </c>
      <c r="AC757" s="127" t="s">
        <v>31</v>
      </c>
      <c r="AD757" s="127"/>
      <c r="AE757" s="130"/>
      <c r="AF757" s="136">
        <v>0</v>
      </c>
      <c r="AG757" s="136">
        <v>4.0599999999999996</v>
      </c>
      <c r="AH757" s="136">
        <v>22.03</v>
      </c>
      <c r="AI757" s="136">
        <v>5.99</v>
      </c>
      <c r="AJ757" s="136">
        <v>3.7</v>
      </c>
      <c r="AK757" s="136">
        <v>0.49</v>
      </c>
      <c r="AL757" s="136">
        <v>3.31</v>
      </c>
      <c r="AM757" s="136">
        <v>39.580000000000005</v>
      </c>
      <c r="AN757" s="131"/>
      <c r="AO757" s="131"/>
      <c r="AP757" s="131"/>
      <c r="AQ757" s="131"/>
      <c r="AR757" s="131"/>
      <c r="AS757" s="131"/>
      <c r="AT757" s="131"/>
      <c r="AU757" s="91"/>
      <c r="AV757" s="91"/>
      <c r="AW757" s="131"/>
      <c r="AX757" s="131"/>
      <c r="AY757" s="131"/>
    </row>
    <row r="758" spans="1:51" ht="15" x14ac:dyDescent="0.25">
      <c r="A758" s="123"/>
      <c r="B758" s="124"/>
      <c r="C758" s="125">
        <v>630910</v>
      </c>
      <c r="D758" s="89"/>
      <c r="E758" s="86" t="s">
        <v>30</v>
      </c>
      <c r="F758" s="86" t="s">
        <v>418</v>
      </c>
      <c r="H758" s="126" t="s">
        <v>51</v>
      </c>
      <c r="I758" s="89">
        <v>1</v>
      </c>
      <c r="J758" s="127">
        <v>15302.715200000001</v>
      </c>
      <c r="K758" s="127">
        <v>54330.64</v>
      </c>
      <c r="L758" s="127">
        <v>6752.8600000000006</v>
      </c>
      <c r="M758" s="127">
        <v>0</v>
      </c>
      <c r="N758" s="127">
        <v>44674.14</v>
      </c>
      <c r="O758" s="127">
        <v>5962.3600000000006</v>
      </c>
      <c r="P758" s="128">
        <f t="shared" si="99"/>
        <v>0</v>
      </c>
      <c r="Q758" s="128">
        <f t="shared" si="100"/>
        <v>0.82226419567301245</v>
      </c>
      <c r="R758" s="128">
        <f t="shared" si="101"/>
        <v>0.88293848828496369</v>
      </c>
      <c r="S758" s="129">
        <v>0</v>
      </c>
      <c r="T758" s="129">
        <v>1</v>
      </c>
      <c r="U758" s="129">
        <v>1</v>
      </c>
      <c r="V758" s="138">
        <f t="shared" si="102"/>
        <v>3</v>
      </c>
      <c r="W758" s="138">
        <f t="shared" si="103"/>
        <v>3</v>
      </c>
      <c r="X758" s="138">
        <f t="shared" si="104"/>
        <v>1</v>
      </c>
      <c r="Y758" s="138">
        <f t="shared" si="105"/>
        <v>0</v>
      </c>
      <c r="Z758" s="138">
        <f t="shared" si="106"/>
        <v>3</v>
      </c>
      <c r="AA758" s="138">
        <f t="shared" si="107"/>
        <v>1</v>
      </c>
      <c r="AB758" s="127" t="s">
        <v>32</v>
      </c>
      <c r="AC758" s="127" t="s">
        <v>31</v>
      </c>
      <c r="AD758" s="127"/>
      <c r="AE758" s="130"/>
      <c r="AF758" s="136">
        <v>0</v>
      </c>
      <c r="AG758" s="136">
        <v>4.0599999999999996</v>
      </c>
      <c r="AH758" s="136">
        <v>33.04</v>
      </c>
      <c r="AI758" s="136">
        <v>5.99</v>
      </c>
      <c r="AJ758" s="136">
        <v>3.7</v>
      </c>
      <c r="AK758" s="136">
        <v>0.49</v>
      </c>
      <c r="AL758" s="136">
        <v>3.31</v>
      </c>
      <c r="AM758" s="136">
        <v>50.590000000000011</v>
      </c>
      <c r="AN758" s="131"/>
      <c r="AO758" s="131"/>
      <c r="AP758" s="131"/>
      <c r="AQ758" s="131"/>
      <c r="AR758" s="131"/>
      <c r="AS758" s="131"/>
      <c r="AT758" s="131"/>
      <c r="AU758" s="91"/>
      <c r="AV758" s="91"/>
      <c r="AW758" s="131"/>
      <c r="AX758" s="131"/>
      <c r="AY758" s="131"/>
    </row>
    <row r="759" spans="1:51" ht="15" x14ac:dyDescent="0.25">
      <c r="A759" s="123"/>
      <c r="B759" s="124"/>
      <c r="C759" s="125">
        <v>642816</v>
      </c>
      <c r="D759" s="89"/>
      <c r="E759" s="86" t="s">
        <v>30</v>
      </c>
      <c r="F759" s="86" t="s">
        <v>418</v>
      </c>
      <c r="H759" s="126" t="s">
        <v>51</v>
      </c>
      <c r="I759" s="89">
        <v>0</v>
      </c>
      <c r="J759" s="127">
        <v>15302.715200000001</v>
      </c>
      <c r="K759" s="127">
        <v>54330.64</v>
      </c>
      <c r="L759" s="127">
        <v>6752.8600000000006</v>
      </c>
      <c r="M759" s="127">
        <v>0</v>
      </c>
      <c r="N759" s="127">
        <v>44674.14</v>
      </c>
      <c r="O759" s="127">
        <v>5962.3600000000006</v>
      </c>
      <c r="P759" s="128">
        <f t="shared" si="99"/>
        <v>0</v>
      </c>
      <c r="Q759" s="128">
        <f t="shared" si="100"/>
        <v>0.82226419567301245</v>
      </c>
      <c r="R759" s="128">
        <f t="shared" si="101"/>
        <v>0.88293848828496369</v>
      </c>
      <c r="S759" s="129">
        <v>0</v>
      </c>
      <c r="T759" s="129">
        <v>1</v>
      </c>
      <c r="U759" s="129">
        <v>1</v>
      </c>
      <c r="V759" s="138">
        <f t="shared" si="102"/>
        <v>2</v>
      </c>
      <c r="W759" s="138">
        <f t="shared" si="103"/>
        <v>2</v>
      </c>
      <c r="X759" s="138">
        <f t="shared" si="104"/>
        <v>0</v>
      </c>
      <c r="Y759" s="138">
        <f t="shared" si="105"/>
        <v>0</v>
      </c>
      <c r="Z759" s="138">
        <f t="shared" si="106"/>
        <v>2</v>
      </c>
      <c r="AA759" s="138">
        <f t="shared" si="107"/>
        <v>1</v>
      </c>
      <c r="AB759" s="127" t="s">
        <v>32</v>
      </c>
      <c r="AC759" s="127" t="s">
        <v>31</v>
      </c>
      <c r="AD759" s="127"/>
      <c r="AE759" s="130"/>
      <c r="AF759" s="136">
        <v>0</v>
      </c>
      <c r="AG759" s="136">
        <v>4.0599999999999996</v>
      </c>
      <c r="AH759" s="136">
        <v>22.03</v>
      </c>
      <c r="AI759" s="136">
        <v>5.99</v>
      </c>
      <c r="AJ759" s="136">
        <v>3.7</v>
      </c>
      <c r="AK759" s="136">
        <v>0.49</v>
      </c>
      <c r="AL759" s="136">
        <v>3.31</v>
      </c>
      <c r="AM759" s="136">
        <v>39.580000000000005</v>
      </c>
      <c r="AN759" s="131"/>
      <c r="AO759" s="131"/>
      <c r="AP759" s="131"/>
      <c r="AQ759" s="131"/>
      <c r="AR759" s="131"/>
      <c r="AS759" s="131"/>
      <c r="AT759" s="131"/>
      <c r="AU759" s="91"/>
      <c r="AV759" s="91"/>
      <c r="AW759" s="131"/>
      <c r="AX759" s="131"/>
      <c r="AY759" s="131"/>
    </row>
    <row r="760" spans="1:51" ht="15" x14ac:dyDescent="0.25">
      <c r="A760" s="123"/>
      <c r="B760" s="124"/>
      <c r="C760" s="125">
        <v>643338</v>
      </c>
      <c r="D760" s="89"/>
      <c r="E760" s="86" t="s">
        <v>30</v>
      </c>
      <c r="F760" s="86" t="s">
        <v>418</v>
      </c>
      <c r="H760" s="126" t="s">
        <v>51</v>
      </c>
      <c r="I760" s="89">
        <v>0</v>
      </c>
      <c r="J760" s="127">
        <v>15302.715200000001</v>
      </c>
      <c r="K760" s="127">
        <v>54330.64</v>
      </c>
      <c r="L760" s="127">
        <v>6752.8600000000006</v>
      </c>
      <c r="M760" s="127">
        <v>0</v>
      </c>
      <c r="N760" s="127">
        <v>44674.14</v>
      </c>
      <c r="O760" s="127">
        <v>5962.3600000000006</v>
      </c>
      <c r="P760" s="128">
        <f t="shared" si="99"/>
        <v>0</v>
      </c>
      <c r="Q760" s="128">
        <f t="shared" si="100"/>
        <v>0.82226419567301245</v>
      </c>
      <c r="R760" s="128">
        <f t="shared" si="101"/>
        <v>0.88293848828496369</v>
      </c>
      <c r="S760" s="129">
        <v>0</v>
      </c>
      <c r="T760" s="129">
        <v>1</v>
      </c>
      <c r="U760" s="129">
        <v>1</v>
      </c>
      <c r="V760" s="138">
        <f t="shared" si="102"/>
        <v>2</v>
      </c>
      <c r="W760" s="138">
        <f t="shared" si="103"/>
        <v>2</v>
      </c>
      <c r="X760" s="138">
        <f t="shared" si="104"/>
        <v>0</v>
      </c>
      <c r="Y760" s="138">
        <f t="shared" si="105"/>
        <v>0</v>
      </c>
      <c r="Z760" s="138">
        <f t="shared" si="106"/>
        <v>2</v>
      </c>
      <c r="AA760" s="138">
        <f t="shared" si="107"/>
        <v>1</v>
      </c>
      <c r="AB760" s="127" t="s">
        <v>32</v>
      </c>
      <c r="AC760" s="127" t="s">
        <v>31</v>
      </c>
      <c r="AD760" s="127"/>
      <c r="AE760" s="130"/>
      <c r="AF760" s="136">
        <v>0</v>
      </c>
      <c r="AG760" s="136">
        <v>4.0599999999999996</v>
      </c>
      <c r="AH760" s="136">
        <v>22.03</v>
      </c>
      <c r="AI760" s="136">
        <v>5.99</v>
      </c>
      <c r="AJ760" s="136">
        <v>3.7</v>
      </c>
      <c r="AK760" s="136">
        <v>0.49</v>
      </c>
      <c r="AL760" s="136">
        <v>3.31</v>
      </c>
      <c r="AM760" s="136">
        <v>39.580000000000005</v>
      </c>
      <c r="AN760" s="131"/>
      <c r="AO760" s="131"/>
      <c r="AP760" s="131"/>
      <c r="AQ760" s="131"/>
      <c r="AR760" s="131"/>
      <c r="AS760" s="131"/>
      <c r="AT760" s="131"/>
      <c r="AU760" s="91"/>
      <c r="AV760" s="91"/>
      <c r="AW760" s="131"/>
      <c r="AX760" s="131"/>
      <c r="AY760" s="131"/>
    </row>
    <row r="761" spans="1:51" ht="15" x14ac:dyDescent="0.25">
      <c r="A761" s="123"/>
      <c r="B761" s="124"/>
      <c r="C761" s="125">
        <v>670921</v>
      </c>
      <c r="D761" s="89"/>
      <c r="E761" s="86" t="s">
        <v>30</v>
      </c>
      <c r="F761" s="86" t="s">
        <v>418</v>
      </c>
      <c r="H761" s="126" t="s">
        <v>51</v>
      </c>
      <c r="I761" s="89">
        <v>1</v>
      </c>
      <c r="J761" s="127">
        <v>15302.715200000001</v>
      </c>
      <c r="K761" s="127">
        <v>54330.64</v>
      </c>
      <c r="L761" s="127">
        <v>6752.8600000000006</v>
      </c>
      <c r="M761" s="127">
        <v>0</v>
      </c>
      <c r="N761" s="127">
        <v>44674.14</v>
      </c>
      <c r="O761" s="127">
        <v>5962.3600000000006</v>
      </c>
      <c r="P761" s="128">
        <f t="shared" si="99"/>
        <v>0</v>
      </c>
      <c r="Q761" s="128">
        <f t="shared" si="100"/>
        <v>0.82226419567301245</v>
      </c>
      <c r="R761" s="128">
        <f t="shared" si="101"/>
        <v>0.88293848828496369</v>
      </c>
      <c r="S761" s="129">
        <v>0</v>
      </c>
      <c r="T761" s="129">
        <v>1</v>
      </c>
      <c r="U761" s="129">
        <v>1</v>
      </c>
      <c r="V761" s="138">
        <f t="shared" si="102"/>
        <v>3</v>
      </c>
      <c r="W761" s="138">
        <f t="shared" si="103"/>
        <v>3</v>
      </c>
      <c r="X761" s="138">
        <f t="shared" si="104"/>
        <v>1</v>
      </c>
      <c r="Y761" s="138">
        <f t="shared" si="105"/>
        <v>0</v>
      </c>
      <c r="Z761" s="138">
        <f t="shared" si="106"/>
        <v>3</v>
      </c>
      <c r="AA761" s="138">
        <f t="shared" si="107"/>
        <v>1</v>
      </c>
      <c r="AB761" s="127" t="s">
        <v>32</v>
      </c>
      <c r="AC761" s="127" t="s">
        <v>31</v>
      </c>
      <c r="AD761" s="127"/>
      <c r="AE761" s="130"/>
      <c r="AF761" s="136">
        <v>0</v>
      </c>
      <c r="AG761" s="136">
        <v>4.0599999999999996</v>
      </c>
      <c r="AH761" s="136">
        <v>33.04</v>
      </c>
      <c r="AI761" s="136">
        <v>5.99</v>
      </c>
      <c r="AJ761" s="136">
        <v>3.7</v>
      </c>
      <c r="AK761" s="136">
        <v>0.49</v>
      </c>
      <c r="AL761" s="136">
        <v>3.31</v>
      </c>
      <c r="AM761" s="136">
        <v>50.590000000000011</v>
      </c>
      <c r="AN761" s="131"/>
      <c r="AO761" s="131"/>
      <c r="AP761" s="131"/>
      <c r="AQ761" s="131"/>
      <c r="AR761" s="131"/>
      <c r="AS761" s="131"/>
      <c r="AT761" s="131"/>
      <c r="AU761" s="91"/>
      <c r="AV761" s="91"/>
      <c r="AW761" s="131"/>
      <c r="AX761" s="131"/>
      <c r="AY761" s="131"/>
    </row>
    <row r="762" spans="1:51" ht="15" x14ac:dyDescent="0.25">
      <c r="A762" s="123"/>
      <c r="B762" s="124"/>
      <c r="C762" s="125">
        <v>707670</v>
      </c>
      <c r="D762" s="89"/>
      <c r="E762" s="86" t="s">
        <v>30</v>
      </c>
      <c r="F762" s="86" t="s">
        <v>418</v>
      </c>
      <c r="H762" s="126" t="s">
        <v>51</v>
      </c>
      <c r="I762" s="89">
        <v>0</v>
      </c>
      <c r="J762" s="127">
        <v>15302.715200000001</v>
      </c>
      <c r="K762" s="127">
        <v>54330.64</v>
      </c>
      <c r="L762" s="127">
        <v>6752.8600000000006</v>
      </c>
      <c r="M762" s="127">
        <v>0</v>
      </c>
      <c r="N762" s="127">
        <v>44674.14</v>
      </c>
      <c r="O762" s="127">
        <v>5962.3600000000006</v>
      </c>
      <c r="P762" s="128">
        <f t="shared" si="99"/>
        <v>0</v>
      </c>
      <c r="Q762" s="128">
        <f t="shared" si="100"/>
        <v>0.82226419567301245</v>
      </c>
      <c r="R762" s="128">
        <f t="shared" si="101"/>
        <v>0.88293848828496369</v>
      </c>
      <c r="S762" s="129">
        <v>0</v>
      </c>
      <c r="T762" s="129">
        <v>1</v>
      </c>
      <c r="U762" s="129">
        <v>1</v>
      </c>
      <c r="V762" s="138">
        <f t="shared" si="102"/>
        <v>2</v>
      </c>
      <c r="W762" s="138">
        <f t="shared" si="103"/>
        <v>2</v>
      </c>
      <c r="X762" s="138">
        <f t="shared" si="104"/>
        <v>0</v>
      </c>
      <c r="Y762" s="138">
        <f t="shared" si="105"/>
        <v>0</v>
      </c>
      <c r="Z762" s="138">
        <f t="shared" si="106"/>
        <v>2</v>
      </c>
      <c r="AA762" s="138">
        <f t="shared" si="107"/>
        <v>1</v>
      </c>
      <c r="AB762" s="127" t="s">
        <v>32</v>
      </c>
      <c r="AC762" s="127" t="s">
        <v>31</v>
      </c>
      <c r="AD762" s="127"/>
      <c r="AE762" s="130"/>
      <c r="AF762" s="136">
        <v>0</v>
      </c>
      <c r="AG762" s="136">
        <v>4.0599999999999996</v>
      </c>
      <c r="AH762" s="136">
        <v>22.03</v>
      </c>
      <c r="AI762" s="136">
        <v>5.99</v>
      </c>
      <c r="AJ762" s="136">
        <v>3.7</v>
      </c>
      <c r="AK762" s="136">
        <v>0.49</v>
      </c>
      <c r="AL762" s="136">
        <v>3.31</v>
      </c>
      <c r="AM762" s="136">
        <v>39.580000000000005</v>
      </c>
      <c r="AN762" s="131"/>
      <c r="AO762" s="131"/>
      <c r="AP762" s="131"/>
      <c r="AQ762" s="131"/>
      <c r="AR762" s="131"/>
      <c r="AS762" s="131"/>
      <c r="AT762" s="131"/>
      <c r="AU762" s="91"/>
      <c r="AV762" s="91"/>
      <c r="AW762" s="131"/>
      <c r="AX762" s="131"/>
      <c r="AY762" s="131"/>
    </row>
    <row r="763" spans="1:51" ht="15" x14ac:dyDescent="0.25">
      <c r="A763" s="123"/>
      <c r="B763" s="124"/>
      <c r="C763" s="125">
        <v>732124</v>
      </c>
      <c r="D763" s="89"/>
      <c r="E763" s="86" t="s">
        <v>30</v>
      </c>
      <c r="F763" s="86" t="s">
        <v>418</v>
      </c>
      <c r="H763" s="126" t="s">
        <v>51</v>
      </c>
      <c r="I763" s="89">
        <v>0</v>
      </c>
      <c r="J763" s="127">
        <v>15302.715200000001</v>
      </c>
      <c r="K763" s="127">
        <v>54330.64</v>
      </c>
      <c r="L763" s="127">
        <v>6752.8600000000006</v>
      </c>
      <c r="M763" s="127">
        <v>0</v>
      </c>
      <c r="N763" s="127">
        <v>44674.14</v>
      </c>
      <c r="O763" s="127">
        <v>5962.3600000000006</v>
      </c>
      <c r="P763" s="128">
        <f t="shared" si="99"/>
        <v>0</v>
      </c>
      <c r="Q763" s="128">
        <f t="shared" si="100"/>
        <v>0.82226419567301245</v>
      </c>
      <c r="R763" s="128">
        <f t="shared" si="101"/>
        <v>0.88293848828496369</v>
      </c>
      <c r="S763" s="129">
        <v>0</v>
      </c>
      <c r="T763" s="129">
        <v>1</v>
      </c>
      <c r="U763" s="129">
        <v>1</v>
      </c>
      <c r="V763" s="138">
        <f t="shared" si="102"/>
        <v>2</v>
      </c>
      <c r="W763" s="138">
        <f t="shared" si="103"/>
        <v>2</v>
      </c>
      <c r="X763" s="138">
        <f t="shared" si="104"/>
        <v>0</v>
      </c>
      <c r="Y763" s="138">
        <f t="shared" si="105"/>
        <v>0</v>
      </c>
      <c r="Z763" s="138">
        <f t="shared" si="106"/>
        <v>2</v>
      </c>
      <c r="AA763" s="138">
        <f t="shared" si="107"/>
        <v>1</v>
      </c>
      <c r="AB763" s="127" t="s">
        <v>32</v>
      </c>
      <c r="AC763" s="127" t="s">
        <v>31</v>
      </c>
      <c r="AD763" s="127"/>
      <c r="AE763" s="130"/>
      <c r="AF763" s="136">
        <v>0</v>
      </c>
      <c r="AG763" s="136">
        <v>4.0599999999999996</v>
      </c>
      <c r="AH763" s="136">
        <v>22.03</v>
      </c>
      <c r="AI763" s="136">
        <v>5.99</v>
      </c>
      <c r="AJ763" s="136">
        <v>3.7</v>
      </c>
      <c r="AK763" s="136">
        <v>0.49</v>
      </c>
      <c r="AL763" s="136">
        <v>3.31</v>
      </c>
      <c r="AM763" s="136">
        <v>39.580000000000005</v>
      </c>
      <c r="AN763" s="131"/>
      <c r="AO763" s="131"/>
      <c r="AP763" s="131"/>
      <c r="AQ763" s="131"/>
      <c r="AR763" s="131"/>
      <c r="AS763" s="131"/>
      <c r="AT763" s="131"/>
      <c r="AU763" s="91"/>
      <c r="AV763" s="91"/>
      <c r="AW763" s="131"/>
      <c r="AX763" s="131"/>
      <c r="AY763" s="131"/>
    </row>
    <row r="764" spans="1:51" ht="15" x14ac:dyDescent="0.25">
      <c r="A764" s="123"/>
      <c r="B764" s="124"/>
      <c r="C764" s="125">
        <v>747577</v>
      </c>
      <c r="D764" s="89"/>
      <c r="E764" s="86" t="s">
        <v>30</v>
      </c>
      <c r="F764" s="86" t="s">
        <v>418</v>
      </c>
      <c r="H764" s="126" t="s">
        <v>51</v>
      </c>
      <c r="I764" s="89">
        <v>0</v>
      </c>
      <c r="J764" s="127">
        <v>15302.715200000001</v>
      </c>
      <c r="K764" s="127">
        <v>54330.64</v>
      </c>
      <c r="L764" s="127">
        <v>6752.8600000000006</v>
      </c>
      <c r="M764" s="127">
        <v>0</v>
      </c>
      <c r="N764" s="127">
        <v>44674.14</v>
      </c>
      <c r="O764" s="127">
        <v>5962.3600000000006</v>
      </c>
      <c r="P764" s="128">
        <f t="shared" si="99"/>
        <v>0</v>
      </c>
      <c r="Q764" s="128">
        <f t="shared" si="100"/>
        <v>0.82226419567301245</v>
      </c>
      <c r="R764" s="128">
        <f t="shared" si="101"/>
        <v>0.88293848828496369</v>
      </c>
      <c r="S764" s="129">
        <v>0</v>
      </c>
      <c r="T764" s="129">
        <v>1</v>
      </c>
      <c r="U764" s="129">
        <v>1</v>
      </c>
      <c r="V764" s="138">
        <f t="shared" si="102"/>
        <v>2</v>
      </c>
      <c r="W764" s="138">
        <f t="shared" si="103"/>
        <v>2</v>
      </c>
      <c r="X764" s="138">
        <f t="shared" si="104"/>
        <v>0</v>
      </c>
      <c r="Y764" s="138">
        <f t="shared" si="105"/>
        <v>0</v>
      </c>
      <c r="Z764" s="138">
        <f t="shared" si="106"/>
        <v>2</v>
      </c>
      <c r="AA764" s="138">
        <f t="shared" si="107"/>
        <v>1</v>
      </c>
      <c r="AB764" s="127" t="s">
        <v>32</v>
      </c>
      <c r="AC764" s="127" t="s">
        <v>31</v>
      </c>
      <c r="AD764" s="127"/>
      <c r="AE764" s="130"/>
      <c r="AF764" s="136">
        <v>0</v>
      </c>
      <c r="AG764" s="136">
        <v>4.0599999999999996</v>
      </c>
      <c r="AH764" s="136">
        <v>22.03</v>
      </c>
      <c r="AI764" s="136">
        <v>5.99</v>
      </c>
      <c r="AJ764" s="136">
        <v>3.7</v>
      </c>
      <c r="AK764" s="136">
        <v>0.49</v>
      </c>
      <c r="AL764" s="136">
        <v>3.31</v>
      </c>
      <c r="AM764" s="136">
        <v>39.580000000000005</v>
      </c>
      <c r="AN764" s="131"/>
      <c r="AO764" s="131"/>
      <c r="AP764" s="131"/>
      <c r="AQ764" s="131"/>
      <c r="AR764" s="131"/>
      <c r="AS764" s="131"/>
      <c r="AT764" s="131"/>
      <c r="AU764" s="91"/>
      <c r="AV764" s="91"/>
      <c r="AW764" s="131"/>
      <c r="AX764" s="131"/>
      <c r="AY764" s="131"/>
    </row>
    <row r="765" spans="1:51" ht="15" x14ac:dyDescent="0.25">
      <c r="A765" s="123"/>
      <c r="B765" s="124"/>
      <c r="C765" s="125">
        <v>751371</v>
      </c>
      <c r="D765" s="89"/>
      <c r="E765" s="86" t="s">
        <v>30</v>
      </c>
      <c r="F765" s="86" t="s">
        <v>418</v>
      </c>
      <c r="H765" s="126" t="s">
        <v>51</v>
      </c>
      <c r="I765" s="89">
        <v>1</v>
      </c>
      <c r="J765" s="127">
        <v>15302.715200000001</v>
      </c>
      <c r="K765" s="127">
        <v>54330.64</v>
      </c>
      <c r="L765" s="127">
        <v>6752.8600000000006</v>
      </c>
      <c r="M765" s="127">
        <v>0</v>
      </c>
      <c r="N765" s="127">
        <v>44674.14</v>
      </c>
      <c r="O765" s="127">
        <v>5962.3600000000006</v>
      </c>
      <c r="P765" s="128">
        <f t="shared" si="99"/>
        <v>0</v>
      </c>
      <c r="Q765" s="128">
        <f t="shared" si="100"/>
        <v>0.82226419567301245</v>
      </c>
      <c r="R765" s="128">
        <f t="shared" si="101"/>
        <v>0.88293848828496369</v>
      </c>
      <c r="S765" s="129">
        <v>0</v>
      </c>
      <c r="T765" s="129">
        <v>1</v>
      </c>
      <c r="U765" s="129">
        <v>1</v>
      </c>
      <c r="V765" s="138">
        <f t="shared" si="102"/>
        <v>3</v>
      </c>
      <c r="W765" s="138">
        <f t="shared" si="103"/>
        <v>3</v>
      </c>
      <c r="X765" s="138">
        <f t="shared" si="104"/>
        <v>1</v>
      </c>
      <c r="Y765" s="138">
        <f t="shared" si="105"/>
        <v>0</v>
      </c>
      <c r="Z765" s="138">
        <f t="shared" si="106"/>
        <v>3</v>
      </c>
      <c r="AA765" s="138">
        <f t="shared" si="107"/>
        <v>1</v>
      </c>
      <c r="AB765" s="127" t="s">
        <v>32</v>
      </c>
      <c r="AC765" s="127" t="s">
        <v>31</v>
      </c>
      <c r="AD765" s="127"/>
      <c r="AE765" s="130"/>
      <c r="AF765" s="136">
        <v>0</v>
      </c>
      <c r="AG765" s="136">
        <v>4.0599999999999996</v>
      </c>
      <c r="AH765" s="136">
        <v>33.04</v>
      </c>
      <c r="AI765" s="136">
        <v>5.99</v>
      </c>
      <c r="AJ765" s="136">
        <v>3.7</v>
      </c>
      <c r="AK765" s="136">
        <v>0.49</v>
      </c>
      <c r="AL765" s="136">
        <v>3.31</v>
      </c>
      <c r="AM765" s="136">
        <v>50.590000000000011</v>
      </c>
      <c r="AN765" s="131"/>
      <c r="AO765" s="131"/>
      <c r="AP765" s="131"/>
      <c r="AQ765" s="131"/>
      <c r="AR765" s="131"/>
      <c r="AS765" s="131"/>
      <c r="AT765" s="131"/>
      <c r="AU765" s="91"/>
      <c r="AV765" s="91"/>
      <c r="AW765" s="131"/>
      <c r="AX765" s="131"/>
      <c r="AY765" s="131"/>
    </row>
    <row r="766" spans="1:51" ht="15" x14ac:dyDescent="0.25">
      <c r="A766" s="123"/>
      <c r="B766" s="124"/>
      <c r="C766" s="125">
        <v>782971</v>
      </c>
      <c r="D766" s="89"/>
      <c r="E766" s="86" t="s">
        <v>30</v>
      </c>
      <c r="F766" s="86" t="s">
        <v>418</v>
      </c>
      <c r="H766" s="126" t="s">
        <v>51</v>
      </c>
      <c r="I766" s="89">
        <v>0</v>
      </c>
      <c r="J766" s="127">
        <v>15302.715200000001</v>
      </c>
      <c r="K766" s="127">
        <v>54330.64</v>
      </c>
      <c r="L766" s="127">
        <v>6752.8600000000006</v>
      </c>
      <c r="M766" s="127">
        <v>0</v>
      </c>
      <c r="N766" s="127">
        <v>44674.14</v>
      </c>
      <c r="O766" s="127">
        <v>5962.3600000000006</v>
      </c>
      <c r="P766" s="128">
        <f t="shared" si="99"/>
        <v>0</v>
      </c>
      <c r="Q766" s="128">
        <f t="shared" si="100"/>
        <v>0.82226419567301245</v>
      </c>
      <c r="R766" s="128">
        <f t="shared" si="101"/>
        <v>0.88293848828496369</v>
      </c>
      <c r="S766" s="129">
        <v>0</v>
      </c>
      <c r="T766" s="129">
        <v>1</v>
      </c>
      <c r="U766" s="129">
        <v>1</v>
      </c>
      <c r="V766" s="138">
        <f t="shared" si="102"/>
        <v>2</v>
      </c>
      <c r="W766" s="138">
        <f t="shared" si="103"/>
        <v>2</v>
      </c>
      <c r="X766" s="138">
        <f t="shared" si="104"/>
        <v>0</v>
      </c>
      <c r="Y766" s="138">
        <f t="shared" si="105"/>
        <v>0</v>
      </c>
      <c r="Z766" s="138">
        <f t="shared" si="106"/>
        <v>2</v>
      </c>
      <c r="AA766" s="138">
        <f t="shared" si="107"/>
        <v>1</v>
      </c>
      <c r="AB766" s="127" t="s">
        <v>32</v>
      </c>
      <c r="AC766" s="127" t="s">
        <v>31</v>
      </c>
      <c r="AD766" s="127"/>
      <c r="AE766" s="130"/>
      <c r="AF766" s="136">
        <v>0</v>
      </c>
      <c r="AG766" s="136">
        <v>4.0599999999999996</v>
      </c>
      <c r="AH766" s="136">
        <v>22.03</v>
      </c>
      <c r="AI766" s="136">
        <v>5.99</v>
      </c>
      <c r="AJ766" s="136">
        <v>3.7</v>
      </c>
      <c r="AK766" s="136">
        <v>0.49</v>
      </c>
      <c r="AL766" s="136">
        <v>3.31</v>
      </c>
      <c r="AM766" s="136">
        <v>39.580000000000005</v>
      </c>
      <c r="AN766" s="131"/>
      <c r="AO766" s="131"/>
      <c r="AP766" s="131"/>
      <c r="AQ766" s="131"/>
      <c r="AR766" s="131"/>
      <c r="AS766" s="131"/>
      <c r="AT766" s="131"/>
      <c r="AU766" s="91"/>
      <c r="AV766" s="91"/>
      <c r="AW766" s="131"/>
      <c r="AX766" s="131"/>
      <c r="AY766" s="131"/>
    </row>
    <row r="767" spans="1:51" ht="15" x14ac:dyDescent="0.25">
      <c r="A767" s="123"/>
      <c r="B767" s="124"/>
      <c r="C767" s="125">
        <v>790282</v>
      </c>
      <c r="D767" s="89"/>
      <c r="E767" s="86" t="s">
        <v>30</v>
      </c>
      <c r="F767" s="86" t="s">
        <v>418</v>
      </c>
      <c r="H767" s="126" t="s">
        <v>51</v>
      </c>
      <c r="I767" s="89">
        <v>1</v>
      </c>
      <c r="J767" s="127">
        <v>15302.715200000001</v>
      </c>
      <c r="K767" s="127">
        <v>54330.64</v>
      </c>
      <c r="L767" s="127">
        <v>6752.8600000000006</v>
      </c>
      <c r="M767" s="127">
        <v>0</v>
      </c>
      <c r="N767" s="127">
        <v>44674.14</v>
      </c>
      <c r="O767" s="127">
        <v>5962.3600000000006</v>
      </c>
      <c r="P767" s="128">
        <f t="shared" si="99"/>
        <v>0</v>
      </c>
      <c r="Q767" s="128">
        <f t="shared" si="100"/>
        <v>0.82226419567301245</v>
      </c>
      <c r="R767" s="128">
        <f t="shared" si="101"/>
        <v>0.88293848828496369</v>
      </c>
      <c r="S767" s="129">
        <v>0</v>
      </c>
      <c r="T767" s="129">
        <v>1</v>
      </c>
      <c r="U767" s="129">
        <v>1</v>
      </c>
      <c r="V767" s="138">
        <f t="shared" si="102"/>
        <v>3</v>
      </c>
      <c r="W767" s="138">
        <f t="shared" si="103"/>
        <v>3</v>
      </c>
      <c r="X767" s="138">
        <f t="shared" si="104"/>
        <v>1</v>
      </c>
      <c r="Y767" s="138">
        <f t="shared" si="105"/>
        <v>0</v>
      </c>
      <c r="Z767" s="138">
        <f t="shared" si="106"/>
        <v>3</v>
      </c>
      <c r="AA767" s="138">
        <f t="shared" si="107"/>
        <v>1</v>
      </c>
      <c r="AB767" s="127" t="s">
        <v>32</v>
      </c>
      <c r="AC767" s="127" t="s">
        <v>31</v>
      </c>
      <c r="AD767" s="127"/>
      <c r="AE767" s="130"/>
      <c r="AF767" s="136">
        <v>0</v>
      </c>
      <c r="AG767" s="136">
        <v>4.0599999999999996</v>
      </c>
      <c r="AH767" s="136">
        <v>33.04</v>
      </c>
      <c r="AI767" s="136">
        <v>5.99</v>
      </c>
      <c r="AJ767" s="136">
        <v>3.7</v>
      </c>
      <c r="AK767" s="136">
        <v>0.49</v>
      </c>
      <c r="AL767" s="136">
        <v>3.31</v>
      </c>
      <c r="AM767" s="136">
        <v>50.590000000000011</v>
      </c>
      <c r="AN767" s="131"/>
      <c r="AO767" s="131"/>
      <c r="AP767" s="131"/>
      <c r="AQ767" s="131"/>
      <c r="AR767" s="131"/>
      <c r="AS767" s="131"/>
      <c r="AT767" s="131"/>
      <c r="AU767" s="91"/>
      <c r="AV767" s="91"/>
      <c r="AW767" s="131"/>
      <c r="AX767" s="131"/>
      <c r="AY767" s="131"/>
    </row>
    <row r="768" spans="1:51" ht="15" x14ac:dyDescent="0.25">
      <c r="A768" s="123"/>
      <c r="B768" s="124"/>
      <c r="C768" s="125">
        <v>808705</v>
      </c>
      <c r="D768" s="89"/>
      <c r="E768" s="86" t="s">
        <v>30</v>
      </c>
      <c r="F768" s="86" t="s">
        <v>418</v>
      </c>
      <c r="H768" s="126" t="s">
        <v>51</v>
      </c>
      <c r="I768" s="89">
        <v>1</v>
      </c>
      <c r="J768" s="127">
        <v>15302.715200000001</v>
      </c>
      <c r="K768" s="127">
        <v>54330.64</v>
      </c>
      <c r="L768" s="127">
        <v>6752.8600000000006</v>
      </c>
      <c r="M768" s="127">
        <v>0</v>
      </c>
      <c r="N768" s="127">
        <v>44674.14</v>
      </c>
      <c r="O768" s="127">
        <v>5962.3600000000006</v>
      </c>
      <c r="P768" s="128">
        <f t="shared" si="99"/>
        <v>0</v>
      </c>
      <c r="Q768" s="128">
        <f t="shared" si="100"/>
        <v>0.82226419567301245</v>
      </c>
      <c r="R768" s="128">
        <f t="shared" si="101"/>
        <v>0.88293848828496369</v>
      </c>
      <c r="S768" s="129">
        <v>0</v>
      </c>
      <c r="T768" s="129">
        <v>1</v>
      </c>
      <c r="U768" s="129">
        <v>1</v>
      </c>
      <c r="V768" s="138">
        <f t="shared" si="102"/>
        <v>3</v>
      </c>
      <c r="W768" s="138">
        <f t="shared" si="103"/>
        <v>3</v>
      </c>
      <c r="X768" s="138">
        <f t="shared" si="104"/>
        <v>1</v>
      </c>
      <c r="Y768" s="138">
        <f t="shared" si="105"/>
        <v>0</v>
      </c>
      <c r="Z768" s="138">
        <f t="shared" si="106"/>
        <v>3</v>
      </c>
      <c r="AA768" s="138">
        <f t="shared" si="107"/>
        <v>1</v>
      </c>
      <c r="AB768" s="127" t="s">
        <v>32</v>
      </c>
      <c r="AC768" s="127" t="s">
        <v>31</v>
      </c>
      <c r="AD768" s="127"/>
      <c r="AE768" s="130"/>
      <c r="AF768" s="136">
        <v>0</v>
      </c>
      <c r="AG768" s="136">
        <v>4.0599999999999996</v>
      </c>
      <c r="AH768" s="136">
        <v>33.04</v>
      </c>
      <c r="AI768" s="136">
        <v>5.99</v>
      </c>
      <c r="AJ768" s="136">
        <v>3.7</v>
      </c>
      <c r="AK768" s="136">
        <v>0.49</v>
      </c>
      <c r="AL768" s="136">
        <v>3.31</v>
      </c>
      <c r="AM768" s="136">
        <v>50.590000000000011</v>
      </c>
      <c r="AN768" s="131"/>
      <c r="AO768" s="131"/>
      <c r="AP768" s="131"/>
      <c r="AQ768" s="131"/>
      <c r="AR768" s="131"/>
      <c r="AS768" s="131"/>
      <c r="AT768" s="131"/>
      <c r="AU768" s="91"/>
      <c r="AV768" s="91"/>
      <c r="AW768" s="131"/>
      <c r="AX768" s="131"/>
      <c r="AY768" s="131"/>
    </row>
    <row r="769" spans="1:51" ht="15" x14ac:dyDescent="0.25">
      <c r="A769" s="123"/>
      <c r="B769" s="124"/>
      <c r="C769" s="125">
        <v>812141</v>
      </c>
      <c r="D769" s="89"/>
      <c r="E769" s="86" t="s">
        <v>30</v>
      </c>
      <c r="F769" s="86" t="s">
        <v>418</v>
      </c>
      <c r="H769" s="126" t="s">
        <v>51</v>
      </c>
      <c r="I769" s="89">
        <v>0</v>
      </c>
      <c r="J769" s="127">
        <v>15302.715200000001</v>
      </c>
      <c r="K769" s="127">
        <v>54330.64</v>
      </c>
      <c r="L769" s="127">
        <v>6752.8600000000006</v>
      </c>
      <c r="M769" s="127">
        <v>0</v>
      </c>
      <c r="N769" s="127">
        <v>44674.14</v>
      </c>
      <c r="O769" s="127">
        <v>5962.3600000000006</v>
      </c>
      <c r="P769" s="128">
        <f t="shared" si="99"/>
        <v>0</v>
      </c>
      <c r="Q769" s="128">
        <f t="shared" si="100"/>
        <v>0.82226419567301245</v>
      </c>
      <c r="R769" s="128">
        <f t="shared" si="101"/>
        <v>0.88293848828496369</v>
      </c>
      <c r="S769" s="129">
        <v>0</v>
      </c>
      <c r="T769" s="129">
        <v>1</v>
      </c>
      <c r="U769" s="129">
        <v>1</v>
      </c>
      <c r="V769" s="138">
        <f t="shared" si="102"/>
        <v>2</v>
      </c>
      <c r="W769" s="138">
        <f t="shared" si="103"/>
        <v>2</v>
      </c>
      <c r="X769" s="138">
        <f t="shared" si="104"/>
        <v>0</v>
      </c>
      <c r="Y769" s="138">
        <f t="shared" si="105"/>
        <v>0</v>
      </c>
      <c r="Z769" s="138">
        <f t="shared" si="106"/>
        <v>2</v>
      </c>
      <c r="AA769" s="138">
        <f t="shared" si="107"/>
        <v>1</v>
      </c>
      <c r="AB769" s="127" t="s">
        <v>32</v>
      </c>
      <c r="AC769" s="127" t="s">
        <v>31</v>
      </c>
      <c r="AD769" s="127"/>
      <c r="AE769" s="130"/>
      <c r="AF769" s="136">
        <v>0</v>
      </c>
      <c r="AG769" s="136">
        <v>4.0599999999999996</v>
      </c>
      <c r="AH769" s="136">
        <v>22.03</v>
      </c>
      <c r="AI769" s="136">
        <v>5.99</v>
      </c>
      <c r="AJ769" s="136">
        <v>3.7</v>
      </c>
      <c r="AK769" s="136">
        <v>0.49</v>
      </c>
      <c r="AL769" s="136">
        <v>3.31</v>
      </c>
      <c r="AM769" s="136">
        <v>39.580000000000005</v>
      </c>
      <c r="AN769" s="131"/>
      <c r="AO769" s="131"/>
      <c r="AP769" s="131"/>
      <c r="AQ769" s="131"/>
      <c r="AR769" s="131"/>
      <c r="AS769" s="131"/>
      <c r="AT769" s="131"/>
      <c r="AU769" s="91"/>
      <c r="AV769" s="91"/>
      <c r="AW769" s="131"/>
      <c r="AX769" s="131"/>
      <c r="AY769" s="131"/>
    </row>
    <row r="770" spans="1:51" ht="15" x14ac:dyDescent="0.25">
      <c r="A770" s="123"/>
      <c r="B770" s="124"/>
      <c r="C770" s="125">
        <v>819747</v>
      </c>
      <c r="D770" s="89"/>
      <c r="E770" s="86" t="s">
        <v>30</v>
      </c>
      <c r="F770" s="86" t="s">
        <v>418</v>
      </c>
      <c r="H770" s="126" t="s">
        <v>51</v>
      </c>
      <c r="I770" s="89">
        <v>1</v>
      </c>
      <c r="J770" s="127">
        <v>15302.715200000001</v>
      </c>
      <c r="K770" s="127">
        <v>54330.64</v>
      </c>
      <c r="L770" s="127">
        <v>6752.8600000000006</v>
      </c>
      <c r="M770" s="127">
        <v>0</v>
      </c>
      <c r="N770" s="127">
        <v>44674.14</v>
      </c>
      <c r="O770" s="127">
        <v>5962.3600000000006</v>
      </c>
      <c r="P770" s="128">
        <f t="shared" si="99"/>
        <v>0</v>
      </c>
      <c r="Q770" s="128">
        <f t="shared" si="100"/>
        <v>0.82226419567301245</v>
      </c>
      <c r="R770" s="128">
        <f t="shared" si="101"/>
        <v>0.88293848828496369</v>
      </c>
      <c r="S770" s="129">
        <v>0</v>
      </c>
      <c r="T770" s="129">
        <v>1</v>
      </c>
      <c r="U770" s="129">
        <v>1</v>
      </c>
      <c r="V770" s="138">
        <f t="shared" si="102"/>
        <v>3</v>
      </c>
      <c r="W770" s="138">
        <f t="shared" si="103"/>
        <v>3</v>
      </c>
      <c r="X770" s="138">
        <f t="shared" si="104"/>
        <v>1</v>
      </c>
      <c r="Y770" s="138">
        <f t="shared" si="105"/>
        <v>0</v>
      </c>
      <c r="Z770" s="138">
        <f t="shared" si="106"/>
        <v>3</v>
      </c>
      <c r="AA770" s="138">
        <f t="shared" si="107"/>
        <v>1</v>
      </c>
      <c r="AB770" s="127" t="s">
        <v>32</v>
      </c>
      <c r="AC770" s="127" t="s">
        <v>31</v>
      </c>
      <c r="AD770" s="127"/>
      <c r="AE770" s="130"/>
      <c r="AF770" s="136">
        <v>0</v>
      </c>
      <c r="AG770" s="136">
        <v>4.0599999999999996</v>
      </c>
      <c r="AH770" s="136">
        <v>33.04</v>
      </c>
      <c r="AI770" s="136">
        <v>5.99</v>
      </c>
      <c r="AJ770" s="136">
        <v>3.7</v>
      </c>
      <c r="AK770" s="136">
        <v>0.49</v>
      </c>
      <c r="AL770" s="136">
        <v>3.31</v>
      </c>
      <c r="AM770" s="136">
        <v>50.590000000000011</v>
      </c>
      <c r="AN770" s="131"/>
      <c r="AO770" s="131"/>
      <c r="AP770" s="131"/>
      <c r="AQ770" s="131"/>
      <c r="AR770" s="131"/>
      <c r="AS770" s="131"/>
      <c r="AT770" s="131"/>
      <c r="AU770" s="91"/>
      <c r="AV770" s="91"/>
      <c r="AW770" s="131"/>
      <c r="AX770" s="131"/>
      <c r="AY770" s="131"/>
    </row>
    <row r="771" spans="1:51" ht="15" x14ac:dyDescent="0.25">
      <c r="A771" s="123"/>
      <c r="B771" s="124"/>
      <c r="C771" s="125">
        <v>847230</v>
      </c>
      <c r="D771" s="89"/>
      <c r="E771" s="86" t="s">
        <v>30</v>
      </c>
      <c r="F771" s="86" t="s">
        <v>418</v>
      </c>
      <c r="H771" s="126" t="s">
        <v>51</v>
      </c>
      <c r="I771" s="89">
        <v>1</v>
      </c>
      <c r="J771" s="127">
        <v>15302.715200000001</v>
      </c>
      <c r="K771" s="127">
        <v>54330.64</v>
      </c>
      <c r="L771" s="127">
        <v>6752.8600000000006</v>
      </c>
      <c r="M771" s="127">
        <v>0</v>
      </c>
      <c r="N771" s="127">
        <v>44674.14</v>
      </c>
      <c r="O771" s="127">
        <v>5962.3600000000006</v>
      </c>
      <c r="P771" s="128">
        <f t="shared" si="99"/>
        <v>0</v>
      </c>
      <c r="Q771" s="128">
        <f t="shared" si="100"/>
        <v>0.82226419567301245</v>
      </c>
      <c r="R771" s="128">
        <f t="shared" si="101"/>
        <v>0.88293848828496369</v>
      </c>
      <c r="S771" s="129">
        <v>0</v>
      </c>
      <c r="T771" s="129">
        <v>1</v>
      </c>
      <c r="U771" s="129">
        <v>1</v>
      </c>
      <c r="V771" s="138">
        <f t="shared" si="102"/>
        <v>3</v>
      </c>
      <c r="W771" s="138">
        <f t="shared" si="103"/>
        <v>3</v>
      </c>
      <c r="X771" s="138">
        <f t="shared" si="104"/>
        <v>1</v>
      </c>
      <c r="Y771" s="138">
        <f t="shared" si="105"/>
        <v>0</v>
      </c>
      <c r="Z771" s="138">
        <f t="shared" si="106"/>
        <v>3</v>
      </c>
      <c r="AA771" s="138">
        <f t="shared" si="107"/>
        <v>1</v>
      </c>
      <c r="AB771" s="127" t="s">
        <v>32</v>
      </c>
      <c r="AC771" s="127" t="s">
        <v>31</v>
      </c>
      <c r="AD771" s="127"/>
      <c r="AE771" s="130"/>
      <c r="AF771" s="136">
        <v>0</v>
      </c>
      <c r="AG771" s="136">
        <v>4.0599999999999996</v>
      </c>
      <c r="AH771" s="136">
        <v>33.04</v>
      </c>
      <c r="AI771" s="136">
        <v>5.99</v>
      </c>
      <c r="AJ771" s="136">
        <v>3.7</v>
      </c>
      <c r="AK771" s="136">
        <v>0.49</v>
      </c>
      <c r="AL771" s="136">
        <v>3.31</v>
      </c>
      <c r="AM771" s="136">
        <v>50.590000000000011</v>
      </c>
      <c r="AN771" s="131"/>
      <c r="AO771" s="131"/>
      <c r="AP771" s="131"/>
      <c r="AQ771" s="131"/>
      <c r="AR771" s="131"/>
      <c r="AS771" s="131"/>
      <c r="AT771" s="131"/>
      <c r="AU771" s="91"/>
      <c r="AV771" s="91"/>
      <c r="AW771" s="131"/>
      <c r="AX771" s="131"/>
      <c r="AY771" s="131"/>
    </row>
    <row r="772" spans="1:51" ht="15" x14ac:dyDescent="0.25">
      <c r="A772" s="123"/>
      <c r="B772" s="124"/>
      <c r="C772" s="125">
        <v>886990</v>
      </c>
      <c r="D772" s="89"/>
      <c r="E772" s="86" t="s">
        <v>30</v>
      </c>
      <c r="F772" s="86" t="s">
        <v>418</v>
      </c>
      <c r="H772" s="126" t="s">
        <v>51</v>
      </c>
      <c r="I772" s="89">
        <v>1</v>
      </c>
      <c r="J772" s="127">
        <v>15302.715200000001</v>
      </c>
      <c r="K772" s="127">
        <v>54330.64</v>
      </c>
      <c r="L772" s="127">
        <v>6752.8600000000006</v>
      </c>
      <c r="M772" s="127">
        <v>0</v>
      </c>
      <c r="N772" s="127">
        <v>44674.14</v>
      </c>
      <c r="O772" s="127">
        <v>5962.3600000000006</v>
      </c>
      <c r="P772" s="128">
        <f t="shared" si="99"/>
        <v>0</v>
      </c>
      <c r="Q772" s="128">
        <f t="shared" si="100"/>
        <v>0.82226419567301245</v>
      </c>
      <c r="R772" s="128">
        <f t="shared" si="101"/>
        <v>0.88293848828496369</v>
      </c>
      <c r="S772" s="129">
        <v>0</v>
      </c>
      <c r="T772" s="129">
        <v>1</v>
      </c>
      <c r="U772" s="129">
        <v>1</v>
      </c>
      <c r="V772" s="138">
        <f t="shared" si="102"/>
        <v>3</v>
      </c>
      <c r="W772" s="138">
        <f t="shared" si="103"/>
        <v>3</v>
      </c>
      <c r="X772" s="138">
        <f t="shared" si="104"/>
        <v>1</v>
      </c>
      <c r="Y772" s="138">
        <f t="shared" si="105"/>
        <v>0</v>
      </c>
      <c r="Z772" s="138">
        <f t="shared" si="106"/>
        <v>3</v>
      </c>
      <c r="AA772" s="138">
        <f t="shared" si="107"/>
        <v>1</v>
      </c>
      <c r="AB772" s="127" t="s">
        <v>32</v>
      </c>
      <c r="AC772" s="127" t="s">
        <v>31</v>
      </c>
      <c r="AD772" s="127"/>
      <c r="AE772" s="130"/>
      <c r="AF772" s="136">
        <v>0</v>
      </c>
      <c r="AG772" s="136">
        <v>4.0599999999999996</v>
      </c>
      <c r="AH772" s="136">
        <v>33.04</v>
      </c>
      <c r="AI772" s="136">
        <v>5.99</v>
      </c>
      <c r="AJ772" s="136">
        <v>3.7</v>
      </c>
      <c r="AK772" s="136">
        <v>0.49</v>
      </c>
      <c r="AL772" s="136">
        <v>3.31</v>
      </c>
      <c r="AM772" s="136">
        <v>50.590000000000011</v>
      </c>
      <c r="AN772" s="131"/>
      <c r="AO772" s="131"/>
      <c r="AP772" s="131"/>
      <c r="AQ772" s="131"/>
      <c r="AR772" s="131"/>
      <c r="AS772" s="131"/>
      <c r="AT772" s="131"/>
      <c r="AU772" s="91"/>
      <c r="AV772" s="91"/>
      <c r="AW772" s="131"/>
      <c r="AX772" s="131"/>
      <c r="AY772" s="131"/>
    </row>
    <row r="773" spans="1:51" ht="15" x14ac:dyDescent="0.25">
      <c r="A773" s="123"/>
      <c r="B773" s="124"/>
      <c r="C773" s="125">
        <v>899703</v>
      </c>
      <c r="D773" s="89"/>
      <c r="E773" s="86" t="s">
        <v>30</v>
      </c>
      <c r="F773" s="86" t="s">
        <v>418</v>
      </c>
      <c r="H773" s="126" t="s">
        <v>51</v>
      </c>
      <c r="I773" s="89">
        <v>1</v>
      </c>
      <c r="J773" s="127">
        <v>15302.715200000001</v>
      </c>
      <c r="K773" s="127">
        <v>54330.64</v>
      </c>
      <c r="L773" s="127">
        <v>6752.8600000000006</v>
      </c>
      <c r="M773" s="127">
        <v>0</v>
      </c>
      <c r="N773" s="127">
        <v>44674.14</v>
      </c>
      <c r="O773" s="127">
        <v>5962.3600000000006</v>
      </c>
      <c r="P773" s="128">
        <f t="shared" si="99"/>
        <v>0</v>
      </c>
      <c r="Q773" s="128">
        <f t="shared" si="100"/>
        <v>0.82226419567301245</v>
      </c>
      <c r="R773" s="128">
        <f t="shared" si="101"/>
        <v>0.88293848828496369</v>
      </c>
      <c r="S773" s="129">
        <v>0</v>
      </c>
      <c r="T773" s="129">
        <v>1</v>
      </c>
      <c r="U773" s="129">
        <v>1</v>
      </c>
      <c r="V773" s="138">
        <f t="shared" si="102"/>
        <v>3</v>
      </c>
      <c r="W773" s="138">
        <f t="shared" si="103"/>
        <v>3</v>
      </c>
      <c r="X773" s="138">
        <f t="shared" si="104"/>
        <v>1</v>
      </c>
      <c r="Y773" s="138">
        <f t="shared" si="105"/>
        <v>0</v>
      </c>
      <c r="Z773" s="138">
        <f t="shared" si="106"/>
        <v>3</v>
      </c>
      <c r="AA773" s="138">
        <f t="shared" si="107"/>
        <v>1</v>
      </c>
      <c r="AB773" s="127" t="s">
        <v>32</v>
      </c>
      <c r="AC773" s="127" t="s">
        <v>31</v>
      </c>
      <c r="AD773" s="127"/>
      <c r="AE773" s="130"/>
      <c r="AF773" s="136">
        <v>0</v>
      </c>
      <c r="AG773" s="136">
        <v>4.0599999999999996</v>
      </c>
      <c r="AH773" s="136">
        <v>33.04</v>
      </c>
      <c r="AI773" s="136">
        <v>5.99</v>
      </c>
      <c r="AJ773" s="136">
        <v>3.7</v>
      </c>
      <c r="AK773" s="136">
        <v>0.49</v>
      </c>
      <c r="AL773" s="136">
        <v>3.31</v>
      </c>
      <c r="AM773" s="136">
        <v>50.590000000000011</v>
      </c>
      <c r="AN773" s="131"/>
      <c r="AO773" s="131"/>
      <c r="AP773" s="131"/>
      <c r="AQ773" s="131"/>
      <c r="AR773" s="131"/>
      <c r="AS773" s="131"/>
      <c r="AT773" s="131"/>
      <c r="AU773" s="91"/>
      <c r="AV773" s="91"/>
      <c r="AW773" s="131"/>
      <c r="AX773" s="131"/>
      <c r="AY773" s="131"/>
    </row>
    <row r="774" spans="1:51" ht="15" x14ac:dyDescent="0.25">
      <c r="A774" s="123"/>
      <c r="B774" s="124"/>
      <c r="C774" s="125">
        <v>948825</v>
      </c>
      <c r="D774" s="89"/>
      <c r="E774" s="86" t="s">
        <v>30</v>
      </c>
      <c r="F774" s="86" t="s">
        <v>418</v>
      </c>
      <c r="H774" s="126" t="s">
        <v>51</v>
      </c>
      <c r="I774" s="89">
        <v>0</v>
      </c>
      <c r="J774" s="127">
        <v>15302.715200000001</v>
      </c>
      <c r="K774" s="127">
        <v>54330.64</v>
      </c>
      <c r="L774" s="127">
        <v>6752.8600000000006</v>
      </c>
      <c r="M774" s="127">
        <v>0</v>
      </c>
      <c r="N774" s="127">
        <v>44674.14</v>
      </c>
      <c r="O774" s="127">
        <v>5962.3600000000006</v>
      </c>
      <c r="P774" s="128">
        <f t="shared" ref="P774:P837" si="108">M774/J774</f>
        <v>0</v>
      </c>
      <c r="Q774" s="128">
        <f t="shared" ref="Q774:Q837" si="109">N774/K774</f>
        <v>0.82226419567301245</v>
      </c>
      <c r="R774" s="128">
        <f t="shared" ref="R774:R837" si="110">O774/L774</f>
        <v>0.88293848828496369</v>
      </c>
      <c r="S774" s="129">
        <v>0</v>
      </c>
      <c r="T774" s="129">
        <v>1</v>
      </c>
      <c r="U774" s="129">
        <v>1</v>
      </c>
      <c r="V774" s="138">
        <f t="shared" ref="V774:V837" si="111">I774+2</f>
        <v>2</v>
      </c>
      <c r="W774" s="138">
        <f t="shared" ref="W774:W837" si="112">I774+2</f>
        <v>2</v>
      </c>
      <c r="X774" s="138">
        <f t="shared" ref="X774:X837" si="113">I774</f>
        <v>0</v>
      </c>
      <c r="Y774" s="138">
        <f t="shared" ref="Y774:Y837" si="114">IF(S774=0,0,V774)</f>
        <v>0</v>
      </c>
      <c r="Z774" s="138">
        <f t="shared" ref="Z774:Z837" si="115">IF(T774=0,0,W774)</f>
        <v>2</v>
      </c>
      <c r="AA774" s="138">
        <f t="shared" ref="AA774:AA837" si="116">IF(U774=0,0,1)</f>
        <v>1</v>
      </c>
      <c r="AB774" s="127" t="s">
        <v>32</v>
      </c>
      <c r="AC774" s="127" t="s">
        <v>31</v>
      </c>
      <c r="AD774" s="127"/>
      <c r="AE774" s="130"/>
      <c r="AF774" s="136">
        <v>0</v>
      </c>
      <c r="AG774" s="136">
        <v>4.0599999999999996</v>
      </c>
      <c r="AH774" s="136">
        <v>22.03</v>
      </c>
      <c r="AI774" s="136">
        <v>5.99</v>
      </c>
      <c r="AJ774" s="136">
        <v>3.7</v>
      </c>
      <c r="AK774" s="136">
        <v>0.49</v>
      </c>
      <c r="AL774" s="136">
        <v>3.31</v>
      </c>
      <c r="AM774" s="136">
        <v>39.580000000000005</v>
      </c>
      <c r="AN774" s="131"/>
      <c r="AO774" s="131"/>
      <c r="AP774" s="131"/>
      <c r="AQ774" s="131"/>
      <c r="AR774" s="131"/>
      <c r="AS774" s="131"/>
      <c r="AT774" s="131"/>
      <c r="AU774" s="91"/>
      <c r="AV774" s="91"/>
      <c r="AW774" s="131"/>
      <c r="AX774" s="131"/>
      <c r="AY774" s="131"/>
    </row>
    <row r="775" spans="1:51" ht="15" x14ac:dyDescent="0.25">
      <c r="A775" s="123"/>
      <c r="B775" s="124"/>
      <c r="C775" s="125">
        <v>950742</v>
      </c>
      <c r="D775" s="89"/>
      <c r="E775" s="86" t="s">
        <v>30</v>
      </c>
      <c r="F775" s="86" t="s">
        <v>418</v>
      </c>
      <c r="H775" s="126" t="s">
        <v>51</v>
      </c>
      <c r="I775" s="89">
        <v>2</v>
      </c>
      <c r="J775" s="127">
        <v>15302.715200000001</v>
      </c>
      <c r="K775" s="127">
        <v>54330.64</v>
      </c>
      <c r="L775" s="127">
        <v>6752.8600000000006</v>
      </c>
      <c r="M775" s="127">
        <v>0</v>
      </c>
      <c r="N775" s="127">
        <v>44674.14</v>
      </c>
      <c r="O775" s="127">
        <v>5962.3600000000006</v>
      </c>
      <c r="P775" s="128">
        <f t="shared" si="108"/>
        <v>0</v>
      </c>
      <c r="Q775" s="128">
        <f t="shared" si="109"/>
        <v>0.82226419567301245</v>
      </c>
      <c r="R775" s="128">
        <f t="shared" si="110"/>
        <v>0.88293848828496369</v>
      </c>
      <c r="S775" s="129">
        <v>0</v>
      </c>
      <c r="T775" s="129">
        <v>1</v>
      </c>
      <c r="U775" s="129">
        <v>1</v>
      </c>
      <c r="V775" s="138">
        <f t="shared" si="111"/>
        <v>4</v>
      </c>
      <c r="W775" s="138">
        <f t="shared" si="112"/>
        <v>4</v>
      </c>
      <c r="X775" s="138">
        <f t="shared" si="113"/>
        <v>2</v>
      </c>
      <c r="Y775" s="138">
        <f t="shared" si="114"/>
        <v>0</v>
      </c>
      <c r="Z775" s="138">
        <f t="shared" si="115"/>
        <v>4</v>
      </c>
      <c r="AA775" s="138">
        <f t="shared" si="116"/>
        <v>1</v>
      </c>
      <c r="AB775" s="127" t="s">
        <v>32</v>
      </c>
      <c r="AC775" s="127" t="s">
        <v>31</v>
      </c>
      <c r="AD775" s="127"/>
      <c r="AE775" s="130"/>
      <c r="AF775" s="136">
        <v>0</v>
      </c>
      <c r="AG775" s="136">
        <v>4.0599999999999996</v>
      </c>
      <c r="AH775" s="136">
        <v>44.06</v>
      </c>
      <c r="AI775" s="136">
        <v>5.99</v>
      </c>
      <c r="AJ775" s="136">
        <v>3.7</v>
      </c>
      <c r="AK775" s="136">
        <v>0.49</v>
      </c>
      <c r="AL775" s="136">
        <v>3.31</v>
      </c>
      <c r="AM775" s="136">
        <v>61.610000000000014</v>
      </c>
      <c r="AN775" s="131"/>
      <c r="AO775" s="131"/>
      <c r="AP775" s="131"/>
      <c r="AQ775" s="131"/>
      <c r="AR775" s="131"/>
      <c r="AS775" s="131"/>
      <c r="AT775" s="131"/>
      <c r="AU775" s="91"/>
      <c r="AV775" s="91"/>
      <c r="AW775" s="131"/>
      <c r="AX775" s="131"/>
      <c r="AY775" s="131"/>
    </row>
    <row r="776" spans="1:51" ht="15" x14ac:dyDescent="0.25">
      <c r="A776" s="123"/>
      <c r="B776" s="124"/>
      <c r="C776" s="125">
        <v>954262</v>
      </c>
      <c r="D776" s="89"/>
      <c r="E776" s="86" t="s">
        <v>30</v>
      </c>
      <c r="F776" s="86" t="s">
        <v>418</v>
      </c>
      <c r="H776" s="126" t="s">
        <v>51</v>
      </c>
      <c r="I776" s="89">
        <v>1</v>
      </c>
      <c r="J776" s="127">
        <v>15302.715200000001</v>
      </c>
      <c r="K776" s="127">
        <v>54330.64</v>
      </c>
      <c r="L776" s="127">
        <v>6752.8600000000006</v>
      </c>
      <c r="M776" s="127">
        <v>0</v>
      </c>
      <c r="N776" s="127">
        <v>44674.14</v>
      </c>
      <c r="O776" s="127">
        <v>5962.3600000000006</v>
      </c>
      <c r="P776" s="128">
        <f t="shared" si="108"/>
        <v>0</v>
      </c>
      <c r="Q776" s="128">
        <f t="shared" si="109"/>
        <v>0.82226419567301245</v>
      </c>
      <c r="R776" s="128">
        <f t="shared" si="110"/>
        <v>0.88293848828496369</v>
      </c>
      <c r="S776" s="129">
        <v>0</v>
      </c>
      <c r="T776" s="129">
        <v>1</v>
      </c>
      <c r="U776" s="129">
        <v>1</v>
      </c>
      <c r="V776" s="138">
        <f t="shared" si="111"/>
        <v>3</v>
      </c>
      <c r="W776" s="138">
        <f t="shared" si="112"/>
        <v>3</v>
      </c>
      <c r="X776" s="138">
        <f t="shared" si="113"/>
        <v>1</v>
      </c>
      <c r="Y776" s="138">
        <f t="shared" si="114"/>
        <v>0</v>
      </c>
      <c r="Z776" s="138">
        <f t="shared" si="115"/>
        <v>3</v>
      </c>
      <c r="AA776" s="138">
        <f t="shared" si="116"/>
        <v>1</v>
      </c>
      <c r="AB776" s="127" t="s">
        <v>32</v>
      </c>
      <c r="AC776" s="127" t="s">
        <v>31</v>
      </c>
      <c r="AD776" s="127"/>
      <c r="AE776" s="130"/>
      <c r="AF776" s="136">
        <v>0</v>
      </c>
      <c r="AG776" s="136">
        <v>4.0599999999999996</v>
      </c>
      <c r="AH776" s="136">
        <v>33.04</v>
      </c>
      <c r="AI776" s="136">
        <v>5.99</v>
      </c>
      <c r="AJ776" s="136">
        <v>3.7</v>
      </c>
      <c r="AK776" s="136">
        <v>0.49</v>
      </c>
      <c r="AL776" s="136">
        <v>3.31</v>
      </c>
      <c r="AM776" s="136">
        <v>50.590000000000011</v>
      </c>
      <c r="AN776" s="131"/>
      <c r="AO776" s="131"/>
      <c r="AP776" s="131"/>
      <c r="AQ776" s="131"/>
      <c r="AR776" s="131"/>
      <c r="AS776" s="131"/>
      <c r="AT776" s="131"/>
      <c r="AU776" s="91"/>
      <c r="AV776" s="91"/>
      <c r="AW776" s="131"/>
      <c r="AX776" s="131"/>
      <c r="AY776" s="131"/>
    </row>
    <row r="777" spans="1:51" ht="15" x14ac:dyDescent="0.25">
      <c r="A777" s="123"/>
      <c r="B777" s="124"/>
      <c r="C777" s="125">
        <v>964575</v>
      </c>
      <c r="D777" s="89"/>
      <c r="E777" s="86" t="s">
        <v>30</v>
      </c>
      <c r="F777" s="86" t="s">
        <v>418</v>
      </c>
      <c r="H777" s="126" t="s">
        <v>51</v>
      </c>
      <c r="I777" s="89">
        <v>0</v>
      </c>
      <c r="J777" s="127">
        <v>15302.715200000001</v>
      </c>
      <c r="K777" s="127">
        <v>54330.64</v>
      </c>
      <c r="L777" s="127">
        <v>6752.8600000000006</v>
      </c>
      <c r="M777" s="127">
        <v>0</v>
      </c>
      <c r="N777" s="127">
        <v>44674.14</v>
      </c>
      <c r="O777" s="127">
        <v>5962.3600000000006</v>
      </c>
      <c r="P777" s="128">
        <f t="shared" si="108"/>
        <v>0</v>
      </c>
      <c r="Q777" s="128">
        <f t="shared" si="109"/>
        <v>0.82226419567301245</v>
      </c>
      <c r="R777" s="128">
        <f t="shared" si="110"/>
        <v>0.88293848828496369</v>
      </c>
      <c r="S777" s="129">
        <v>0</v>
      </c>
      <c r="T777" s="129">
        <v>1</v>
      </c>
      <c r="U777" s="129">
        <v>1</v>
      </c>
      <c r="V777" s="138">
        <f t="shared" si="111"/>
        <v>2</v>
      </c>
      <c r="W777" s="138">
        <f t="shared" si="112"/>
        <v>2</v>
      </c>
      <c r="X777" s="138">
        <f t="shared" si="113"/>
        <v>0</v>
      </c>
      <c r="Y777" s="138">
        <f t="shared" si="114"/>
        <v>0</v>
      </c>
      <c r="Z777" s="138">
        <f t="shared" si="115"/>
        <v>2</v>
      </c>
      <c r="AA777" s="138">
        <f t="shared" si="116"/>
        <v>1</v>
      </c>
      <c r="AB777" s="127" t="s">
        <v>32</v>
      </c>
      <c r="AC777" s="127" t="s">
        <v>31</v>
      </c>
      <c r="AD777" s="127"/>
      <c r="AE777" s="130"/>
      <c r="AF777" s="136">
        <v>0</v>
      </c>
      <c r="AG777" s="136">
        <v>4.0599999999999996</v>
      </c>
      <c r="AH777" s="136">
        <v>22.03</v>
      </c>
      <c r="AI777" s="136">
        <v>5.99</v>
      </c>
      <c r="AJ777" s="136">
        <v>3.7</v>
      </c>
      <c r="AK777" s="136">
        <v>0.49</v>
      </c>
      <c r="AL777" s="136">
        <v>3.31</v>
      </c>
      <c r="AM777" s="136">
        <v>39.580000000000005</v>
      </c>
      <c r="AN777" s="131"/>
      <c r="AO777" s="131"/>
      <c r="AP777" s="131"/>
      <c r="AQ777" s="131"/>
      <c r="AR777" s="131"/>
      <c r="AS777" s="131"/>
      <c r="AT777" s="131"/>
      <c r="AU777" s="91"/>
      <c r="AV777" s="91"/>
      <c r="AW777" s="131"/>
      <c r="AX777" s="131"/>
      <c r="AY777" s="131"/>
    </row>
    <row r="778" spans="1:51" ht="15" x14ac:dyDescent="0.25">
      <c r="A778" s="123"/>
      <c r="B778" s="124"/>
      <c r="C778" s="125">
        <v>8055</v>
      </c>
      <c r="D778" s="89"/>
      <c r="E778" s="86" t="s">
        <v>25</v>
      </c>
      <c r="F778" s="86" t="s">
        <v>418</v>
      </c>
      <c r="H778" s="126" t="s">
        <v>51</v>
      </c>
      <c r="I778" s="89">
        <v>1</v>
      </c>
      <c r="J778" s="127">
        <v>31870.789900000003</v>
      </c>
      <c r="K778" s="127">
        <v>67104.63</v>
      </c>
      <c r="L778" s="127">
        <v>8250.35</v>
      </c>
      <c r="M778" s="127">
        <v>13611.789900000018</v>
      </c>
      <c r="N778" s="127">
        <v>57448.130000000005</v>
      </c>
      <c r="O778" s="127">
        <v>7459.85</v>
      </c>
      <c r="P778" s="128">
        <f t="shared" si="108"/>
        <v>0.42709295699006244</v>
      </c>
      <c r="Q778" s="128">
        <f t="shared" si="109"/>
        <v>0.85609785792723991</v>
      </c>
      <c r="R778" s="128">
        <f t="shared" si="110"/>
        <v>0.90418588302314451</v>
      </c>
      <c r="S778" s="129">
        <v>1</v>
      </c>
      <c r="T778" s="129">
        <v>1</v>
      </c>
      <c r="U778" s="129">
        <v>1</v>
      </c>
      <c r="V778" s="138">
        <f t="shared" si="111"/>
        <v>3</v>
      </c>
      <c r="W778" s="138">
        <f t="shared" si="112"/>
        <v>3</v>
      </c>
      <c r="X778" s="138">
        <f t="shared" si="113"/>
        <v>1</v>
      </c>
      <c r="Y778" s="138">
        <f t="shared" si="114"/>
        <v>3</v>
      </c>
      <c r="Z778" s="138">
        <f t="shared" si="115"/>
        <v>3</v>
      </c>
      <c r="AA778" s="138">
        <f t="shared" si="116"/>
        <v>1</v>
      </c>
      <c r="AB778" s="127" t="s">
        <v>32</v>
      </c>
      <c r="AC778" s="127"/>
      <c r="AD778" s="127"/>
      <c r="AE778" s="130"/>
      <c r="AF778" s="136">
        <v>8.73</v>
      </c>
      <c r="AG778" s="136">
        <v>11.33</v>
      </c>
      <c r="AH778" s="136">
        <v>36.83</v>
      </c>
      <c r="AI778" s="136">
        <v>5.99</v>
      </c>
      <c r="AJ778" s="136">
        <v>4.63</v>
      </c>
      <c r="AK778" s="136">
        <v>0.49</v>
      </c>
      <c r="AL778" s="136">
        <v>3.31</v>
      </c>
      <c r="AM778" s="136">
        <v>71.31</v>
      </c>
      <c r="AN778" s="131"/>
      <c r="AO778" s="131"/>
      <c r="AP778" s="131"/>
      <c r="AQ778" s="131"/>
      <c r="AR778" s="131"/>
      <c r="AS778" s="131"/>
      <c r="AT778" s="131"/>
      <c r="AU778" s="91"/>
      <c r="AV778" s="91"/>
      <c r="AW778" s="131"/>
      <c r="AX778" s="131"/>
      <c r="AY778" s="131"/>
    </row>
    <row r="779" spans="1:51" ht="15" x14ac:dyDescent="0.25">
      <c r="A779" s="123"/>
      <c r="B779" s="124"/>
      <c r="C779" s="125">
        <v>27739</v>
      </c>
      <c r="D779" s="89"/>
      <c r="E779" s="86" t="s">
        <v>25</v>
      </c>
      <c r="F779" s="86" t="s">
        <v>418</v>
      </c>
      <c r="H779" s="126" t="s">
        <v>51</v>
      </c>
      <c r="I779" s="89">
        <v>1</v>
      </c>
      <c r="J779" s="127">
        <v>31870.789900000003</v>
      </c>
      <c r="K779" s="127">
        <v>67104.63</v>
      </c>
      <c r="L779" s="127">
        <v>8250.35</v>
      </c>
      <c r="M779" s="127">
        <v>13611.789900000018</v>
      </c>
      <c r="N779" s="127">
        <v>57448.130000000005</v>
      </c>
      <c r="O779" s="127">
        <v>7459.85</v>
      </c>
      <c r="P779" s="128">
        <f t="shared" si="108"/>
        <v>0.42709295699006244</v>
      </c>
      <c r="Q779" s="128">
        <f t="shared" si="109"/>
        <v>0.85609785792723991</v>
      </c>
      <c r="R779" s="128">
        <f t="shared" si="110"/>
        <v>0.90418588302314451</v>
      </c>
      <c r="S779" s="129">
        <v>1</v>
      </c>
      <c r="T779" s="129">
        <v>1</v>
      </c>
      <c r="U779" s="129">
        <v>1</v>
      </c>
      <c r="V779" s="138">
        <f t="shared" si="111"/>
        <v>3</v>
      </c>
      <c r="W779" s="138">
        <f t="shared" si="112"/>
        <v>3</v>
      </c>
      <c r="X779" s="138">
        <f t="shared" si="113"/>
        <v>1</v>
      </c>
      <c r="Y779" s="138">
        <f t="shared" si="114"/>
        <v>3</v>
      </c>
      <c r="Z779" s="138">
        <f t="shared" si="115"/>
        <v>3</v>
      </c>
      <c r="AA779" s="138">
        <f t="shared" si="116"/>
        <v>1</v>
      </c>
      <c r="AB779" s="127" t="s">
        <v>32</v>
      </c>
      <c r="AC779" s="127"/>
      <c r="AD779" s="127"/>
      <c r="AE779" s="130"/>
      <c r="AF779" s="136">
        <v>8.73</v>
      </c>
      <c r="AG779" s="136">
        <v>11.33</v>
      </c>
      <c r="AH779" s="136">
        <v>36.83</v>
      </c>
      <c r="AI779" s="136">
        <v>5.99</v>
      </c>
      <c r="AJ779" s="136">
        <v>4.63</v>
      </c>
      <c r="AK779" s="136">
        <v>0.49</v>
      </c>
      <c r="AL779" s="136">
        <v>3.31</v>
      </c>
      <c r="AM779" s="136">
        <v>71.31</v>
      </c>
      <c r="AN779" s="131"/>
      <c r="AO779" s="131"/>
      <c r="AP779" s="131"/>
      <c r="AQ779" s="131"/>
      <c r="AR779" s="131"/>
      <c r="AS779" s="131"/>
      <c r="AT779" s="131"/>
      <c r="AU779" s="91"/>
      <c r="AV779" s="91"/>
      <c r="AW779" s="131"/>
      <c r="AX779" s="131"/>
      <c r="AY779" s="131"/>
    </row>
    <row r="780" spans="1:51" ht="15" x14ac:dyDescent="0.25">
      <c r="A780" s="123"/>
      <c r="B780" s="124"/>
      <c r="C780" s="125">
        <v>47845</v>
      </c>
      <c r="D780" s="89"/>
      <c r="E780" s="86" t="s">
        <v>25</v>
      </c>
      <c r="F780" s="86" t="s">
        <v>418</v>
      </c>
      <c r="H780" s="126" t="s">
        <v>51</v>
      </c>
      <c r="I780" s="89">
        <v>1</v>
      </c>
      <c r="J780" s="127">
        <v>31870.789900000003</v>
      </c>
      <c r="K780" s="127">
        <v>67104.63</v>
      </c>
      <c r="L780" s="127">
        <v>8250.35</v>
      </c>
      <c r="M780" s="127">
        <v>13611.789900000018</v>
      </c>
      <c r="N780" s="127">
        <v>57448.130000000005</v>
      </c>
      <c r="O780" s="127">
        <v>7459.85</v>
      </c>
      <c r="P780" s="128">
        <f t="shared" si="108"/>
        <v>0.42709295699006244</v>
      </c>
      <c r="Q780" s="128">
        <f t="shared" si="109"/>
        <v>0.85609785792723991</v>
      </c>
      <c r="R780" s="128">
        <f t="shared" si="110"/>
        <v>0.90418588302314451</v>
      </c>
      <c r="S780" s="129">
        <v>1</v>
      </c>
      <c r="T780" s="129">
        <v>1</v>
      </c>
      <c r="U780" s="129">
        <v>1</v>
      </c>
      <c r="V780" s="138">
        <f t="shared" si="111"/>
        <v>3</v>
      </c>
      <c r="W780" s="138">
        <f t="shared" si="112"/>
        <v>3</v>
      </c>
      <c r="X780" s="138">
        <f t="shared" si="113"/>
        <v>1</v>
      </c>
      <c r="Y780" s="138">
        <f t="shared" si="114"/>
        <v>3</v>
      </c>
      <c r="Z780" s="138">
        <f t="shared" si="115"/>
        <v>3</v>
      </c>
      <c r="AA780" s="138">
        <f t="shared" si="116"/>
        <v>1</v>
      </c>
      <c r="AB780" s="127" t="s">
        <v>32</v>
      </c>
      <c r="AC780" s="127"/>
      <c r="AD780" s="127"/>
      <c r="AE780" s="130"/>
      <c r="AF780" s="136">
        <v>8.73</v>
      </c>
      <c r="AG780" s="136">
        <v>11.33</v>
      </c>
      <c r="AH780" s="136">
        <v>36.83</v>
      </c>
      <c r="AI780" s="136">
        <v>5.99</v>
      </c>
      <c r="AJ780" s="136">
        <v>4.63</v>
      </c>
      <c r="AK780" s="136">
        <v>0.49</v>
      </c>
      <c r="AL780" s="136">
        <v>3.31</v>
      </c>
      <c r="AM780" s="136">
        <v>71.31</v>
      </c>
      <c r="AN780" s="131"/>
      <c r="AO780" s="131"/>
      <c r="AP780" s="131"/>
      <c r="AQ780" s="131"/>
      <c r="AR780" s="131"/>
      <c r="AS780" s="131"/>
      <c r="AT780" s="131"/>
      <c r="AU780" s="91"/>
      <c r="AV780" s="91"/>
      <c r="AW780" s="131"/>
      <c r="AX780" s="131"/>
      <c r="AY780" s="131"/>
    </row>
    <row r="781" spans="1:51" ht="15" x14ac:dyDescent="0.25">
      <c r="A781" s="123"/>
      <c r="B781" s="124"/>
      <c r="C781" s="125">
        <v>158129</v>
      </c>
      <c r="D781" s="89"/>
      <c r="E781" s="86" t="s">
        <v>25</v>
      </c>
      <c r="F781" s="86" t="s">
        <v>418</v>
      </c>
      <c r="H781" s="126" t="s">
        <v>51</v>
      </c>
      <c r="I781" s="89">
        <v>1</v>
      </c>
      <c r="J781" s="127">
        <v>31870.789900000003</v>
      </c>
      <c r="K781" s="127">
        <v>67104.63</v>
      </c>
      <c r="L781" s="127">
        <v>8250.35</v>
      </c>
      <c r="M781" s="127">
        <v>13611.789900000018</v>
      </c>
      <c r="N781" s="127">
        <v>57448.130000000005</v>
      </c>
      <c r="O781" s="127">
        <v>7459.85</v>
      </c>
      <c r="P781" s="128">
        <f t="shared" si="108"/>
        <v>0.42709295699006244</v>
      </c>
      <c r="Q781" s="128">
        <f t="shared" si="109"/>
        <v>0.85609785792723991</v>
      </c>
      <c r="R781" s="128">
        <f t="shared" si="110"/>
        <v>0.90418588302314451</v>
      </c>
      <c r="S781" s="129">
        <v>1</v>
      </c>
      <c r="T781" s="129">
        <v>1</v>
      </c>
      <c r="U781" s="129">
        <v>1</v>
      </c>
      <c r="V781" s="138">
        <f t="shared" si="111"/>
        <v>3</v>
      </c>
      <c r="W781" s="138">
        <f t="shared" si="112"/>
        <v>3</v>
      </c>
      <c r="X781" s="138">
        <f t="shared" si="113"/>
        <v>1</v>
      </c>
      <c r="Y781" s="138">
        <f t="shared" si="114"/>
        <v>3</v>
      </c>
      <c r="Z781" s="138">
        <f t="shared" si="115"/>
        <v>3</v>
      </c>
      <c r="AA781" s="138">
        <f t="shared" si="116"/>
        <v>1</v>
      </c>
      <c r="AB781" s="127" t="s">
        <v>32</v>
      </c>
      <c r="AC781" s="127"/>
      <c r="AD781" s="127"/>
      <c r="AE781" s="130"/>
      <c r="AF781" s="136">
        <v>8.73</v>
      </c>
      <c r="AG781" s="136">
        <v>11.33</v>
      </c>
      <c r="AH781" s="136">
        <v>36.83</v>
      </c>
      <c r="AI781" s="136">
        <v>5.99</v>
      </c>
      <c r="AJ781" s="136">
        <v>4.63</v>
      </c>
      <c r="AK781" s="136">
        <v>0.49</v>
      </c>
      <c r="AL781" s="136">
        <v>3.31</v>
      </c>
      <c r="AM781" s="136">
        <v>71.31</v>
      </c>
      <c r="AN781" s="131"/>
      <c r="AO781" s="131"/>
      <c r="AP781" s="131"/>
      <c r="AQ781" s="131"/>
      <c r="AR781" s="131"/>
      <c r="AS781" s="131"/>
      <c r="AT781" s="131"/>
      <c r="AU781" s="91"/>
      <c r="AV781" s="91"/>
      <c r="AW781" s="131"/>
      <c r="AX781" s="131"/>
      <c r="AY781" s="131"/>
    </row>
    <row r="782" spans="1:51" ht="15" x14ac:dyDescent="0.25">
      <c r="A782" s="123"/>
      <c r="B782" s="124"/>
      <c r="C782" s="125">
        <v>171279</v>
      </c>
      <c r="D782" s="89"/>
      <c r="E782" s="86" t="s">
        <v>25</v>
      </c>
      <c r="F782" s="86" t="s">
        <v>418</v>
      </c>
      <c r="H782" s="126" t="s">
        <v>51</v>
      </c>
      <c r="I782" s="89">
        <v>1</v>
      </c>
      <c r="J782" s="127">
        <v>31870.789900000003</v>
      </c>
      <c r="K782" s="127">
        <v>67104.63</v>
      </c>
      <c r="L782" s="127">
        <v>8250.35</v>
      </c>
      <c r="M782" s="127">
        <v>13611.789900000018</v>
      </c>
      <c r="N782" s="127">
        <v>57448.130000000005</v>
      </c>
      <c r="O782" s="127">
        <v>7459.85</v>
      </c>
      <c r="P782" s="128">
        <f t="shared" si="108"/>
        <v>0.42709295699006244</v>
      </c>
      <c r="Q782" s="128">
        <f t="shared" si="109"/>
        <v>0.85609785792723991</v>
      </c>
      <c r="R782" s="128">
        <f t="shared" si="110"/>
        <v>0.90418588302314451</v>
      </c>
      <c r="S782" s="129">
        <v>1</v>
      </c>
      <c r="T782" s="129">
        <v>1</v>
      </c>
      <c r="U782" s="129">
        <v>1</v>
      </c>
      <c r="V782" s="138">
        <f t="shared" si="111"/>
        <v>3</v>
      </c>
      <c r="W782" s="138">
        <f t="shared" si="112"/>
        <v>3</v>
      </c>
      <c r="X782" s="138">
        <f t="shared" si="113"/>
        <v>1</v>
      </c>
      <c r="Y782" s="138">
        <f t="shared" si="114"/>
        <v>3</v>
      </c>
      <c r="Z782" s="138">
        <f t="shared" si="115"/>
        <v>3</v>
      </c>
      <c r="AA782" s="138">
        <f t="shared" si="116"/>
        <v>1</v>
      </c>
      <c r="AB782" s="127" t="s">
        <v>32</v>
      </c>
      <c r="AC782" s="127"/>
      <c r="AD782" s="127"/>
      <c r="AE782" s="130"/>
      <c r="AF782" s="136">
        <v>8.73</v>
      </c>
      <c r="AG782" s="136">
        <v>11.33</v>
      </c>
      <c r="AH782" s="136">
        <v>36.83</v>
      </c>
      <c r="AI782" s="136">
        <v>5.99</v>
      </c>
      <c r="AJ782" s="136">
        <v>4.63</v>
      </c>
      <c r="AK782" s="136">
        <v>0.49</v>
      </c>
      <c r="AL782" s="136">
        <v>3.31</v>
      </c>
      <c r="AM782" s="136">
        <v>71.31</v>
      </c>
      <c r="AN782" s="131"/>
      <c r="AO782" s="131"/>
      <c r="AP782" s="131"/>
      <c r="AQ782" s="131"/>
      <c r="AR782" s="131"/>
      <c r="AS782" s="131"/>
      <c r="AT782" s="131"/>
      <c r="AU782" s="91"/>
      <c r="AV782" s="91"/>
      <c r="AW782" s="131"/>
      <c r="AX782" s="131"/>
      <c r="AY782" s="131"/>
    </row>
    <row r="783" spans="1:51" ht="15" x14ac:dyDescent="0.25">
      <c r="A783" s="123"/>
      <c r="B783" s="124"/>
      <c r="C783" s="125">
        <v>300484</v>
      </c>
      <c r="D783" s="89"/>
      <c r="E783" s="86" t="s">
        <v>25</v>
      </c>
      <c r="F783" s="86" t="s">
        <v>418</v>
      </c>
      <c r="H783" s="126" t="s">
        <v>51</v>
      </c>
      <c r="I783" s="89">
        <v>1</v>
      </c>
      <c r="J783" s="127">
        <v>31870.789900000003</v>
      </c>
      <c r="K783" s="127">
        <v>67104.63</v>
      </c>
      <c r="L783" s="127">
        <v>8250.35</v>
      </c>
      <c r="M783" s="127">
        <v>13611.789900000018</v>
      </c>
      <c r="N783" s="127">
        <v>57448.130000000005</v>
      </c>
      <c r="O783" s="127">
        <v>7459.85</v>
      </c>
      <c r="P783" s="128">
        <f t="shared" si="108"/>
        <v>0.42709295699006244</v>
      </c>
      <c r="Q783" s="128">
        <f t="shared" si="109"/>
        <v>0.85609785792723991</v>
      </c>
      <c r="R783" s="128">
        <f t="shared" si="110"/>
        <v>0.90418588302314451</v>
      </c>
      <c r="S783" s="129">
        <v>1</v>
      </c>
      <c r="T783" s="129">
        <v>1</v>
      </c>
      <c r="U783" s="129">
        <v>1</v>
      </c>
      <c r="V783" s="138">
        <f t="shared" si="111"/>
        <v>3</v>
      </c>
      <c r="W783" s="138">
        <f t="shared" si="112"/>
        <v>3</v>
      </c>
      <c r="X783" s="138">
        <f t="shared" si="113"/>
        <v>1</v>
      </c>
      <c r="Y783" s="138">
        <f t="shared" si="114"/>
        <v>3</v>
      </c>
      <c r="Z783" s="138">
        <f t="shared" si="115"/>
        <v>3</v>
      </c>
      <c r="AA783" s="138">
        <f t="shared" si="116"/>
        <v>1</v>
      </c>
      <c r="AB783" s="127" t="s">
        <v>32</v>
      </c>
      <c r="AC783" s="127"/>
      <c r="AD783" s="127"/>
      <c r="AE783" s="130"/>
      <c r="AF783" s="136">
        <v>8.73</v>
      </c>
      <c r="AG783" s="136">
        <v>11.33</v>
      </c>
      <c r="AH783" s="136">
        <v>36.83</v>
      </c>
      <c r="AI783" s="136">
        <v>5.99</v>
      </c>
      <c r="AJ783" s="136">
        <v>4.63</v>
      </c>
      <c r="AK783" s="136">
        <v>0.49</v>
      </c>
      <c r="AL783" s="136">
        <v>3.31</v>
      </c>
      <c r="AM783" s="136">
        <v>71.31</v>
      </c>
      <c r="AN783" s="131"/>
      <c r="AO783" s="131"/>
      <c r="AP783" s="131"/>
      <c r="AQ783" s="131"/>
      <c r="AR783" s="131"/>
      <c r="AS783" s="131"/>
      <c r="AT783" s="131"/>
      <c r="AU783" s="91"/>
      <c r="AV783" s="91"/>
      <c r="AW783" s="131"/>
      <c r="AX783" s="131"/>
      <c r="AY783" s="131"/>
    </row>
    <row r="784" spans="1:51" ht="15" x14ac:dyDescent="0.25">
      <c r="A784" s="123"/>
      <c r="B784" s="124"/>
      <c r="C784" s="125">
        <v>387136</v>
      </c>
      <c r="D784" s="89"/>
      <c r="E784" s="86" t="s">
        <v>25</v>
      </c>
      <c r="F784" s="86" t="s">
        <v>418</v>
      </c>
      <c r="H784" s="126" t="s">
        <v>51</v>
      </c>
      <c r="I784" s="89">
        <v>1</v>
      </c>
      <c r="J784" s="127">
        <v>31870.789900000003</v>
      </c>
      <c r="K784" s="127">
        <v>67104.63</v>
      </c>
      <c r="L784" s="127">
        <v>8250.35</v>
      </c>
      <c r="M784" s="127">
        <v>13611.789900000018</v>
      </c>
      <c r="N784" s="127">
        <v>57448.130000000005</v>
      </c>
      <c r="O784" s="127">
        <v>7459.85</v>
      </c>
      <c r="P784" s="128">
        <f t="shared" si="108"/>
        <v>0.42709295699006244</v>
      </c>
      <c r="Q784" s="128">
        <f t="shared" si="109"/>
        <v>0.85609785792723991</v>
      </c>
      <c r="R784" s="128">
        <f t="shared" si="110"/>
        <v>0.90418588302314451</v>
      </c>
      <c r="S784" s="129">
        <v>1</v>
      </c>
      <c r="T784" s="129">
        <v>1</v>
      </c>
      <c r="U784" s="129">
        <v>1</v>
      </c>
      <c r="V784" s="138">
        <f t="shared" si="111"/>
        <v>3</v>
      </c>
      <c r="W784" s="138">
        <f t="shared" si="112"/>
        <v>3</v>
      </c>
      <c r="X784" s="138">
        <f t="shared" si="113"/>
        <v>1</v>
      </c>
      <c r="Y784" s="138">
        <f t="shared" si="114"/>
        <v>3</v>
      </c>
      <c r="Z784" s="138">
        <f t="shared" si="115"/>
        <v>3</v>
      </c>
      <c r="AA784" s="138">
        <f t="shared" si="116"/>
        <v>1</v>
      </c>
      <c r="AB784" s="127" t="s">
        <v>32</v>
      </c>
      <c r="AC784" s="127"/>
      <c r="AD784" s="127"/>
      <c r="AE784" s="130"/>
      <c r="AF784" s="136">
        <v>8.73</v>
      </c>
      <c r="AG784" s="136">
        <v>11.33</v>
      </c>
      <c r="AH784" s="136">
        <v>36.83</v>
      </c>
      <c r="AI784" s="136">
        <v>5.99</v>
      </c>
      <c r="AJ784" s="136">
        <v>4.63</v>
      </c>
      <c r="AK784" s="136">
        <v>0.49</v>
      </c>
      <c r="AL784" s="136">
        <v>3.31</v>
      </c>
      <c r="AM784" s="136">
        <v>71.31</v>
      </c>
      <c r="AN784" s="131"/>
      <c r="AO784" s="131"/>
      <c r="AP784" s="131"/>
      <c r="AQ784" s="131"/>
      <c r="AR784" s="131"/>
      <c r="AS784" s="131"/>
      <c r="AT784" s="131"/>
      <c r="AU784" s="91"/>
      <c r="AV784" s="91"/>
      <c r="AW784" s="131"/>
      <c r="AX784" s="131"/>
      <c r="AY784" s="131"/>
    </row>
    <row r="785" spans="1:51" ht="15" x14ac:dyDescent="0.25">
      <c r="A785" s="123"/>
      <c r="B785" s="124"/>
      <c r="C785" s="125">
        <v>443072</v>
      </c>
      <c r="D785" s="89"/>
      <c r="E785" s="86" t="s">
        <v>25</v>
      </c>
      <c r="F785" s="86" t="s">
        <v>418</v>
      </c>
      <c r="H785" s="126" t="s">
        <v>51</v>
      </c>
      <c r="I785" s="89">
        <v>1</v>
      </c>
      <c r="J785" s="127">
        <v>31870.789900000003</v>
      </c>
      <c r="K785" s="127">
        <v>67104.63</v>
      </c>
      <c r="L785" s="127">
        <v>8250.35</v>
      </c>
      <c r="M785" s="127">
        <v>13611.789900000018</v>
      </c>
      <c r="N785" s="127">
        <v>57448.130000000005</v>
      </c>
      <c r="O785" s="127">
        <v>7459.85</v>
      </c>
      <c r="P785" s="128">
        <f t="shared" si="108"/>
        <v>0.42709295699006244</v>
      </c>
      <c r="Q785" s="128">
        <f t="shared" si="109"/>
        <v>0.85609785792723991</v>
      </c>
      <c r="R785" s="128">
        <f t="shared" si="110"/>
        <v>0.90418588302314451</v>
      </c>
      <c r="S785" s="129">
        <v>1</v>
      </c>
      <c r="T785" s="129">
        <v>1</v>
      </c>
      <c r="U785" s="129">
        <v>1</v>
      </c>
      <c r="V785" s="138">
        <f t="shared" si="111"/>
        <v>3</v>
      </c>
      <c r="W785" s="138">
        <f t="shared" si="112"/>
        <v>3</v>
      </c>
      <c r="X785" s="138">
        <f t="shared" si="113"/>
        <v>1</v>
      </c>
      <c r="Y785" s="138">
        <f t="shared" si="114"/>
        <v>3</v>
      </c>
      <c r="Z785" s="138">
        <f t="shared" si="115"/>
        <v>3</v>
      </c>
      <c r="AA785" s="138">
        <f t="shared" si="116"/>
        <v>1</v>
      </c>
      <c r="AB785" s="127" t="s">
        <v>32</v>
      </c>
      <c r="AC785" s="127"/>
      <c r="AD785" s="127"/>
      <c r="AE785" s="130"/>
      <c r="AF785" s="136">
        <v>8.73</v>
      </c>
      <c r="AG785" s="136">
        <v>11.33</v>
      </c>
      <c r="AH785" s="136">
        <v>36.83</v>
      </c>
      <c r="AI785" s="136">
        <v>5.99</v>
      </c>
      <c r="AJ785" s="136">
        <v>4.63</v>
      </c>
      <c r="AK785" s="136">
        <v>0.49</v>
      </c>
      <c r="AL785" s="136">
        <v>3.31</v>
      </c>
      <c r="AM785" s="136">
        <v>71.31</v>
      </c>
      <c r="AN785" s="131"/>
      <c r="AO785" s="131"/>
      <c r="AP785" s="131"/>
      <c r="AQ785" s="131"/>
      <c r="AR785" s="131"/>
      <c r="AS785" s="131"/>
      <c r="AT785" s="131"/>
      <c r="AU785" s="91"/>
      <c r="AV785" s="91"/>
      <c r="AW785" s="131"/>
      <c r="AX785" s="131"/>
      <c r="AY785" s="131"/>
    </row>
    <row r="786" spans="1:51" ht="15" x14ac:dyDescent="0.25">
      <c r="A786" s="123"/>
      <c r="B786" s="124"/>
      <c r="C786" s="125">
        <v>506200</v>
      </c>
      <c r="D786" s="89"/>
      <c r="E786" s="86" t="s">
        <v>25</v>
      </c>
      <c r="F786" s="86" t="s">
        <v>418</v>
      </c>
      <c r="H786" s="126" t="s">
        <v>51</v>
      </c>
      <c r="I786" s="89">
        <v>1</v>
      </c>
      <c r="J786" s="127">
        <v>31870.789900000003</v>
      </c>
      <c r="K786" s="127">
        <v>67104.63</v>
      </c>
      <c r="L786" s="127">
        <v>8250.35</v>
      </c>
      <c r="M786" s="127">
        <v>13611.789900000018</v>
      </c>
      <c r="N786" s="127">
        <v>57448.130000000005</v>
      </c>
      <c r="O786" s="127">
        <v>7459.85</v>
      </c>
      <c r="P786" s="128">
        <f t="shared" si="108"/>
        <v>0.42709295699006244</v>
      </c>
      <c r="Q786" s="128">
        <f t="shared" si="109"/>
        <v>0.85609785792723991</v>
      </c>
      <c r="R786" s="128">
        <f t="shared" si="110"/>
        <v>0.90418588302314451</v>
      </c>
      <c r="S786" s="129">
        <v>1</v>
      </c>
      <c r="T786" s="129">
        <v>1</v>
      </c>
      <c r="U786" s="129">
        <v>1</v>
      </c>
      <c r="V786" s="138">
        <f t="shared" si="111"/>
        <v>3</v>
      </c>
      <c r="W786" s="138">
        <f t="shared" si="112"/>
        <v>3</v>
      </c>
      <c r="X786" s="138">
        <f t="shared" si="113"/>
        <v>1</v>
      </c>
      <c r="Y786" s="138">
        <f t="shared" si="114"/>
        <v>3</v>
      </c>
      <c r="Z786" s="138">
        <f t="shared" si="115"/>
        <v>3</v>
      </c>
      <c r="AA786" s="138">
        <f t="shared" si="116"/>
        <v>1</v>
      </c>
      <c r="AB786" s="127" t="s">
        <v>32</v>
      </c>
      <c r="AC786" s="127"/>
      <c r="AD786" s="127"/>
      <c r="AE786" s="130"/>
      <c r="AF786" s="136">
        <v>8.73</v>
      </c>
      <c r="AG786" s="136">
        <v>11.33</v>
      </c>
      <c r="AH786" s="136">
        <v>36.83</v>
      </c>
      <c r="AI786" s="136">
        <v>5.99</v>
      </c>
      <c r="AJ786" s="136">
        <v>4.63</v>
      </c>
      <c r="AK786" s="136">
        <v>0.49</v>
      </c>
      <c r="AL786" s="136">
        <v>3.31</v>
      </c>
      <c r="AM786" s="136">
        <v>71.31</v>
      </c>
      <c r="AN786" s="131"/>
      <c r="AO786" s="131"/>
      <c r="AP786" s="131"/>
      <c r="AQ786" s="131"/>
      <c r="AR786" s="131"/>
      <c r="AS786" s="131"/>
      <c r="AT786" s="131"/>
      <c r="AU786" s="91"/>
      <c r="AV786" s="91"/>
      <c r="AW786" s="131"/>
      <c r="AX786" s="131"/>
      <c r="AY786" s="131"/>
    </row>
    <row r="787" spans="1:51" ht="15" x14ac:dyDescent="0.25">
      <c r="A787" s="123"/>
      <c r="B787" s="124"/>
      <c r="C787" s="125">
        <v>513231</v>
      </c>
      <c r="D787" s="89"/>
      <c r="E787" s="86" t="s">
        <v>25</v>
      </c>
      <c r="F787" s="86" t="s">
        <v>418</v>
      </c>
      <c r="H787" s="126" t="s">
        <v>51</v>
      </c>
      <c r="I787" s="89">
        <v>1</v>
      </c>
      <c r="J787" s="127">
        <v>31870.789900000003</v>
      </c>
      <c r="K787" s="127">
        <v>67104.63</v>
      </c>
      <c r="L787" s="127">
        <v>8250.35</v>
      </c>
      <c r="M787" s="127">
        <v>13611.789900000018</v>
      </c>
      <c r="N787" s="127">
        <v>57448.130000000005</v>
      </c>
      <c r="O787" s="127">
        <v>7459.85</v>
      </c>
      <c r="P787" s="128">
        <f t="shared" si="108"/>
        <v>0.42709295699006244</v>
      </c>
      <c r="Q787" s="128">
        <f t="shared" si="109"/>
        <v>0.85609785792723991</v>
      </c>
      <c r="R787" s="128">
        <f t="shared" si="110"/>
        <v>0.90418588302314451</v>
      </c>
      <c r="S787" s="129">
        <v>1</v>
      </c>
      <c r="T787" s="129">
        <v>1</v>
      </c>
      <c r="U787" s="129">
        <v>1</v>
      </c>
      <c r="V787" s="138">
        <f t="shared" si="111"/>
        <v>3</v>
      </c>
      <c r="W787" s="138">
        <f t="shared" si="112"/>
        <v>3</v>
      </c>
      <c r="X787" s="138">
        <f t="shared" si="113"/>
        <v>1</v>
      </c>
      <c r="Y787" s="138">
        <f t="shared" si="114"/>
        <v>3</v>
      </c>
      <c r="Z787" s="138">
        <f t="shared" si="115"/>
        <v>3</v>
      </c>
      <c r="AA787" s="138">
        <f t="shared" si="116"/>
        <v>1</v>
      </c>
      <c r="AB787" s="127" t="s">
        <v>32</v>
      </c>
      <c r="AC787" s="127"/>
      <c r="AD787" s="127"/>
      <c r="AE787" s="130"/>
      <c r="AF787" s="136">
        <v>8.73</v>
      </c>
      <c r="AG787" s="136">
        <v>11.33</v>
      </c>
      <c r="AH787" s="136">
        <v>36.83</v>
      </c>
      <c r="AI787" s="136">
        <v>5.99</v>
      </c>
      <c r="AJ787" s="136">
        <v>4.63</v>
      </c>
      <c r="AK787" s="136">
        <v>0.49</v>
      </c>
      <c r="AL787" s="136">
        <v>3.31</v>
      </c>
      <c r="AM787" s="136">
        <v>71.31</v>
      </c>
      <c r="AN787" s="131"/>
      <c r="AO787" s="131"/>
      <c r="AP787" s="131"/>
      <c r="AQ787" s="131"/>
      <c r="AR787" s="131"/>
      <c r="AS787" s="131"/>
      <c r="AT787" s="131"/>
      <c r="AU787" s="91"/>
      <c r="AV787" s="91"/>
      <c r="AW787" s="131"/>
      <c r="AX787" s="131"/>
      <c r="AY787" s="131"/>
    </row>
    <row r="788" spans="1:51" ht="15" x14ac:dyDescent="0.25">
      <c r="A788" s="123"/>
      <c r="B788" s="124"/>
      <c r="C788" s="125">
        <v>526823</v>
      </c>
      <c r="D788" s="89"/>
      <c r="E788" s="86" t="s">
        <v>25</v>
      </c>
      <c r="F788" s="86" t="s">
        <v>418</v>
      </c>
      <c r="H788" s="126" t="s">
        <v>51</v>
      </c>
      <c r="I788" s="89">
        <v>1</v>
      </c>
      <c r="J788" s="127">
        <v>31870.789900000003</v>
      </c>
      <c r="K788" s="127">
        <v>67104.63</v>
      </c>
      <c r="L788" s="127">
        <v>8250.35</v>
      </c>
      <c r="M788" s="127">
        <v>13611.789900000018</v>
      </c>
      <c r="N788" s="127">
        <v>57448.130000000005</v>
      </c>
      <c r="O788" s="127">
        <v>7459.85</v>
      </c>
      <c r="P788" s="128">
        <f t="shared" si="108"/>
        <v>0.42709295699006244</v>
      </c>
      <c r="Q788" s="128">
        <f t="shared" si="109"/>
        <v>0.85609785792723991</v>
      </c>
      <c r="R788" s="128">
        <f t="shared" si="110"/>
        <v>0.90418588302314451</v>
      </c>
      <c r="S788" s="129">
        <v>1</v>
      </c>
      <c r="T788" s="129">
        <v>1</v>
      </c>
      <c r="U788" s="129">
        <v>1</v>
      </c>
      <c r="V788" s="138">
        <f t="shared" si="111"/>
        <v>3</v>
      </c>
      <c r="W788" s="138">
        <f t="shared" si="112"/>
        <v>3</v>
      </c>
      <c r="X788" s="138">
        <f t="shared" si="113"/>
        <v>1</v>
      </c>
      <c r="Y788" s="138">
        <f t="shared" si="114"/>
        <v>3</v>
      </c>
      <c r="Z788" s="138">
        <f t="shared" si="115"/>
        <v>3</v>
      </c>
      <c r="AA788" s="138">
        <f t="shared" si="116"/>
        <v>1</v>
      </c>
      <c r="AB788" s="127" t="s">
        <v>32</v>
      </c>
      <c r="AC788" s="127"/>
      <c r="AD788" s="127"/>
      <c r="AE788" s="130"/>
      <c r="AF788" s="136">
        <v>8.73</v>
      </c>
      <c r="AG788" s="136">
        <v>11.33</v>
      </c>
      <c r="AH788" s="136">
        <v>36.83</v>
      </c>
      <c r="AI788" s="136">
        <v>5.99</v>
      </c>
      <c r="AJ788" s="136">
        <v>4.63</v>
      </c>
      <c r="AK788" s="136">
        <v>0.49</v>
      </c>
      <c r="AL788" s="136">
        <v>3.31</v>
      </c>
      <c r="AM788" s="136">
        <v>71.31</v>
      </c>
      <c r="AN788" s="131"/>
      <c r="AO788" s="131"/>
      <c r="AP788" s="131"/>
      <c r="AQ788" s="131"/>
      <c r="AR788" s="131"/>
      <c r="AS788" s="131"/>
      <c r="AT788" s="131"/>
      <c r="AU788" s="91"/>
      <c r="AV788" s="91"/>
      <c r="AW788" s="131"/>
      <c r="AX788" s="131"/>
      <c r="AY788" s="131"/>
    </row>
    <row r="789" spans="1:51" ht="15" x14ac:dyDescent="0.25">
      <c r="A789" s="123"/>
      <c r="B789" s="124"/>
      <c r="C789" s="125">
        <v>541866</v>
      </c>
      <c r="D789" s="89"/>
      <c r="E789" s="86" t="s">
        <v>25</v>
      </c>
      <c r="F789" s="86" t="s">
        <v>418</v>
      </c>
      <c r="H789" s="126" t="s">
        <v>51</v>
      </c>
      <c r="I789" s="89">
        <v>1</v>
      </c>
      <c r="J789" s="127">
        <v>31870.789900000003</v>
      </c>
      <c r="K789" s="127">
        <v>67104.63</v>
      </c>
      <c r="L789" s="127">
        <v>8250.35</v>
      </c>
      <c r="M789" s="127">
        <v>13611.789900000018</v>
      </c>
      <c r="N789" s="127">
        <v>57448.130000000005</v>
      </c>
      <c r="O789" s="127">
        <v>7459.85</v>
      </c>
      <c r="P789" s="128">
        <f t="shared" si="108"/>
        <v>0.42709295699006244</v>
      </c>
      <c r="Q789" s="128">
        <f t="shared" si="109"/>
        <v>0.85609785792723991</v>
      </c>
      <c r="R789" s="128">
        <f t="shared" si="110"/>
        <v>0.90418588302314451</v>
      </c>
      <c r="S789" s="129">
        <v>1</v>
      </c>
      <c r="T789" s="129">
        <v>1</v>
      </c>
      <c r="U789" s="129">
        <v>1</v>
      </c>
      <c r="V789" s="138">
        <f t="shared" si="111"/>
        <v>3</v>
      </c>
      <c r="W789" s="138">
        <f t="shared" si="112"/>
        <v>3</v>
      </c>
      <c r="X789" s="138">
        <f t="shared" si="113"/>
        <v>1</v>
      </c>
      <c r="Y789" s="138">
        <f t="shared" si="114"/>
        <v>3</v>
      </c>
      <c r="Z789" s="138">
        <f t="shared" si="115"/>
        <v>3</v>
      </c>
      <c r="AA789" s="138">
        <f t="shared" si="116"/>
        <v>1</v>
      </c>
      <c r="AB789" s="127" t="s">
        <v>32</v>
      </c>
      <c r="AC789" s="127"/>
      <c r="AD789" s="127"/>
      <c r="AE789" s="130"/>
      <c r="AF789" s="136">
        <v>8.73</v>
      </c>
      <c r="AG789" s="136">
        <v>11.33</v>
      </c>
      <c r="AH789" s="136">
        <v>36.83</v>
      </c>
      <c r="AI789" s="136">
        <v>5.99</v>
      </c>
      <c r="AJ789" s="136">
        <v>4.63</v>
      </c>
      <c r="AK789" s="136">
        <v>0.49</v>
      </c>
      <c r="AL789" s="136">
        <v>3.31</v>
      </c>
      <c r="AM789" s="136">
        <v>71.31</v>
      </c>
      <c r="AN789" s="131"/>
      <c r="AO789" s="131"/>
      <c r="AP789" s="131"/>
      <c r="AQ789" s="131"/>
      <c r="AR789" s="131"/>
      <c r="AS789" s="131"/>
      <c r="AT789" s="131"/>
      <c r="AU789" s="91"/>
      <c r="AV789" s="91"/>
      <c r="AW789" s="131"/>
      <c r="AX789" s="131"/>
      <c r="AY789" s="131"/>
    </row>
    <row r="790" spans="1:51" ht="15" x14ac:dyDescent="0.25">
      <c r="A790" s="123"/>
      <c r="B790" s="124"/>
      <c r="C790" s="125">
        <v>619954</v>
      </c>
      <c r="D790" s="89"/>
      <c r="E790" s="86" t="s">
        <v>25</v>
      </c>
      <c r="F790" s="86" t="s">
        <v>418</v>
      </c>
      <c r="H790" s="126" t="s">
        <v>51</v>
      </c>
      <c r="I790" s="89">
        <v>1</v>
      </c>
      <c r="J790" s="127">
        <v>31870.789900000003</v>
      </c>
      <c r="K790" s="127">
        <v>67104.63</v>
      </c>
      <c r="L790" s="127">
        <v>8250.35</v>
      </c>
      <c r="M790" s="127">
        <v>13611.789900000018</v>
      </c>
      <c r="N790" s="127">
        <v>57448.130000000005</v>
      </c>
      <c r="O790" s="127">
        <v>7459.85</v>
      </c>
      <c r="P790" s="128">
        <f t="shared" si="108"/>
        <v>0.42709295699006244</v>
      </c>
      <c r="Q790" s="128">
        <f t="shared" si="109"/>
        <v>0.85609785792723991</v>
      </c>
      <c r="R790" s="128">
        <f t="shared" si="110"/>
        <v>0.90418588302314451</v>
      </c>
      <c r="S790" s="129">
        <v>1</v>
      </c>
      <c r="T790" s="129">
        <v>1</v>
      </c>
      <c r="U790" s="129">
        <v>1</v>
      </c>
      <c r="V790" s="138">
        <f t="shared" si="111"/>
        <v>3</v>
      </c>
      <c r="W790" s="138">
        <f t="shared" si="112"/>
        <v>3</v>
      </c>
      <c r="X790" s="138">
        <f t="shared" si="113"/>
        <v>1</v>
      </c>
      <c r="Y790" s="138">
        <f t="shared" si="114"/>
        <v>3</v>
      </c>
      <c r="Z790" s="138">
        <f t="shared" si="115"/>
        <v>3</v>
      </c>
      <c r="AA790" s="138">
        <f t="shared" si="116"/>
        <v>1</v>
      </c>
      <c r="AB790" s="127" t="s">
        <v>32</v>
      </c>
      <c r="AC790" s="127"/>
      <c r="AD790" s="127"/>
      <c r="AE790" s="130"/>
      <c r="AF790" s="136">
        <v>8.73</v>
      </c>
      <c r="AG790" s="136">
        <v>11.33</v>
      </c>
      <c r="AH790" s="136">
        <v>36.83</v>
      </c>
      <c r="AI790" s="136">
        <v>5.99</v>
      </c>
      <c r="AJ790" s="136">
        <v>4.63</v>
      </c>
      <c r="AK790" s="136">
        <v>0.49</v>
      </c>
      <c r="AL790" s="136">
        <v>3.31</v>
      </c>
      <c r="AM790" s="136">
        <v>71.31</v>
      </c>
      <c r="AN790" s="131"/>
      <c r="AO790" s="131"/>
      <c r="AP790" s="131"/>
      <c r="AQ790" s="131"/>
      <c r="AR790" s="131"/>
      <c r="AS790" s="131"/>
      <c r="AT790" s="131"/>
      <c r="AU790" s="91"/>
      <c r="AV790" s="91"/>
      <c r="AW790" s="131"/>
      <c r="AX790" s="131"/>
      <c r="AY790" s="131"/>
    </row>
    <row r="791" spans="1:51" ht="15" x14ac:dyDescent="0.25">
      <c r="A791" s="123"/>
      <c r="B791" s="124"/>
      <c r="C791" s="125">
        <v>624328</v>
      </c>
      <c r="D791" s="89"/>
      <c r="E791" s="86" t="s">
        <v>25</v>
      </c>
      <c r="F791" s="86" t="s">
        <v>418</v>
      </c>
      <c r="H791" s="126" t="s">
        <v>51</v>
      </c>
      <c r="I791" s="89">
        <v>1</v>
      </c>
      <c r="J791" s="127">
        <v>31870.789900000003</v>
      </c>
      <c r="K791" s="127">
        <v>67104.63</v>
      </c>
      <c r="L791" s="127">
        <v>8250.35</v>
      </c>
      <c r="M791" s="127">
        <v>13611.789900000018</v>
      </c>
      <c r="N791" s="127">
        <v>57448.130000000005</v>
      </c>
      <c r="O791" s="127">
        <v>7459.85</v>
      </c>
      <c r="P791" s="128">
        <f t="shared" si="108"/>
        <v>0.42709295699006244</v>
      </c>
      <c r="Q791" s="128">
        <f t="shared" si="109"/>
        <v>0.85609785792723991</v>
      </c>
      <c r="R791" s="128">
        <f t="shared" si="110"/>
        <v>0.90418588302314451</v>
      </c>
      <c r="S791" s="129">
        <v>1</v>
      </c>
      <c r="T791" s="129">
        <v>1</v>
      </c>
      <c r="U791" s="129">
        <v>1</v>
      </c>
      <c r="V791" s="138">
        <f t="shared" si="111"/>
        <v>3</v>
      </c>
      <c r="W791" s="138">
        <f t="shared" si="112"/>
        <v>3</v>
      </c>
      <c r="X791" s="138">
        <f t="shared" si="113"/>
        <v>1</v>
      </c>
      <c r="Y791" s="138">
        <f t="shared" si="114"/>
        <v>3</v>
      </c>
      <c r="Z791" s="138">
        <f t="shared" si="115"/>
        <v>3</v>
      </c>
      <c r="AA791" s="138">
        <f t="shared" si="116"/>
        <v>1</v>
      </c>
      <c r="AB791" s="127" t="s">
        <v>32</v>
      </c>
      <c r="AC791" s="127"/>
      <c r="AD791" s="127"/>
      <c r="AE791" s="130"/>
      <c r="AF791" s="136">
        <v>8.73</v>
      </c>
      <c r="AG791" s="136">
        <v>11.33</v>
      </c>
      <c r="AH791" s="136">
        <v>36.83</v>
      </c>
      <c r="AI791" s="136">
        <v>5.99</v>
      </c>
      <c r="AJ791" s="136">
        <v>4.63</v>
      </c>
      <c r="AK791" s="136">
        <v>0.49</v>
      </c>
      <c r="AL791" s="136">
        <v>3.31</v>
      </c>
      <c r="AM791" s="136">
        <v>71.31</v>
      </c>
      <c r="AN791" s="131"/>
      <c r="AO791" s="131"/>
      <c r="AP791" s="131"/>
      <c r="AQ791" s="131"/>
      <c r="AR791" s="131"/>
      <c r="AS791" s="131"/>
      <c r="AT791" s="131"/>
      <c r="AU791" s="91"/>
      <c r="AV791" s="91"/>
      <c r="AW791" s="131"/>
      <c r="AX791" s="131"/>
      <c r="AY791" s="131"/>
    </row>
    <row r="792" spans="1:51" ht="15" x14ac:dyDescent="0.25">
      <c r="A792" s="123"/>
      <c r="B792" s="124"/>
      <c r="C792" s="125">
        <v>648170</v>
      </c>
      <c r="D792" s="89"/>
      <c r="E792" s="86" t="s">
        <v>25</v>
      </c>
      <c r="F792" s="86" t="s">
        <v>418</v>
      </c>
      <c r="H792" s="126" t="s">
        <v>51</v>
      </c>
      <c r="I792" s="89">
        <v>1</v>
      </c>
      <c r="J792" s="127">
        <v>31870.789900000003</v>
      </c>
      <c r="K792" s="127">
        <v>67104.63</v>
      </c>
      <c r="L792" s="127">
        <v>8250.35</v>
      </c>
      <c r="M792" s="127">
        <v>13611.789900000018</v>
      </c>
      <c r="N792" s="127">
        <v>57448.130000000005</v>
      </c>
      <c r="O792" s="127">
        <v>7459.85</v>
      </c>
      <c r="P792" s="128">
        <f t="shared" si="108"/>
        <v>0.42709295699006244</v>
      </c>
      <c r="Q792" s="128">
        <f t="shared" si="109"/>
        <v>0.85609785792723991</v>
      </c>
      <c r="R792" s="128">
        <f t="shared" si="110"/>
        <v>0.90418588302314451</v>
      </c>
      <c r="S792" s="129">
        <v>1</v>
      </c>
      <c r="T792" s="129">
        <v>1</v>
      </c>
      <c r="U792" s="129">
        <v>1</v>
      </c>
      <c r="V792" s="138">
        <f t="shared" si="111"/>
        <v>3</v>
      </c>
      <c r="W792" s="138">
        <f t="shared" si="112"/>
        <v>3</v>
      </c>
      <c r="X792" s="138">
        <f t="shared" si="113"/>
        <v>1</v>
      </c>
      <c r="Y792" s="138">
        <f t="shared" si="114"/>
        <v>3</v>
      </c>
      <c r="Z792" s="138">
        <f t="shared" si="115"/>
        <v>3</v>
      </c>
      <c r="AA792" s="138">
        <f t="shared" si="116"/>
        <v>1</v>
      </c>
      <c r="AB792" s="127" t="s">
        <v>32</v>
      </c>
      <c r="AC792" s="127"/>
      <c r="AD792" s="127"/>
      <c r="AE792" s="130"/>
      <c r="AF792" s="136">
        <v>8.73</v>
      </c>
      <c r="AG792" s="136">
        <v>11.33</v>
      </c>
      <c r="AH792" s="136">
        <v>36.83</v>
      </c>
      <c r="AI792" s="136">
        <v>5.99</v>
      </c>
      <c r="AJ792" s="136">
        <v>4.63</v>
      </c>
      <c r="AK792" s="136">
        <v>0.49</v>
      </c>
      <c r="AL792" s="136">
        <v>3.31</v>
      </c>
      <c r="AM792" s="136">
        <v>71.31</v>
      </c>
      <c r="AN792" s="131"/>
      <c r="AO792" s="131"/>
      <c r="AP792" s="131"/>
      <c r="AQ792" s="131"/>
      <c r="AR792" s="131"/>
      <c r="AS792" s="131"/>
      <c r="AT792" s="131"/>
      <c r="AU792" s="91"/>
      <c r="AV792" s="91"/>
      <c r="AW792" s="131"/>
      <c r="AX792" s="131"/>
      <c r="AY792" s="131"/>
    </row>
    <row r="793" spans="1:51" ht="15" x14ac:dyDescent="0.25">
      <c r="A793" s="123"/>
      <c r="B793" s="124"/>
      <c r="C793" s="125">
        <v>670746</v>
      </c>
      <c r="D793" s="89"/>
      <c r="E793" s="86" t="s">
        <v>25</v>
      </c>
      <c r="F793" s="86" t="s">
        <v>418</v>
      </c>
      <c r="H793" s="126" t="s">
        <v>51</v>
      </c>
      <c r="I793" s="89">
        <v>1</v>
      </c>
      <c r="J793" s="127">
        <v>31870.789900000003</v>
      </c>
      <c r="K793" s="127">
        <v>67104.63</v>
      </c>
      <c r="L793" s="127">
        <v>8250.35</v>
      </c>
      <c r="M793" s="127">
        <v>13611.789900000018</v>
      </c>
      <c r="N793" s="127">
        <v>57448.130000000005</v>
      </c>
      <c r="O793" s="127">
        <v>7459.85</v>
      </c>
      <c r="P793" s="128">
        <f t="shared" si="108"/>
        <v>0.42709295699006244</v>
      </c>
      <c r="Q793" s="128">
        <f t="shared" si="109"/>
        <v>0.85609785792723991</v>
      </c>
      <c r="R793" s="128">
        <f t="shared" si="110"/>
        <v>0.90418588302314451</v>
      </c>
      <c r="S793" s="129">
        <v>1</v>
      </c>
      <c r="T793" s="129">
        <v>1</v>
      </c>
      <c r="U793" s="129">
        <v>1</v>
      </c>
      <c r="V793" s="138">
        <f t="shared" si="111"/>
        <v>3</v>
      </c>
      <c r="W793" s="138">
        <f t="shared" si="112"/>
        <v>3</v>
      </c>
      <c r="X793" s="138">
        <f t="shared" si="113"/>
        <v>1</v>
      </c>
      <c r="Y793" s="138">
        <f t="shared" si="114"/>
        <v>3</v>
      </c>
      <c r="Z793" s="138">
        <f t="shared" si="115"/>
        <v>3</v>
      </c>
      <c r="AA793" s="138">
        <f t="shared" si="116"/>
        <v>1</v>
      </c>
      <c r="AB793" s="127" t="s">
        <v>32</v>
      </c>
      <c r="AC793" s="127"/>
      <c r="AD793" s="127"/>
      <c r="AE793" s="130"/>
      <c r="AF793" s="136">
        <v>8.73</v>
      </c>
      <c r="AG793" s="136">
        <v>11.33</v>
      </c>
      <c r="AH793" s="136">
        <v>36.83</v>
      </c>
      <c r="AI793" s="136">
        <v>5.99</v>
      </c>
      <c r="AJ793" s="136">
        <v>4.63</v>
      </c>
      <c r="AK793" s="136">
        <v>0.49</v>
      </c>
      <c r="AL793" s="136">
        <v>3.31</v>
      </c>
      <c r="AM793" s="136">
        <v>71.31</v>
      </c>
      <c r="AN793" s="131"/>
      <c r="AO793" s="131"/>
      <c r="AP793" s="131"/>
      <c r="AQ793" s="131"/>
      <c r="AR793" s="131"/>
      <c r="AS793" s="131"/>
      <c r="AT793" s="131"/>
      <c r="AU793" s="91"/>
      <c r="AV793" s="91"/>
      <c r="AW793" s="131"/>
      <c r="AX793" s="131"/>
      <c r="AY793" s="131"/>
    </row>
    <row r="794" spans="1:51" ht="15" x14ac:dyDescent="0.25">
      <c r="A794" s="123"/>
      <c r="B794" s="124"/>
      <c r="C794" s="125">
        <v>697202</v>
      </c>
      <c r="D794" s="89"/>
      <c r="E794" s="86" t="s">
        <v>25</v>
      </c>
      <c r="F794" s="86" t="s">
        <v>418</v>
      </c>
      <c r="H794" s="126" t="s">
        <v>51</v>
      </c>
      <c r="I794" s="89">
        <v>1</v>
      </c>
      <c r="J794" s="127">
        <v>31870.789900000003</v>
      </c>
      <c r="K794" s="127">
        <v>67104.63</v>
      </c>
      <c r="L794" s="127">
        <v>8250.35</v>
      </c>
      <c r="M794" s="127">
        <v>13611.789900000018</v>
      </c>
      <c r="N794" s="127">
        <v>57448.130000000005</v>
      </c>
      <c r="O794" s="127">
        <v>7459.85</v>
      </c>
      <c r="P794" s="128">
        <f t="shared" si="108"/>
        <v>0.42709295699006244</v>
      </c>
      <c r="Q794" s="128">
        <f t="shared" si="109"/>
        <v>0.85609785792723991</v>
      </c>
      <c r="R794" s="128">
        <f t="shared" si="110"/>
        <v>0.90418588302314451</v>
      </c>
      <c r="S794" s="129">
        <v>1</v>
      </c>
      <c r="T794" s="129">
        <v>1</v>
      </c>
      <c r="U794" s="129">
        <v>1</v>
      </c>
      <c r="V794" s="138">
        <f t="shared" si="111"/>
        <v>3</v>
      </c>
      <c r="W794" s="138">
        <f t="shared" si="112"/>
        <v>3</v>
      </c>
      <c r="X794" s="138">
        <f t="shared" si="113"/>
        <v>1</v>
      </c>
      <c r="Y794" s="138">
        <f t="shared" si="114"/>
        <v>3</v>
      </c>
      <c r="Z794" s="138">
        <f t="shared" si="115"/>
        <v>3</v>
      </c>
      <c r="AA794" s="138">
        <f t="shared" si="116"/>
        <v>1</v>
      </c>
      <c r="AB794" s="127" t="s">
        <v>32</v>
      </c>
      <c r="AC794" s="127"/>
      <c r="AD794" s="127"/>
      <c r="AE794" s="130"/>
      <c r="AF794" s="136">
        <v>8.73</v>
      </c>
      <c r="AG794" s="136">
        <v>11.33</v>
      </c>
      <c r="AH794" s="136">
        <v>36.83</v>
      </c>
      <c r="AI794" s="136">
        <v>5.99</v>
      </c>
      <c r="AJ794" s="136">
        <v>4.63</v>
      </c>
      <c r="AK794" s="136">
        <v>0.49</v>
      </c>
      <c r="AL794" s="136">
        <v>3.31</v>
      </c>
      <c r="AM794" s="136">
        <v>71.31</v>
      </c>
      <c r="AN794" s="131"/>
      <c r="AO794" s="131"/>
      <c r="AP794" s="131"/>
      <c r="AQ794" s="131"/>
      <c r="AR794" s="131"/>
      <c r="AS794" s="131"/>
      <c r="AT794" s="131"/>
      <c r="AU794" s="91"/>
      <c r="AV794" s="91"/>
      <c r="AW794" s="131"/>
      <c r="AX794" s="131"/>
      <c r="AY794" s="131"/>
    </row>
    <row r="795" spans="1:51" ht="15" x14ac:dyDescent="0.25">
      <c r="A795" s="123"/>
      <c r="B795" s="124"/>
      <c r="C795" s="125">
        <v>697241</v>
      </c>
      <c r="D795" s="89"/>
      <c r="E795" s="86" t="s">
        <v>25</v>
      </c>
      <c r="F795" s="86" t="s">
        <v>418</v>
      </c>
      <c r="H795" s="126" t="s">
        <v>51</v>
      </c>
      <c r="I795" s="89">
        <v>1</v>
      </c>
      <c r="J795" s="127">
        <v>31870.789900000003</v>
      </c>
      <c r="K795" s="127">
        <v>67104.63</v>
      </c>
      <c r="L795" s="127">
        <v>8250.35</v>
      </c>
      <c r="M795" s="127">
        <v>13611.789900000018</v>
      </c>
      <c r="N795" s="127">
        <v>57448.130000000005</v>
      </c>
      <c r="O795" s="127">
        <v>7459.85</v>
      </c>
      <c r="P795" s="128">
        <f t="shared" si="108"/>
        <v>0.42709295699006244</v>
      </c>
      <c r="Q795" s="128">
        <f t="shared" si="109"/>
        <v>0.85609785792723991</v>
      </c>
      <c r="R795" s="128">
        <f t="shared" si="110"/>
        <v>0.90418588302314451</v>
      </c>
      <c r="S795" s="129">
        <v>1</v>
      </c>
      <c r="T795" s="129">
        <v>1</v>
      </c>
      <c r="U795" s="129">
        <v>1</v>
      </c>
      <c r="V795" s="138">
        <f t="shared" si="111"/>
        <v>3</v>
      </c>
      <c r="W795" s="138">
        <f t="shared" si="112"/>
        <v>3</v>
      </c>
      <c r="X795" s="138">
        <f t="shared" si="113"/>
        <v>1</v>
      </c>
      <c r="Y795" s="138">
        <f t="shared" si="114"/>
        <v>3</v>
      </c>
      <c r="Z795" s="138">
        <f t="shared" si="115"/>
        <v>3</v>
      </c>
      <c r="AA795" s="138">
        <f t="shared" si="116"/>
        <v>1</v>
      </c>
      <c r="AB795" s="127" t="s">
        <v>32</v>
      </c>
      <c r="AC795" s="127"/>
      <c r="AD795" s="127"/>
      <c r="AE795" s="130"/>
      <c r="AF795" s="136">
        <v>8.73</v>
      </c>
      <c r="AG795" s="136">
        <v>11.33</v>
      </c>
      <c r="AH795" s="136">
        <v>36.83</v>
      </c>
      <c r="AI795" s="136">
        <v>5.99</v>
      </c>
      <c r="AJ795" s="136">
        <v>4.63</v>
      </c>
      <c r="AK795" s="136">
        <v>0.49</v>
      </c>
      <c r="AL795" s="136">
        <v>3.31</v>
      </c>
      <c r="AM795" s="136">
        <v>71.31</v>
      </c>
      <c r="AN795" s="131"/>
      <c r="AO795" s="131"/>
      <c r="AP795" s="131"/>
      <c r="AQ795" s="131"/>
      <c r="AR795" s="131"/>
      <c r="AS795" s="131"/>
      <c r="AT795" s="131"/>
      <c r="AU795" s="91"/>
      <c r="AV795" s="91"/>
      <c r="AW795" s="131"/>
      <c r="AX795" s="131"/>
      <c r="AY795" s="131"/>
    </row>
    <row r="796" spans="1:51" ht="15" x14ac:dyDescent="0.25">
      <c r="A796" s="123"/>
      <c r="B796" s="124"/>
      <c r="C796" s="125">
        <v>750110</v>
      </c>
      <c r="D796" s="89"/>
      <c r="E796" s="86" t="s">
        <v>25</v>
      </c>
      <c r="F796" s="86" t="s">
        <v>418</v>
      </c>
      <c r="H796" s="126" t="s">
        <v>51</v>
      </c>
      <c r="I796" s="89">
        <v>1</v>
      </c>
      <c r="J796" s="127">
        <v>31870.789900000003</v>
      </c>
      <c r="K796" s="127">
        <v>67104.63</v>
      </c>
      <c r="L796" s="127">
        <v>8250.35</v>
      </c>
      <c r="M796" s="127">
        <v>13611.789900000018</v>
      </c>
      <c r="N796" s="127">
        <v>57448.130000000005</v>
      </c>
      <c r="O796" s="127">
        <v>7459.85</v>
      </c>
      <c r="P796" s="128">
        <f t="shared" si="108"/>
        <v>0.42709295699006244</v>
      </c>
      <c r="Q796" s="128">
        <f t="shared" si="109"/>
        <v>0.85609785792723991</v>
      </c>
      <c r="R796" s="128">
        <f t="shared" si="110"/>
        <v>0.90418588302314451</v>
      </c>
      <c r="S796" s="129">
        <v>1</v>
      </c>
      <c r="T796" s="129">
        <v>1</v>
      </c>
      <c r="U796" s="129">
        <v>1</v>
      </c>
      <c r="V796" s="138">
        <f t="shared" si="111"/>
        <v>3</v>
      </c>
      <c r="W796" s="138">
        <f t="shared" si="112"/>
        <v>3</v>
      </c>
      <c r="X796" s="138">
        <f t="shared" si="113"/>
        <v>1</v>
      </c>
      <c r="Y796" s="138">
        <f t="shared" si="114"/>
        <v>3</v>
      </c>
      <c r="Z796" s="138">
        <f t="shared" si="115"/>
        <v>3</v>
      </c>
      <c r="AA796" s="138">
        <f t="shared" si="116"/>
        <v>1</v>
      </c>
      <c r="AB796" s="127" t="s">
        <v>32</v>
      </c>
      <c r="AC796" s="127"/>
      <c r="AD796" s="127"/>
      <c r="AE796" s="130"/>
      <c r="AF796" s="136">
        <v>8.73</v>
      </c>
      <c r="AG796" s="136">
        <v>11.33</v>
      </c>
      <c r="AH796" s="136">
        <v>36.83</v>
      </c>
      <c r="AI796" s="136">
        <v>5.99</v>
      </c>
      <c r="AJ796" s="136">
        <v>4.63</v>
      </c>
      <c r="AK796" s="136">
        <v>0.49</v>
      </c>
      <c r="AL796" s="136">
        <v>3.31</v>
      </c>
      <c r="AM796" s="136">
        <v>71.31</v>
      </c>
      <c r="AN796" s="131"/>
      <c r="AO796" s="131"/>
      <c r="AP796" s="131"/>
      <c r="AQ796" s="131"/>
      <c r="AR796" s="131"/>
      <c r="AS796" s="131"/>
      <c r="AT796" s="131"/>
      <c r="AU796" s="91"/>
      <c r="AV796" s="91"/>
      <c r="AW796" s="131"/>
      <c r="AX796" s="131"/>
      <c r="AY796" s="131"/>
    </row>
    <row r="797" spans="1:51" ht="15" x14ac:dyDescent="0.25">
      <c r="A797" s="123"/>
      <c r="B797" s="124"/>
      <c r="C797" s="125">
        <v>757688</v>
      </c>
      <c r="D797" s="89"/>
      <c r="E797" s="86" t="s">
        <v>25</v>
      </c>
      <c r="F797" s="86" t="s">
        <v>418</v>
      </c>
      <c r="H797" s="126" t="s">
        <v>51</v>
      </c>
      <c r="I797" s="89">
        <v>1</v>
      </c>
      <c r="J797" s="127">
        <v>31870.789900000003</v>
      </c>
      <c r="K797" s="127">
        <v>67104.63</v>
      </c>
      <c r="L797" s="127">
        <v>8250.35</v>
      </c>
      <c r="M797" s="127">
        <v>13611.789900000018</v>
      </c>
      <c r="N797" s="127">
        <v>57448.130000000005</v>
      </c>
      <c r="O797" s="127">
        <v>7459.85</v>
      </c>
      <c r="P797" s="128">
        <f t="shared" si="108"/>
        <v>0.42709295699006244</v>
      </c>
      <c r="Q797" s="128">
        <f t="shared" si="109"/>
        <v>0.85609785792723991</v>
      </c>
      <c r="R797" s="128">
        <f t="shared" si="110"/>
        <v>0.90418588302314451</v>
      </c>
      <c r="S797" s="129">
        <v>1</v>
      </c>
      <c r="T797" s="129">
        <v>1</v>
      </c>
      <c r="U797" s="129">
        <v>1</v>
      </c>
      <c r="V797" s="138">
        <f t="shared" si="111"/>
        <v>3</v>
      </c>
      <c r="W797" s="138">
        <f t="shared" si="112"/>
        <v>3</v>
      </c>
      <c r="X797" s="138">
        <f t="shared" si="113"/>
        <v>1</v>
      </c>
      <c r="Y797" s="138">
        <f t="shared" si="114"/>
        <v>3</v>
      </c>
      <c r="Z797" s="138">
        <f t="shared" si="115"/>
        <v>3</v>
      </c>
      <c r="AA797" s="138">
        <f t="shared" si="116"/>
        <v>1</v>
      </c>
      <c r="AB797" s="127" t="s">
        <v>32</v>
      </c>
      <c r="AC797" s="127"/>
      <c r="AD797" s="127"/>
      <c r="AE797" s="130"/>
      <c r="AF797" s="136">
        <v>8.73</v>
      </c>
      <c r="AG797" s="136">
        <v>11.33</v>
      </c>
      <c r="AH797" s="136">
        <v>36.83</v>
      </c>
      <c r="AI797" s="136">
        <v>5.99</v>
      </c>
      <c r="AJ797" s="136">
        <v>4.63</v>
      </c>
      <c r="AK797" s="136">
        <v>0.49</v>
      </c>
      <c r="AL797" s="136">
        <v>3.31</v>
      </c>
      <c r="AM797" s="136">
        <v>71.31</v>
      </c>
      <c r="AN797" s="131"/>
      <c r="AO797" s="131"/>
      <c r="AP797" s="131"/>
      <c r="AQ797" s="131"/>
      <c r="AR797" s="131"/>
      <c r="AS797" s="131"/>
      <c r="AT797" s="131"/>
      <c r="AU797" s="91"/>
      <c r="AV797" s="91"/>
      <c r="AW797" s="131"/>
      <c r="AX797" s="131"/>
      <c r="AY797" s="131"/>
    </row>
    <row r="798" spans="1:51" ht="15" x14ac:dyDescent="0.25">
      <c r="A798" s="123"/>
      <c r="B798" s="124"/>
      <c r="C798" s="125">
        <v>759489</v>
      </c>
      <c r="D798" s="89"/>
      <c r="E798" s="86" t="s">
        <v>25</v>
      </c>
      <c r="F798" s="86" t="s">
        <v>418</v>
      </c>
      <c r="H798" s="126" t="s">
        <v>51</v>
      </c>
      <c r="I798" s="89">
        <v>1</v>
      </c>
      <c r="J798" s="127">
        <v>31870.789900000003</v>
      </c>
      <c r="K798" s="127">
        <v>67104.63</v>
      </c>
      <c r="L798" s="127">
        <v>8250.35</v>
      </c>
      <c r="M798" s="127">
        <v>13611.789900000018</v>
      </c>
      <c r="N798" s="127">
        <v>57448.130000000005</v>
      </c>
      <c r="O798" s="127">
        <v>7459.85</v>
      </c>
      <c r="P798" s="128">
        <f t="shared" si="108"/>
        <v>0.42709295699006244</v>
      </c>
      <c r="Q798" s="128">
        <f t="shared" si="109"/>
        <v>0.85609785792723991</v>
      </c>
      <c r="R798" s="128">
        <f t="shared" si="110"/>
        <v>0.90418588302314451</v>
      </c>
      <c r="S798" s="129">
        <v>1</v>
      </c>
      <c r="T798" s="129">
        <v>1</v>
      </c>
      <c r="U798" s="129">
        <v>1</v>
      </c>
      <c r="V798" s="138">
        <f t="shared" si="111"/>
        <v>3</v>
      </c>
      <c r="W798" s="138">
        <f t="shared" si="112"/>
        <v>3</v>
      </c>
      <c r="X798" s="138">
        <f t="shared" si="113"/>
        <v>1</v>
      </c>
      <c r="Y798" s="138">
        <f t="shared" si="114"/>
        <v>3</v>
      </c>
      <c r="Z798" s="138">
        <f t="shared" si="115"/>
        <v>3</v>
      </c>
      <c r="AA798" s="138">
        <f t="shared" si="116"/>
        <v>1</v>
      </c>
      <c r="AB798" s="127" t="s">
        <v>32</v>
      </c>
      <c r="AC798" s="127"/>
      <c r="AD798" s="127"/>
      <c r="AE798" s="130"/>
      <c r="AF798" s="136">
        <v>8.73</v>
      </c>
      <c r="AG798" s="136">
        <v>11.33</v>
      </c>
      <c r="AH798" s="136">
        <v>36.83</v>
      </c>
      <c r="AI798" s="136">
        <v>5.99</v>
      </c>
      <c r="AJ798" s="136">
        <v>4.63</v>
      </c>
      <c r="AK798" s="136">
        <v>0.49</v>
      </c>
      <c r="AL798" s="136">
        <v>3.31</v>
      </c>
      <c r="AM798" s="136">
        <v>71.31</v>
      </c>
      <c r="AN798" s="131"/>
      <c r="AO798" s="131"/>
      <c r="AP798" s="131"/>
      <c r="AQ798" s="131"/>
      <c r="AR798" s="131"/>
      <c r="AS798" s="131"/>
      <c r="AT798" s="131"/>
      <c r="AU798" s="91"/>
      <c r="AV798" s="91"/>
      <c r="AW798" s="131"/>
      <c r="AX798" s="131"/>
      <c r="AY798" s="131"/>
    </row>
    <row r="799" spans="1:51" ht="15" x14ac:dyDescent="0.25">
      <c r="A799" s="123"/>
      <c r="B799" s="124"/>
      <c r="C799" s="125">
        <v>787055</v>
      </c>
      <c r="D799" s="89"/>
      <c r="E799" s="86" t="s">
        <v>25</v>
      </c>
      <c r="F799" s="86" t="s">
        <v>418</v>
      </c>
      <c r="H799" s="126" t="s">
        <v>51</v>
      </c>
      <c r="I799" s="89">
        <v>1</v>
      </c>
      <c r="J799" s="127">
        <v>31870.789900000003</v>
      </c>
      <c r="K799" s="127">
        <v>67104.63</v>
      </c>
      <c r="L799" s="127">
        <v>8250.35</v>
      </c>
      <c r="M799" s="127">
        <v>13611.789900000018</v>
      </c>
      <c r="N799" s="127">
        <v>57448.130000000005</v>
      </c>
      <c r="O799" s="127">
        <v>7459.85</v>
      </c>
      <c r="P799" s="128">
        <f t="shared" si="108"/>
        <v>0.42709295699006244</v>
      </c>
      <c r="Q799" s="128">
        <f t="shared" si="109"/>
        <v>0.85609785792723991</v>
      </c>
      <c r="R799" s="128">
        <f t="shared" si="110"/>
        <v>0.90418588302314451</v>
      </c>
      <c r="S799" s="129">
        <v>1</v>
      </c>
      <c r="T799" s="129">
        <v>1</v>
      </c>
      <c r="U799" s="129">
        <v>1</v>
      </c>
      <c r="V799" s="138">
        <f t="shared" si="111"/>
        <v>3</v>
      </c>
      <c r="W799" s="138">
        <f t="shared" si="112"/>
        <v>3</v>
      </c>
      <c r="X799" s="138">
        <f t="shared" si="113"/>
        <v>1</v>
      </c>
      <c r="Y799" s="138">
        <f t="shared" si="114"/>
        <v>3</v>
      </c>
      <c r="Z799" s="138">
        <f t="shared" si="115"/>
        <v>3</v>
      </c>
      <c r="AA799" s="138">
        <f t="shared" si="116"/>
        <v>1</v>
      </c>
      <c r="AB799" s="127" t="s">
        <v>32</v>
      </c>
      <c r="AC799" s="127"/>
      <c r="AD799" s="127"/>
      <c r="AE799" s="130"/>
      <c r="AF799" s="136">
        <v>8.73</v>
      </c>
      <c r="AG799" s="136">
        <v>11.33</v>
      </c>
      <c r="AH799" s="136">
        <v>36.83</v>
      </c>
      <c r="AI799" s="136">
        <v>5.99</v>
      </c>
      <c r="AJ799" s="136">
        <v>4.63</v>
      </c>
      <c r="AK799" s="136">
        <v>0.49</v>
      </c>
      <c r="AL799" s="136">
        <v>3.31</v>
      </c>
      <c r="AM799" s="136">
        <v>71.31</v>
      </c>
      <c r="AN799" s="131"/>
      <c r="AO799" s="131"/>
      <c r="AP799" s="131"/>
      <c r="AQ799" s="131"/>
      <c r="AR799" s="131"/>
      <c r="AS799" s="131"/>
      <c r="AT799" s="131"/>
      <c r="AU799" s="91"/>
      <c r="AV799" s="91"/>
      <c r="AW799" s="131"/>
      <c r="AX799" s="131"/>
      <c r="AY799" s="131"/>
    </row>
    <row r="800" spans="1:51" ht="15" x14ac:dyDescent="0.25">
      <c r="A800" s="123"/>
      <c r="B800" s="124"/>
      <c r="C800" s="125">
        <v>797870</v>
      </c>
      <c r="D800" s="89"/>
      <c r="E800" s="86" t="s">
        <v>25</v>
      </c>
      <c r="F800" s="86" t="s">
        <v>418</v>
      </c>
      <c r="H800" s="126" t="s">
        <v>51</v>
      </c>
      <c r="I800" s="89">
        <v>1</v>
      </c>
      <c r="J800" s="127">
        <v>31870.789900000003</v>
      </c>
      <c r="K800" s="127">
        <v>67104.63</v>
      </c>
      <c r="L800" s="127">
        <v>8250.35</v>
      </c>
      <c r="M800" s="127">
        <v>13611.789900000018</v>
      </c>
      <c r="N800" s="127">
        <v>57448.130000000005</v>
      </c>
      <c r="O800" s="127">
        <v>7459.85</v>
      </c>
      <c r="P800" s="128">
        <f t="shared" si="108"/>
        <v>0.42709295699006244</v>
      </c>
      <c r="Q800" s="128">
        <f t="shared" si="109"/>
        <v>0.85609785792723991</v>
      </c>
      <c r="R800" s="128">
        <f t="shared" si="110"/>
        <v>0.90418588302314451</v>
      </c>
      <c r="S800" s="129">
        <v>1</v>
      </c>
      <c r="T800" s="129">
        <v>1</v>
      </c>
      <c r="U800" s="129">
        <v>1</v>
      </c>
      <c r="V800" s="138">
        <f t="shared" si="111"/>
        <v>3</v>
      </c>
      <c r="W800" s="138">
        <f t="shared" si="112"/>
        <v>3</v>
      </c>
      <c r="X800" s="138">
        <f t="shared" si="113"/>
        <v>1</v>
      </c>
      <c r="Y800" s="138">
        <f t="shared" si="114"/>
        <v>3</v>
      </c>
      <c r="Z800" s="138">
        <f t="shared" si="115"/>
        <v>3</v>
      </c>
      <c r="AA800" s="138">
        <f t="shared" si="116"/>
        <v>1</v>
      </c>
      <c r="AB800" s="127" t="s">
        <v>32</v>
      </c>
      <c r="AC800" s="127"/>
      <c r="AD800" s="127"/>
      <c r="AE800" s="130"/>
      <c r="AF800" s="136">
        <v>8.73</v>
      </c>
      <c r="AG800" s="136">
        <v>11.33</v>
      </c>
      <c r="AH800" s="136">
        <v>36.83</v>
      </c>
      <c r="AI800" s="136">
        <v>5.99</v>
      </c>
      <c r="AJ800" s="136">
        <v>4.63</v>
      </c>
      <c r="AK800" s="136">
        <v>0.49</v>
      </c>
      <c r="AL800" s="136">
        <v>3.31</v>
      </c>
      <c r="AM800" s="136">
        <v>71.31</v>
      </c>
      <c r="AN800" s="131"/>
      <c r="AO800" s="131"/>
      <c r="AP800" s="131"/>
      <c r="AQ800" s="131"/>
      <c r="AR800" s="131"/>
      <c r="AS800" s="131"/>
      <c r="AT800" s="131"/>
      <c r="AU800" s="91"/>
      <c r="AV800" s="91"/>
      <c r="AW800" s="131"/>
      <c r="AX800" s="131"/>
      <c r="AY800" s="131"/>
    </row>
    <row r="801" spans="1:51" ht="15" x14ac:dyDescent="0.25">
      <c r="A801" s="123"/>
      <c r="B801" s="124"/>
      <c r="C801" s="125">
        <v>806364</v>
      </c>
      <c r="D801" s="89"/>
      <c r="E801" s="86" t="s">
        <v>25</v>
      </c>
      <c r="F801" s="86" t="s">
        <v>418</v>
      </c>
      <c r="H801" s="126" t="s">
        <v>51</v>
      </c>
      <c r="I801" s="89">
        <v>1</v>
      </c>
      <c r="J801" s="127">
        <v>31870.789900000003</v>
      </c>
      <c r="K801" s="127">
        <v>67104.63</v>
      </c>
      <c r="L801" s="127">
        <v>8250.35</v>
      </c>
      <c r="M801" s="127">
        <v>13611.789900000018</v>
      </c>
      <c r="N801" s="127">
        <v>57448.130000000005</v>
      </c>
      <c r="O801" s="127">
        <v>7459.85</v>
      </c>
      <c r="P801" s="128">
        <f t="shared" si="108"/>
        <v>0.42709295699006244</v>
      </c>
      <c r="Q801" s="128">
        <f t="shared" si="109"/>
        <v>0.85609785792723991</v>
      </c>
      <c r="R801" s="128">
        <f t="shared" si="110"/>
        <v>0.90418588302314451</v>
      </c>
      <c r="S801" s="129">
        <v>1</v>
      </c>
      <c r="T801" s="129">
        <v>1</v>
      </c>
      <c r="U801" s="129">
        <v>1</v>
      </c>
      <c r="V801" s="138">
        <f t="shared" si="111"/>
        <v>3</v>
      </c>
      <c r="W801" s="138">
        <f t="shared" si="112"/>
        <v>3</v>
      </c>
      <c r="X801" s="138">
        <f t="shared" si="113"/>
        <v>1</v>
      </c>
      <c r="Y801" s="138">
        <f t="shared" si="114"/>
        <v>3</v>
      </c>
      <c r="Z801" s="138">
        <f t="shared" si="115"/>
        <v>3</v>
      </c>
      <c r="AA801" s="138">
        <f t="shared" si="116"/>
        <v>1</v>
      </c>
      <c r="AB801" s="127" t="s">
        <v>32</v>
      </c>
      <c r="AC801" s="127"/>
      <c r="AD801" s="127"/>
      <c r="AE801" s="130"/>
      <c r="AF801" s="136">
        <v>8.73</v>
      </c>
      <c r="AG801" s="136">
        <v>11.33</v>
      </c>
      <c r="AH801" s="136">
        <v>36.83</v>
      </c>
      <c r="AI801" s="136">
        <v>5.99</v>
      </c>
      <c r="AJ801" s="136">
        <v>4.63</v>
      </c>
      <c r="AK801" s="136">
        <v>0.49</v>
      </c>
      <c r="AL801" s="136">
        <v>3.31</v>
      </c>
      <c r="AM801" s="136">
        <v>71.31</v>
      </c>
      <c r="AN801" s="131"/>
      <c r="AO801" s="131"/>
      <c r="AP801" s="131"/>
      <c r="AQ801" s="131"/>
      <c r="AR801" s="131"/>
      <c r="AS801" s="131"/>
      <c r="AT801" s="131"/>
      <c r="AU801" s="91"/>
      <c r="AV801" s="91"/>
      <c r="AW801" s="131"/>
      <c r="AX801" s="131"/>
      <c r="AY801" s="131"/>
    </row>
    <row r="802" spans="1:51" ht="15" x14ac:dyDescent="0.25">
      <c r="A802" s="123"/>
      <c r="B802" s="124"/>
      <c r="C802" s="125">
        <v>807331</v>
      </c>
      <c r="D802" s="89"/>
      <c r="E802" s="86" t="s">
        <v>25</v>
      </c>
      <c r="F802" s="86" t="s">
        <v>418</v>
      </c>
      <c r="H802" s="126" t="s">
        <v>427</v>
      </c>
      <c r="I802" s="89">
        <v>3</v>
      </c>
      <c r="J802" s="127">
        <v>31870.789900000003</v>
      </c>
      <c r="K802" s="127">
        <v>67104.63</v>
      </c>
      <c r="L802" s="127">
        <v>8250.35</v>
      </c>
      <c r="M802" s="127">
        <v>13611.789900000018</v>
      </c>
      <c r="N802" s="127">
        <v>57448.130000000005</v>
      </c>
      <c r="O802" s="127">
        <v>7459.85</v>
      </c>
      <c r="P802" s="128">
        <f t="shared" si="108"/>
        <v>0.42709295699006244</v>
      </c>
      <c r="Q802" s="128">
        <f t="shared" si="109"/>
        <v>0.85609785792723991</v>
      </c>
      <c r="R802" s="128">
        <f t="shared" si="110"/>
        <v>0.90418588302314451</v>
      </c>
      <c r="S802" s="129">
        <v>0</v>
      </c>
      <c r="T802" s="129">
        <v>0</v>
      </c>
      <c r="U802" s="129">
        <v>1</v>
      </c>
      <c r="V802" s="138">
        <f t="shared" si="111"/>
        <v>5</v>
      </c>
      <c r="W802" s="138">
        <f t="shared" si="112"/>
        <v>5</v>
      </c>
      <c r="X802" s="138">
        <f t="shared" si="113"/>
        <v>3</v>
      </c>
      <c r="Y802" s="138">
        <f t="shared" si="114"/>
        <v>0</v>
      </c>
      <c r="Z802" s="138">
        <f t="shared" si="115"/>
        <v>0</v>
      </c>
      <c r="AA802" s="138">
        <f t="shared" si="116"/>
        <v>1</v>
      </c>
      <c r="AB802" s="127" t="s">
        <v>32</v>
      </c>
      <c r="AC802" s="127"/>
      <c r="AD802" s="127"/>
      <c r="AE802" s="130"/>
      <c r="AF802" s="136">
        <v>0</v>
      </c>
      <c r="AG802" s="136">
        <v>11.33</v>
      </c>
      <c r="AH802" s="136">
        <v>0</v>
      </c>
      <c r="AI802" s="136">
        <v>5.99</v>
      </c>
      <c r="AJ802" s="136">
        <v>4.63</v>
      </c>
      <c r="AK802" s="136">
        <v>0.49</v>
      </c>
      <c r="AL802" s="136">
        <v>3.31</v>
      </c>
      <c r="AM802" s="136">
        <v>25.749999999999996</v>
      </c>
      <c r="AN802" s="131"/>
      <c r="AO802" s="131"/>
      <c r="AP802" s="131"/>
      <c r="AQ802" s="131"/>
      <c r="AR802" s="131"/>
      <c r="AS802" s="131"/>
      <c r="AT802" s="131"/>
      <c r="AU802" s="91"/>
      <c r="AV802" s="91"/>
      <c r="AW802" s="131"/>
      <c r="AX802" s="131"/>
      <c r="AY802" s="131"/>
    </row>
    <row r="803" spans="1:51" ht="15" x14ac:dyDescent="0.25">
      <c r="A803" s="123"/>
      <c r="B803" s="124"/>
      <c r="C803" s="125">
        <v>851437</v>
      </c>
      <c r="D803" s="89"/>
      <c r="E803" s="86" t="s">
        <v>25</v>
      </c>
      <c r="F803" s="86" t="s">
        <v>418</v>
      </c>
      <c r="H803" s="126" t="s">
        <v>51</v>
      </c>
      <c r="I803" s="89">
        <v>1</v>
      </c>
      <c r="J803" s="127">
        <v>31870.789900000003</v>
      </c>
      <c r="K803" s="127">
        <v>67104.63</v>
      </c>
      <c r="L803" s="127">
        <v>8250.35</v>
      </c>
      <c r="M803" s="127">
        <v>13611.789900000018</v>
      </c>
      <c r="N803" s="127">
        <v>57448.130000000005</v>
      </c>
      <c r="O803" s="127">
        <v>7459.85</v>
      </c>
      <c r="P803" s="128">
        <f t="shared" si="108"/>
        <v>0.42709295699006244</v>
      </c>
      <c r="Q803" s="128">
        <f t="shared" si="109"/>
        <v>0.85609785792723991</v>
      </c>
      <c r="R803" s="128">
        <f t="shared" si="110"/>
        <v>0.90418588302314451</v>
      </c>
      <c r="S803" s="129">
        <v>1</v>
      </c>
      <c r="T803" s="129">
        <v>1</v>
      </c>
      <c r="U803" s="129">
        <v>1</v>
      </c>
      <c r="V803" s="138">
        <f t="shared" si="111"/>
        <v>3</v>
      </c>
      <c r="W803" s="138">
        <f t="shared" si="112"/>
        <v>3</v>
      </c>
      <c r="X803" s="138">
        <f t="shared" si="113"/>
        <v>1</v>
      </c>
      <c r="Y803" s="138">
        <f t="shared" si="114"/>
        <v>3</v>
      </c>
      <c r="Z803" s="138">
        <f t="shared" si="115"/>
        <v>3</v>
      </c>
      <c r="AA803" s="138">
        <f t="shared" si="116"/>
        <v>1</v>
      </c>
      <c r="AB803" s="127" t="s">
        <v>32</v>
      </c>
      <c r="AC803" s="127"/>
      <c r="AD803" s="127"/>
      <c r="AE803" s="130"/>
      <c r="AF803" s="136">
        <v>8.73</v>
      </c>
      <c r="AG803" s="136">
        <v>11.33</v>
      </c>
      <c r="AH803" s="136">
        <v>36.83</v>
      </c>
      <c r="AI803" s="136">
        <v>5.99</v>
      </c>
      <c r="AJ803" s="136">
        <v>4.63</v>
      </c>
      <c r="AK803" s="136">
        <v>0.49</v>
      </c>
      <c r="AL803" s="136">
        <v>3.31</v>
      </c>
      <c r="AM803" s="136">
        <v>71.31</v>
      </c>
      <c r="AN803" s="131"/>
      <c r="AO803" s="131"/>
      <c r="AP803" s="131"/>
      <c r="AQ803" s="131"/>
      <c r="AR803" s="131"/>
      <c r="AS803" s="131"/>
      <c r="AT803" s="131"/>
      <c r="AU803" s="91"/>
      <c r="AV803" s="91"/>
      <c r="AW803" s="131"/>
      <c r="AX803" s="131"/>
      <c r="AY803" s="131"/>
    </row>
    <row r="804" spans="1:51" ht="15" x14ac:dyDescent="0.25">
      <c r="A804" s="123"/>
      <c r="B804" s="124"/>
      <c r="C804" s="125">
        <v>879987</v>
      </c>
      <c r="D804" s="89"/>
      <c r="E804" s="86" t="s">
        <v>25</v>
      </c>
      <c r="F804" s="86" t="s">
        <v>418</v>
      </c>
      <c r="H804" s="126" t="s">
        <v>51</v>
      </c>
      <c r="I804" s="89">
        <v>1</v>
      </c>
      <c r="J804" s="127">
        <v>31870.789900000003</v>
      </c>
      <c r="K804" s="127">
        <v>67104.63</v>
      </c>
      <c r="L804" s="127">
        <v>8250.35</v>
      </c>
      <c r="M804" s="127">
        <v>13611.789900000018</v>
      </c>
      <c r="N804" s="127">
        <v>57448.130000000005</v>
      </c>
      <c r="O804" s="127">
        <v>7459.85</v>
      </c>
      <c r="P804" s="128">
        <f t="shared" si="108"/>
        <v>0.42709295699006244</v>
      </c>
      <c r="Q804" s="128">
        <f t="shared" si="109"/>
        <v>0.85609785792723991</v>
      </c>
      <c r="R804" s="128">
        <f t="shared" si="110"/>
        <v>0.90418588302314451</v>
      </c>
      <c r="S804" s="129">
        <v>1</v>
      </c>
      <c r="T804" s="129">
        <v>1</v>
      </c>
      <c r="U804" s="129">
        <v>1</v>
      </c>
      <c r="V804" s="138">
        <f t="shared" si="111"/>
        <v>3</v>
      </c>
      <c r="W804" s="138">
        <f t="shared" si="112"/>
        <v>3</v>
      </c>
      <c r="X804" s="138">
        <f t="shared" si="113"/>
        <v>1</v>
      </c>
      <c r="Y804" s="138">
        <f t="shared" si="114"/>
        <v>3</v>
      </c>
      <c r="Z804" s="138">
        <f t="shared" si="115"/>
        <v>3</v>
      </c>
      <c r="AA804" s="138">
        <f t="shared" si="116"/>
        <v>1</v>
      </c>
      <c r="AB804" s="127" t="s">
        <v>32</v>
      </c>
      <c r="AC804" s="127"/>
      <c r="AD804" s="127"/>
      <c r="AE804" s="130"/>
      <c r="AF804" s="136">
        <v>8.73</v>
      </c>
      <c r="AG804" s="136">
        <v>11.33</v>
      </c>
      <c r="AH804" s="136">
        <v>36.83</v>
      </c>
      <c r="AI804" s="136">
        <v>5.99</v>
      </c>
      <c r="AJ804" s="136">
        <v>4.63</v>
      </c>
      <c r="AK804" s="136">
        <v>0.49</v>
      </c>
      <c r="AL804" s="136">
        <v>3.31</v>
      </c>
      <c r="AM804" s="136">
        <v>71.31</v>
      </c>
      <c r="AN804" s="131"/>
      <c r="AO804" s="131"/>
      <c r="AP804" s="131"/>
      <c r="AQ804" s="131"/>
      <c r="AR804" s="131"/>
      <c r="AS804" s="131"/>
      <c r="AT804" s="131"/>
      <c r="AU804" s="91"/>
      <c r="AV804" s="91"/>
      <c r="AW804" s="131"/>
      <c r="AX804" s="131"/>
      <c r="AY804" s="131"/>
    </row>
    <row r="805" spans="1:51" ht="15" x14ac:dyDescent="0.25">
      <c r="A805" s="123"/>
      <c r="B805" s="124"/>
      <c r="C805" s="125">
        <v>891293</v>
      </c>
      <c r="D805" s="89"/>
      <c r="E805" s="86" t="s">
        <v>25</v>
      </c>
      <c r="F805" s="86" t="s">
        <v>418</v>
      </c>
      <c r="H805" s="126" t="s">
        <v>51</v>
      </c>
      <c r="I805" s="89">
        <v>1</v>
      </c>
      <c r="J805" s="127">
        <v>31870.789900000003</v>
      </c>
      <c r="K805" s="127">
        <v>67104.63</v>
      </c>
      <c r="L805" s="127">
        <v>8250.35</v>
      </c>
      <c r="M805" s="127">
        <v>13611.789900000018</v>
      </c>
      <c r="N805" s="127">
        <v>57448.130000000005</v>
      </c>
      <c r="O805" s="127">
        <v>7459.85</v>
      </c>
      <c r="P805" s="128">
        <f t="shared" si="108"/>
        <v>0.42709295699006244</v>
      </c>
      <c r="Q805" s="128">
        <f t="shared" si="109"/>
        <v>0.85609785792723991</v>
      </c>
      <c r="R805" s="128">
        <f t="shared" si="110"/>
        <v>0.90418588302314451</v>
      </c>
      <c r="S805" s="129">
        <v>1</v>
      </c>
      <c r="T805" s="129">
        <v>1</v>
      </c>
      <c r="U805" s="129">
        <v>1</v>
      </c>
      <c r="V805" s="138">
        <f t="shared" si="111"/>
        <v>3</v>
      </c>
      <c r="W805" s="138">
        <f t="shared" si="112"/>
        <v>3</v>
      </c>
      <c r="X805" s="138">
        <f t="shared" si="113"/>
        <v>1</v>
      </c>
      <c r="Y805" s="138">
        <f t="shared" si="114"/>
        <v>3</v>
      </c>
      <c r="Z805" s="138">
        <f t="shared" si="115"/>
        <v>3</v>
      </c>
      <c r="AA805" s="138">
        <f t="shared" si="116"/>
        <v>1</v>
      </c>
      <c r="AB805" s="127" t="s">
        <v>32</v>
      </c>
      <c r="AC805" s="127"/>
      <c r="AD805" s="127"/>
      <c r="AE805" s="130"/>
      <c r="AF805" s="136">
        <v>8.73</v>
      </c>
      <c r="AG805" s="136">
        <v>11.33</v>
      </c>
      <c r="AH805" s="136">
        <v>36.83</v>
      </c>
      <c r="AI805" s="136">
        <v>5.99</v>
      </c>
      <c r="AJ805" s="136">
        <v>4.63</v>
      </c>
      <c r="AK805" s="136">
        <v>0.49</v>
      </c>
      <c r="AL805" s="136">
        <v>3.31</v>
      </c>
      <c r="AM805" s="136">
        <v>71.31</v>
      </c>
      <c r="AN805" s="131"/>
      <c r="AO805" s="131"/>
      <c r="AP805" s="131"/>
      <c r="AQ805" s="131"/>
      <c r="AR805" s="131"/>
      <c r="AS805" s="131"/>
      <c r="AT805" s="131"/>
      <c r="AU805" s="91"/>
      <c r="AV805" s="91"/>
      <c r="AW805" s="131"/>
      <c r="AX805" s="131"/>
      <c r="AY805" s="131"/>
    </row>
    <row r="806" spans="1:51" ht="15" x14ac:dyDescent="0.25">
      <c r="A806" s="123"/>
      <c r="B806" s="124"/>
      <c r="C806" s="125">
        <v>904783</v>
      </c>
      <c r="D806" s="89"/>
      <c r="E806" s="86" t="s">
        <v>25</v>
      </c>
      <c r="F806" s="86" t="s">
        <v>418</v>
      </c>
      <c r="H806" s="126" t="s">
        <v>51</v>
      </c>
      <c r="I806" s="89">
        <v>1</v>
      </c>
      <c r="J806" s="127">
        <v>31870.789900000003</v>
      </c>
      <c r="K806" s="127">
        <v>67104.63</v>
      </c>
      <c r="L806" s="127">
        <v>8250.35</v>
      </c>
      <c r="M806" s="127">
        <v>13611.789900000018</v>
      </c>
      <c r="N806" s="127">
        <v>57448.130000000005</v>
      </c>
      <c r="O806" s="127">
        <v>7459.85</v>
      </c>
      <c r="P806" s="128">
        <f t="shared" si="108"/>
        <v>0.42709295699006244</v>
      </c>
      <c r="Q806" s="128">
        <f t="shared" si="109"/>
        <v>0.85609785792723991</v>
      </c>
      <c r="R806" s="128">
        <f t="shared" si="110"/>
        <v>0.90418588302314451</v>
      </c>
      <c r="S806" s="129">
        <v>1</v>
      </c>
      <c r="T806" s="129">
        <v>1</v>
      </c>
      <c r="U806" s="129">
        <v>1</v>
      </c>
      <c r="V806" s="138">
        <f t="shared" si="111"/>
        <v>3</v>
      </c>
      <c r="W806" s="138">
        <f t="shared" si="112"/>
        <v>3</v>
      </c>
      <c r="X806" s="138">
        <f t="shared" si="113"/>
        <v>1</v>
      </c>
      <c r="Y806" s="138">
        <f t="shared" si="114"/>
        <v>3</v>
      </c>
      <c r="Z806" s="138">
        <f t="shared" si="115"/>
        <v>3</v>
      </c>
      <c r="AA806" s="138">
        <f t="shared" si="116"/>
        <v>1</v>
      </c>
      <c r="AB806" s="127" t="s">
        <v>32</v>
      </c>
      <c r="AC806" s="127"/>
      <c r="AD806" s="127"/>
      <c r="AE806" s="130"/>
      <c r="AF806" s="136">
        <v>8.73</v>
      </c>
      <c r="AG806" s="136">
        <v>11.33</v>
      </c>
      <c r="AH806" s="136">
        <v>36.83</v>
      </c>
      <c r="AI806" s="136">
        <v>5.99</v>
      </c>
      <c r="AJ806" s="136">
        <v>4.63</v>
      </c>
      <c r="AK806" s="136">
        <v>0.49</v>
      </c>
      <c r="AL806" s="136">
        <v>3.31</v>
      </c>
      <c r="AM806" s="136">
        <v>71.31</v>
      </c>
      <c r="AN806" s="131"/>
      <c r="AO806" s="131"/>
      <c r="AP806" s="131"/>
      <c r="AQ806" s="131"/>
      <c r="AR806" s="131"/>
      <c r="AS806" s="131"/>
      <c r="AT806" s="131"/>
      <c r="AU806" s="91"/>
      <c r="AV806" s="91"/>
      <c r="AW806" s="131"/>
      <c r="AX806" s="131"/>
      <c r="AY806" s="131"/>
    </row>
    <row r="807" spans="1:51" ht="15" x14ac:dyDescent="0.25">
      <c r="A807" s="123"/>
      <c r="B807" s="124"/>
      <c r="C807" s="125">
        <v>915414</v>
      </c>
      <c r="D807" s="89"/>
      <c r="E807" s="86" t="s">
        <v>25</v>
      </c>
      <c r="F807" s="86" t="s">
        <v>418</v>
      </c>
      <c r="H807" s="126" t="s">
        <v>51</v>
      </c>
      <c r="I807" s="89">
        <v>1</v>
      </c>
      <c r="J807" s="127">
        <v>31870.789900000003</v>
      </c>
      <c r="K807" s="127">
        <v>67104.63</v>
      </c>
      <c r="L807" s="127">
        <v>8250.35</v>
      </c>
      <c r="M807" s="127">
        <v>13611.789900000018</v>
      </c>
      <c r="N807" s="127">
        <v>57448.130000000005</v>
      </c>
      <c r="O807" s="127">
        <v>7459.85</v>
      </c>
      <c r="P807" s="128">
        <f t="shared" si="108"/>
        <v>0.42709295699006244</v>
      </c>
      <c r="Q807" s="128">
        <f t="shared" si="109"/>
        <v>0.85609785792723991</v>
      </c>
      <c r="R807" s="128">
        <f t="shared" si="110"/>
        <v>0.90418588302314451</v>
      </c>
      <c r="S807" s="129">
        <v>1</v>
      </c>
      <c r="T807" s="129">
        <v>1</v>
      </c>
      <c r="U807" s="129">
        <v>1</v>
      </c>
      <c r="V807" s="138">
        <f t="shared" si="111"/>
        <v>3</v>
      </c>
      <c r="W807" s="138">
        <f t="shared" si="112"/>
        <v>3</v>
      </c>
      <c r="X807" s="138">
        <f t="shared" si="113"/>
        <v>1</v>
      </c>
      <c r="Y807" s="138">
        <f t="shared" si="114"/>
        <v>3</v>
      </c>
      <c r="Z807" s="138">
        <f t="shared" si="115"/>
        <v>3</v>
      </c>
      <c r="AA807" s="138">
        <f t="shared" si="116"/>
        <v>1</v>
      </c>
      <c r="AB807" s="127" t="s">
        <v>32</v>
      </c>
      <c r="AC807" s="127"/>
      <c r="AD807" s="127"/>
      <c r="AE807" s="130"/>
      <c r="AF807" s="136">
        <v>8.73</v>
      </c>
      <c r="AG807" s="136">
        <v>11.33</v>
      </c>
      <c r="AH807" s="136">
        <v>36.83</v>
      </c>
      <c r="AI807" s="136">
        <v>5.99</v>
      </c>
      <c r="AJ807" s="136">
        <v>4.63</v>
      </c>
      <c r="AK807" s="136">
        <v>0.49</v>
      </c>
      <c r="AL807" s="136">
        <v>3.31</v>
      </c>
      <c r="AM807" s="136">
        <v>71.31</v>
      </c>
      <c r="AN807" s="131"/>
      <c r="AO807" s="131"/>
      <c r="AP807" s="131"/>
      <c r="AQ807" s="131"/>
      <c r="AR807" s="131"/>
      <c r="AS807" s="131"/>
      <c r="AT807" s="131"/>
      <c r="AU807" s="91"/>
      <c r="AV807" s="91"/>
      <c r="AW807" s="131"/>
      <c r="AX807" s="131"/>
      <c r="AY807" s="131"/>
    </row>
    <row r="808" spans="1:51" ht="15" x14ac:dyDescent="0.25">
      <c r="A808" s="123"/>
      <c r="B808" s="124"/>
      <c r="C808" s="125">
        <v>961449</v>
      </c>
      <c r="D808" s="89"/>
      <c r="E808" s="86" t="s">
        <v>25</v>
      </c>
      <c r="F808" s="86" t="s">
        <v>418</v>
      </c>
      <c r="H808" s="126" t="s">
        <v>51</v>
      </c>
      <c r="I808" s="89">
        <v>1</v>
      </c>
      <c r="J808" s="127">
        <v>31870.789900000003</v>
      </c>
      <c r="K808" s="127">
        <v>67104.63</v>
      </c>
      <c r="L808" s="127">
        <v>8250.35</v>
      </c>
      <c r="M808" s="127">
        <v>13611.789900000018</v>
      </c>
      <c r="N808" s="127">
        <v>57448.130000000005</v>
      </c>
      <c r="O808" s="127">
        <v>7459.85</v>
      </c>
      <c r="P808" s="128">
        <f t="shared" si="108"/>
        <v>0.42709295699006244</v>
      </c>
      <c r="Q808" s="128">
        <f t="shared" si="109"/>
        <v>0.85609785792723991</v>
      </c>
      <c r="R808" s="128">
        <f t="shared" si="110"/>
        <v>0.90418588302314451</v>
      </c>
      <c r="S808" s="129">
        <v>1</v>
      </c>
      <c r="T808" s="129">
        <v>1</v>
      </c>
      <c r="U808" s="129">
        <v>1</v>
      </c>
      <c r="V808" s="138">
        <f t="shared" si="111"/>
        <v>3</v>
      </c>
      <c r="W808" s="138">
        <f t="shared" si="112"/>
        <v>3</v>
      </c>
      <c r="X808" s="138">
        <f t="shared" si="113"/>
        <v>1</v>
      </c>
      <c r="Y808" s="138">
        <f t="shared" si="114"/>
        <v>3</v>
      </c>
      <c r="Z808" s="138">
        <f t="shared" si="115"/>
        <v>3</v>
      </c>
      <c r="AA808" s="138">
        <f t="shared" si="116"/>
        <v>1</v>
      </c>
      <c r="AB808" s="127" t="s">
        <v>32</v>
      </c>
      <c r="AC808" s="127"/>
      <c r="AD808" s="127"/>
      <c r="AE808" s="130"/>
      <c r="AF808" s="136">
        <v>8.73</v>
      </c>
      <c r="AG808" s="136">
        <v>11.33</v>
      </c>
      <c r="AH808" s="136">
        <v>36.83</v>
      </c>
      <c r="AI808" s="136">
        <v>5.99</v>
      </c>
      <c r="AJ808" s="136">
        <v>4.63</v>
      </c>
      <c r="AK808" s="136">
        <v>0.49</v>
      </c>
      <c r="AL808" s="136">
        <v>3.31</v>
      </c>
      <c r="AM808" s="136">
        <v>71.31</v>
      </c>
      <c r="AN808" s="131"/>
      <c r="AO808" s="131"/>
      <c r="AP808" s="131"/>
      <c r="AQ808" s="131"/>
      <c r="AR808" s="131"/>
      <c r="AS808" s="131"/>
      <c r="AT808" s="131"/>
      <c r="AU808" s="91"/>
      <c r="AV808" s="91"/>
      <c r="AW808" s="131"/>
      <c r="AX808" s="131"/>
      <c r="AY808" s="131"/>
    </row>
    <row r="809" spans="1:51" ht="15" x14ac:dyDescent="0.25">
      <c r="A809" s="123"/>
      <c r="B809" s="124"/>
      <c r="C809" s="125">
        <v>8399</v>
      </c>
      <c r="D809" s="89"/>
      <c r="E809" s="86" t="s">
        <v>26</v>
      </c>
      <c r="F809" s="86" t="s">
        <v>418</v>
      </c>
      <c r="H809" s="126" t="s">
        <v>51</v>
      </c>
      <c r="I809" s="89">
        <v>1</v>
      </c>
      <c r="J809" s="127">
        <v>11287.5699</v>
      </c>
      <c r="K809" s="127">
        <v>68634.34</v>
      </c>
      <c r="L809" s="127">
        <v>5629.54</v>
      </c>
      <c r="M809" s="127">
        <v>0</v>
      </c>
      <c r="N809" s="127">
        <v>60535.34</v>
      </c>
      <c r="O809" s="127">
        <v>4966.54</v>
      </c>
      <c r="P809" s="128">
        <f t="shared" si="108"/>
        <v>0</v>
      </c>
      <c r="Q809" s="128">
        <f t="shared" si="109"/>
        <v>0.8819978453934284</v>
      </c>
      <c r="R809" s="128">
        <f t="shared" si="110"/>
        <v>0.88222838810986337</v>
      </c>
      <c r="S809" s="129">
        <v>0</v>
      </c>
      <c r="T809" s="129">
        <v>1</v>
      </c>
      <c r="U809" s="129">
        <v>1</v>
      </c>
      <c r="V809" s="138">
        <f t="shared" si="111"/>
        <v>3</v>
      </c>
      <c r="W809" s="138">
        <f t="shared" si="112"/>
        <v>3</v>
      </c>
      <c r="X809" s="138">
        <f t="shared" si="113"/>
        <v>1</v>
      </c>
      <c r="Y809" s="138">
        <f t="shared" si="114"/>
        <v>0</v>
      </c>
      <c r="Z809" s="138">
        <f t="shared" si="115"/>
        <v>3</v>
      </c>
      <c r="AA809" s="138">
        <f t="shared" si="116"/>
        <v>1</v>
      </c>
      <c r="AB809" s="127" t="s">
        <v>32</v>
      </c>
      <c r="AC809" s="127"/>
      <c r="AD809" s="127"/>
      <c r="AE809" s="130"/>
      <c r="AF809" s="136">
        <v>0</v>
      </c>
      <c r="AG809" s="136">
        <v>11.33</v>
      </c>
      <c r="AH809" s="136">
        <v>44.77</v>
      </c>
      <c r="AI809" s="136">
        <v>5.99</v>
      </c>
      <c r="AJ809" s="136">
        <v>3.67</v>
      </c>
      <c r="AK809" s="136">
        <v>0.49</v>
      </c>
      <c r="AL809" s="136">
        <v>3.31</v>
      </c>
      <c r="AM809" s="136">
        <v>69.56</v>
      </c>
      <c r="AN809" s="131"/>
      <c r="AO809" s="131"/>
      <c r="AP809" s="131"/>
      <c r="AQ809" s="131"/>
      <c r="AR809" s="131"/>
      <c r="AS809" s="131"/>
      <c r="AT809" s="131"/>
      <c r="AU809" s="91"/>
      <c r="AV809" s="91"/>
      <c r="AW809" s="131"/>
      <c r="AX809" s="131"/>
      <c r="AY809" s="131"/>
    </row>
    <row r="810" spans="1:51" ht="15" x14ac:dyDescent="0.25">
      <c r="A810" s="123"/>
      <c r="B810" s="124"/>
      <c r="C810" s="125">
        <v>55142</v>
      </c>
      <c r="D810" s="89"/>
      <c r="E810" s="86" t="s">
        <v>26</v>
      </c>
      <c r="F810" s="86" t="s">
        <v>418</v>
      </c>
      <c r="H810" s="126" t="s">
        <v>51</v>
      </c>
      <c r="I810" s="89">
        <v>1</v>
      </c>
      <c r="J810" s="127">
        <v>11287.5699</v>
      </c>
      <c r="K810" s="127">
        <v>68634.34</v>
      </c>
      <c r="L810" s="127">
        <v>5629.54</v>
      </c>
      <c r="M810" s="127">
        <v>0</v>
      </c>
      <c r="N810" s="127">
        <v>60535.34</v>
      </c>
      <c r="O810" s="127">
        <v>4966.54</v>
      </c>
      <c r="P810" s="128">
        <f t="shared" si="108"/>
        <v>0</v>
      </c>
      <c r="Q810" s="128">
        <f t="shared" si="109"/>
        <v>0.8819978453934284</v>
      </c>
      <c r="R810" s="128">
        <f t="shared" si="110"/>
        <v>0.88222838810986337</v>
      </c>
      <c r="S810" s="129">
        <v>0</v>
      </c>
      <c r="T810" s="129">
        <v>1</v>
      </c>
      <c r="U810" s="129">
        <v>1</v>
      </c>
      <c r="V810" s="138">
        <f t="shared" si="111"/>
        <v>3</v>
      </c>
      <c r="W810" s="138">
        <f t="shared" si="112"/>
        <v>3</v>
      </c>
      <c r="X810" s="138">
        <f t="shared" si="113"/>
        <v>1</v>
      </c>
      <c r="Y810" s="138">
        <f t="shared" si="114"/>
        <v>0</v>
      </c>
      <c r="Z810" s="138">
        <f t="shared" si="115"/>
        <v>3</v>
      </c>
      <c r="AA810" s="138">
        <f t="shared" si="116"/>
        <v>1</v>
      </c>
      <c r="AB810" s="127" t="s">
        <v>32</v>
      </c>
      <c r="AC810" s="127"/>
      <c r="AD810" s="127"/>
      <c r="AE810" s="130"/>
      <c r="AF810" s="136">
        <v>0</v>
      </c>
      <c r="AG810" s="136">
        <v>11.33</v>
      </c>
      <c r="AH810" s="136">
        <v>44.77</v>
      </c>
      <c r="AI810" s="136">
        <v>5.99</v>
      </c>
      <c r="AJ810" s="136">
        <v>3.67</v>
      </c>
      <c r="AK810" s="136">
        <v>0.49</v>
      </c>
      <c r="AL810" s="136">
        <v>3.31</v>
      </c>
      <c r="AM810" s="136">
        <v>69.56</v>
      </c>
      <c r="AN810" s="131"/>
      <c r="AO810" s="131"/>
      <c r="AP810" s="131"/>
      <c r="AQ810" s="131"/>
      <c r="AR810" s="131"/>
      <c r="AS810" s="131"/>
      <c r="AT810" s="131"/>
      <c r="AU810" s="91"/>
      <c r="AV810" s="91"/>
      <c r="AW810" s="131"/>
      <c r="AX810" s="131"/>
      <c r="AY810" s="131"/>
    </row>
    <row r="811" spans="1:51" ht="15" x14ac:dyDescent="0.25">
      <c r="A811" s="123"/>
      <c r="B811" s="124"/>
      <c r="C811" s="125">
        <v>159731</v>
      </c>
      <c r="D811" s="89"/>
      <c r="E811" s="86" t="s">
        <v>26</v>
      </c>
      <c r="F811" s="86" t="s">
        <v>418</v>
      </c>
      <c r="H811" s="126" t="s">
        <v>51</v>
      </c>
      <c r="I811" s="89">
        <v>1</v>
      </c>
      <c r="J811" s="127">
        <v>11287.5699</v>
      </c>
      <c r="K811" s="127">
        <v>68634.34</v>
      </c>
      <c r="L811" s="127">
        <v>5629.54</v>
      </c>
      <c r="M811" s="127">
        <v>0</v>
      </c>
      <c r="N811" s="127">
        <v>60535.34</v>
      </c>
      <c r="O811" s="127">
        <v>4966.54</v>
      </c>
      <c r="P811" s="128">
        <f t="shared" si="108"/>
        <v>0</v>
      </c>
      <c r="Q811" s="128">
        <f t="shared" si="109"/>
        <v>0.8819978453934284</v>
      </c>
      <c r="R811" s="128">
        <f t="shared" si="110"/>
        <v>0.88222838810986337</v>
      </c>
      <c r="S811" s="129">
        <v>0</v>
      </c>
      <c r="T811" s="129">
        <v>1</v>
      </c>
      <c r="U811" s="129">
        <v>1</v>
      </c>
      <c r="V811" s="138">
        <f t="shared" si="111"/>
        <v>3</v>
      </c>
      <c r="W811" s="138">
        <f t="shared" si="112"/>
        <v>3</v>
      </c>
      <c r="X811" s="138">
        <f t="shared" si="113"/>
        <v>1</v>
      </c>
      <c r="Y811" s="138">
        <f t="shared" si="114"/>
        <v>0</v>
      </c>
      <c r="Z811" s="138">
        <f t="shared" si="115"/>
        <v>3</v>
      </c>
      <c r="AA811" s="138">
        <f t="shared" si="116"/>
        <v>1</v>
      </c>
      <c r="AB811" s="127" t="s">
        <v>32</v>
      </c>
      <c r="AC811" s="127"/>
      <c r="AD811" s="127"/>
      <c r="AE811" s="130"/>
      <c r="AF811" s="136">
        <v>0</v>
      </c>
      <c r="AG811" s="136">
        <v>11.33</v>
      </c>
      <c r="AH811" s="136">
        <v>44.77</v>
      </c>
      <c r="AI811" s="136">
        <v>5.99</v>
      </c>
      <c r="AJ811" s="136">
        <v>3.67</v>
      </c>
      <c r="AK811" s="136">
        <v>0.49</v>
      </c>
      <c r="AL811" s="136">
        <v>3.31</v>
      </c>
      <c r="AM811" s="136">
        <v>69.56</v>
      </c>
      <c r="AN811" s="131"/>
      <c r="AO811" s="131"/>
      <c r="AP811" s="131"/>
      <c r="AQ811" s="131"/>
      <c r="AR811" s="131"/>
      <c r="AS811" s="131"/>
      <c r="AT811" s="131"/>
      <c r="AU811" s="91"/>
      <c r="AV811" s="91"/>
      <c r="AW811" s="131"/>
      <c r="AX811" s="131"/>
      <c r="AY811" s="131"/>
    </row>
    <row r="812" spans="1:51" ht="15" x14ac:dyDescent="0.25">
      <c r="A812" s="123"/>
      <c r="B812" s="124"/>
      <c r="C812" s="125">
        <v>183280</v>
      </c>
      <c r="D812" s="89"/>
      <c r="E812" s="86" t="s">
        <v>26</v>
      </c>
      <c r="F812" s="86" t="s">
        <v>418</v>
      </c>
      <c r="H812" s="126" t="s">
        <v>51</v>
      </c>
      <c r="I812" s="89">
        <v>1</v>
      </c>
      <c r="J812" s="127">
        <v>11287.5699</v>
      </c>
      <c r="K812" s="127">
        <v>68634.34</v>
      </c>
      <c r="L812" s="127">
        <v>5629.54</v>
      </c>
      <c r="M812" s="127">
        <v>0</v>
      </c>
      <c r="N812" s="127">
        <v>60535.34</v>
      </c>
      <c r="O812" s="127">
        <v>4966.54</v>
      </c>
      <c r="P812" s="128">
        <f t="shared" si="108"/>
        <v>0</v>
      </c>
      <c r="Q812" s="128">
        <f t="shared" si="109"/>
        <v>0.8819978453934284</v>
      </c>
      <c r="R812" s="128">
        <f t="shared" si="110"/>
        <v>0.88222838810986337</v>
      </c>
      <c r="S812" s="129">
        <v>0</v>
      </c>
      <c r="T812" s="129">
        <v>1</v>
      </c>
      <c r="U812" s="129">
        <v>1</v>
      </c>
      <c r="V812" s="138">
        <f t="shared" si="111"/>
        <v>3</v>
      </c>
      <c r="W812" s="138">
        <f t="shared" si="112"/>
        <v>3</v>
      </c>
      <c r="X812" s="138">
        <f t="shared" si="113"/>
        <v>1</v>
      </c>
      <c r="Y812" s="138">
        <f t="shared" si="114"/>
        <v>0</v>
      </c>
      <c r="Z812" s="138">
        <f t="shared" si="115"/>
        <v>3</v>
      </c>
      <c r="AA812" s="138">
        <f t="shared" si="116"/>
        <v>1</v>
      </c>
      <c r="AB812" s="127" t="s">
        <v>32</v>
      </c>
      <c r="AC812" s="127"/>
      <c r="AD812" s="127"/>
      <c r="AE812" s="130"/>
      <c r="AF812" s="136">
        <v>0</v>
      </c>
      <c r="AG812" s="136">
        <v>11.33</v>
      </c>
      <c r="AH812" s="136">
        <v>44.77</v>
      </c>
      <c r="AI812" s="136">
        <v>5.99</v>
      </c>
      <c r="AJ812" s="136">
        <v>3.67</v>
      </c>
      <c r="AK812" s="136">
        <v>0.49</v>
      </c>
      <c r="AL812" s="136">
        <v>3.31</v>
      </c>
      <c r="AM812" s="136">
        <v>69.56</v>
      </c>
      <c r="AN812" s="131"/>
      <c r="AO812" s="131"/>
      <c r="AP812" s="131"/>
      <c r="AQ812" s="131"/>
      <c r="AR812" s="131"/>
      <c r="AS812" s="131"/>
      <c r="AT812" s="131"/>
      <c r="AU812" s="91"/>
      <c r="AV812" s="91"/>
      <c r="AW812" s="131"/>
      <c r="AX812" s="131"/>
      <c r="AY812" s="131"/>
    </row>
    <row r="813" spans="1:51" ht="15" x14ac:dyDescent="0.25">
      <c r="A813" s="123"/>
      <c r="B813" s="124"/>
      <c r="C813" s="125">
        <v>272350</v>
      </c>
      <c r="D813" s="89"/>
      <c r="E813" s="86" t="s">
        <v>26</v>
      </c>
      <c r="F813" s="86" t="s">
        <v>418</v>
      </c>
      <c r="H813" s="126" t="s">
        <v>51</v>
      </c>
      <c r="I813" s="89">
        <v>1</v>
      </c>
      <c r="J813" s="127">
        <v>11287.5699</v>
      </c>
      <c r="K813" s="127">
        <v>68634.34</v>
      </c>
      <c r="L813" s="127">
        <v>5629.54</v>
      </c>
      <c r="M813" s="127">
        <v>0</v>
      </c>
      <c r="N813" s="127">
        <v>60535.34</v>
      </c>
      <c r="O813" s="127">
        <v>4966.54</v>
      </c>
      <c r="P813" s="128">
        <f t="shared" si="108"/>
        <v>0</v>
      </c>
      <c r="Q813" s="128">
        <f t="shared" si="109"/>
        <v>0.8819978453934284</v>
      </c>
      <c r="R813" s="128">
        <f t="shared" si="110"/>
        <v>0.88222838810986337</v>
      </c>
      <c r="S813" s="129">
        <v>0</v>
      </c>
      <c r="T813" s="129">
        <v>1</v>
      </c>
      <c r="U813" s="129">
        <v>1</v>
      </c>
      <c r="V813" s="138">
        <f t="shared" si="111"/>
        <v>3</v>
      </c>
      <c r="W813" s="138">
        <f t="shared" si="112"/>
        <v>3</v>
      </c>
      <c r="X813" s="138">
        <f t="shared" si="113"/>
        <v>1</v>
      </c>
      <c r="Y813" s="138">
        <f t="shared" si="114"/>
        <v>0</v>
      </c>
      <c r="Z813" s="138">
        <f t="shared" si="115"/>
        <v>3</v>
      </c>
      <c r="AA813" s="138">
        <f t="shared" si="116"/>
        <v>1</v>
      </c>
      <c r="AB813" s="127" t="s">
        <v>32</v>
      </c>
      <c r="AC813" s="127"/>
      <c r="AD813" s="127"/>
      <c r="AE813" s="130"/>
      <c r="AF813" s="136">
        <v>0</v>
      </c>
      <c r="AG813" s="136">
        <v>11.33</v>
      </c>
      <c r="AH813" s="136">
        <v>44.77</v>
      </c>
      <c r="AI813" s="136">
        <v>5.99</v>
      </c>
      <c r="AJ813" s="136">
        <v>3.67</v>
      </c>
      <c r="AK813" s="136">
        <v>0.49</v>
      </c>
      <c r="AL813" s="136">
        <v>3.31</v>
      </c>
      <c r="AM813" s="136">
        <v>69.56</v>
      </c>
      <c r="AN813" s="131"/>
      <c r="AO813" s="131"/>
      <c r="AP813" s="131"/>
      <c r="AQ813" s="131"/>
      <c r="AR813" s="131"/>
      <c r="AS813" s="131"/>
      <c r="AT813" s="131"/>
      <c r="AU813" s="91"/>
      <c r="AV813" s="91"/>
      <c r="AW813" s="131"/>
      <c r="AX813" s="131"/>
      <c r="AY813" s="131"/>
    </row>
    <row r="814" spans="1:51" ht="15" x14ac:dyDescent="0.25">
      <c r="A814" s="123"/>
      <c r="B814" s="124"/>
      <c r="C814" s="125">
        <v>285671</v>
      </c>
      <c r="D814" s="89"/>
      <c r="E814" s="86" t="s">
        <v>26</v>
      </c>
      <c r="F814" s="86" t="s">
        <v>418</v>
      </c>
      <c r="H814" s="126" t="s">
        <v>51</v>
      </c>
      <c r="I814" s="89">
        <v>1</v>
      </c>
      <c r="J814" s="127">
        <v>11287.5699</v>
      </c>
      <c r="K814" s="127">
        <v>68634.34</v>
      </c>
      <c r="L814" s="127">
        <v>5629.54</v>
      </c>
      <c r="M814" s="127">
        <v>0</v>
      </c>
      <c r="N814" s="127">
        <v>60535.34</v>
      </c>
      <c r="O814" s="127">
        <v>4966.54</v>
      </c>
      <c r="P814" s="128">
        <f t="shared" si="108"/>
        <v>0</v>
      </c>
      <c r="Q814" s="128">
        <f t="shared" si="109"/>
        <v>0.8819978453934284</v>
      </c>
      <c r="R814" s="128">
        <f t="shared" si="110"/>
        <v>0.88222838810986337</v>
      </c>
      <c r="S814" s="129">
        <v>0</v>
      </c>
      <c r="T814" s="129">
        <v>1</v>
      </c>
      <c r="U814" s="129">
        <v>1</v>
      </c>
      <c r="V814" s="138">
        <f t="shared" si="111"/>
        <v>3</v>
      </c>
      <c r="W814" s="138">
        <f t="shared" si="112"/>
        <v>3</v>
      </c>
      <c r="X814" s="138">
        <f t="shared" si="113"/>
        <v>1</v>
      </c>
      <c r="Y814" s="138">
        <f t="shared" si="114"/>
        <v>0</v>
      </c>
      <c r="Z814" s="138">
        <f t="shared" si="115"/>
        <v>3</v>
      </c>
      <c r="AA814" s="138">
        <f t="shared" si="116"/>
        <v>1</v>
      </c>
      <c r="AB814" s="127" t="s">
        <v>32</v>
      </c>
      <c r="AC814" s="127"/>
      <c r="AD814" s="127"/>
      <c r="AE814" s="130"/>
      <c r="AF814" s="136">
        <v>0</v>
      </c>
      <c r="AG814" s="136">
        <v>11.33</v>
      </c>
      <c r="AH814" s="136">
        <v>44.77</v>
      </c>
      <c r="AI814" s="136">
        <v>5.99</v>
      </c>
      <c r="AJ814" s="136">
        <v>3.67</v>
      </c>
      <c r="AK814" s="136">
        <v>0.49</v>
      </c>
      <c r="AL814" s="136">
        <v>3.31</v>
      </c>
      <c r="AM814" s="136">
        <v>69.56</v>
      </c>
      <c r="AN814" s="131"/>
      <c r="AO814" s="131"/>
      <c r="AP814" s="131"/>
      <c r="AQ814" s="131"/>
      <c r="AR814" s="131"/>
      <c r="AS814" s="131"/>
      <c r="AT814" s="131"/>
      <c r="AU814" s="91"/>
      <c r="AV814" s="91"/>
      <c r="AW814" s="131"/>
      <c r="AX814" s="131"/>
      <c r="AY814" s="131"/>
    </row>
    <row r="815" spans="1:51" ht="15" x14ac:dyDescent="0.25">
      <c r="A815" s="123"/>
      <c r="B815" s="124"/>
      <c r="C815" s="125">
        <v>306321</v>
      </c>
      <c r="D815" s="89"/>
      <c r="E815" s="86" t="s">
        <v>26</v>
      </c>
      <c r="F815" s="86" t="s">
        <v>418</v>
      </c>
      <c r="H815" s="126" t="s">
        <v>51</v>
      </c>
      <c r="I815" s="89">
        <v>1</v>
      </c>
      <c r="J815" s="127">
        <v>11287.5699</v>
      </c>
      <c r="K815" s="127">
        <v>68634.34</v>
      </c>
      <c r="L815" s="127">
        <v>5629.54</v>
      </c>
      <c r="M815" s="127">
        <v>0</v>
      </c>
      <c r="N815" s="127">
        <v>60535.34</v>
      </c>
      <c r="O815" s="127">
        <v>4966.54</v>
      </c>
      <c r="P815" s="128">
        <f t="shared" si="108"/>
        <v>0</v>
      </c>
      <c r="Q815" s="128">
        <f t="shared" si="109"/>
        <v>0.8819978453934284</v>
      </c>
      <c r="R815" s="128">
        <f t="shared" si="110"/>
        <v>0.88222838810986337</v>
      </c>
      <c r="S815" s="129">
        <v>0</v>
      </c>
      <c r="T815" s="129">
        <v>1</v>
      </c>
      <c r="U815" s="129">
        <v>1</v>
      </c>
      <c r="V815" s="138">
        <f t="shared" si="111"/>
        <v>3</v>
      </c>
      <c r="W815" s="138">
        <f t="shared" si="112"/>
        <v>3</v>
      </c>
      <c r="X815" s="138">
        <f t="shared" si="113"/>
        <v>1</v>
      </c>
      <c r="Y815" s="138">
        <f t="shared" si="114"/>
        <v>0</v>
      </c>
      <c r="Z815" s="138">
        <f t="shared" si="115"/>
        <v>3</v>
      </c>
      <c r="AA815" s="138">
        <f t="shared" si="116"/>
        <v>1</v>
      </c>
      <c r="AB815" s="127" t="s">
        <v>32</v>
      </c>
      <c r="AC815" s="127"/>
      <c r="AD815" s="127"/>
      <c r="AE815" s="130"/>
      <c r="AF815" s="136">
        <v>0</v>
      </c>
      <c r="AG815" s="136">
        <v>11.33</v>
      </c>
      <c r="AH815" s="136">
        <v>44.77</v>
      </c>
      <c r="AI815" s="136">
        <v>5.99</v>
      </c>
      <c r="AJ815" s="136">
        <v>3.67</v>
      </c>
      <c r="AK815" s="136">
        <v>0.49</v>
      </c>
      <c r="AL815" s="136">
        <v>3.31</v>
      </c>
      <c r="AM815" s="136">
        <v>69.56</v>
      </c>
      <c r="AN815" s="131"/>
      <c r="AO815" s="131"/>
      <c r="AP815" s="131"/>
      <c r="AQ815" s="131"/>
      <c r="AR815" s="131"/>
      <c r="AS815" s="131"/>
      <c r="AT815" s="131"/>
      <c r="AU815" s="91"/>
      <c r="AV815" s="91"/>
      <c r="AW815" s="131"/>
      <c r="AX815" s="131"/>
      <c r="AY815" s="131"/>
    </row>
    <row r="816" spans="1:51" ht="15" x14ac:dyDescent="0.25">
      <c r="A816" s="123"/>
      <c r="B816" s="124"/>
      <c r="C816" s="125">
        <v>319323</v>
      </c>
      <c r="D816" s="89"/>
      <c r="E816" s="86" t="s">
        <v>26</v>
      </c>
      <c r="F816" s="86" t="s">
        <v>418</v>
      </c>
      <c r="H816" s="126" t="s">
        <v>51</v>
      </c>
      <c r="I816" s="89">
        <v>1</v>
      </c>
      <c r="J816" s="127">
        <v>11287.5699</v>
      </c>
      <c r="K816" s="127">
        <v>68634.34</v>
      </c>
      <c r="L816" s="127">
        <v>5629.54</v>
      </c>
      <c r="M816" s="127">
        <v>0</v>
      </c>
      <c r="N816" s="127">
        <v>60535.34</v>
      </c>
      <c r="O816" s="127">
        <v>4966.54</v>
      </c>
      <c r="P816" s="128">
        <f t="shared" si="108"/>
        <v>0</v>
      </c>
      <c r="Q816" s="128">
        <f t="shared" si="109"/>
        <v>0.8819978453934284</v>
      </c>
      <c r="R816" s="128">
        <f t="shared" si="110"/>
        <v>0.88222838810986337</v>
      </c>
      <c r="S816" s="129">
        <v>0</v>
      </c>
      <c r="T816" s="129">
        <v>1</v>
      </c>
      <c r="U816" s="129">
        <v>1</v>
      </c>
      <c r="V816" s="138">
        <f t="shared" si="111"/>
        <v>3</v>
      </c>
      <c r="W816" s="138">
        <f t="shared" si="112"/>
        <v>3</v>
      </c>
      <c r="X816" s="138">
        <f t="shared" si="113"/>
        <v>1</v>
      </c>
      <c r="Y816" s="138">
        <f t="shared" si="114"/>
        <v>0</v>
      </c>
      <c r="Z816" s="138">
        <f t="shared" si="115"/>
        <v>3</v>
      </c>
      <c r="AA816" s="138">
        <f t="shared" si="116"/>
        <v>1</v>
      </c>
      <c r="AB816" s="127" t="s">
        <v>32</v>
      </c>
      <c r="AC816" s="127"/>
      <c r="AD816" s="127"/>
      <c r="AE816" s="130"/>
      <c r="AF816" s="136">
        <v>0</v>
      </c>
      <c r="AG816" s="136">
        <v>11.33</v>
      </c>
      <c r="AH816" s="136">
        <v>44.77</v>
      </c>
      <c r="AI816" s="136">
        <v>5.99</v>
      </c>
      <c r="AJ816" s="136">
        <v>3.67</v>
      </c>
      <c r="AK816" s="136">
        <v>0.49</v>
      </c>
      <c r="AL816" s="136">
        <v>3.31</v>
      </c>
      <c r="AM816" s="136">
        <v>69.56</v>
      </c>
      <c r="AN816" s="131"/>
      <c r="AO816" s="131"/>
      <c r="AP816" s="131"/>
      <c r="AQ816" s="131"/>
      <c r="AR816" s="131"/>
      <c r="AS816" s="131"/>
      <c r="AT816" s="131"/>
      <c r="AU816" s="91"/>
      <c r="AV816" s="91"/>
      <c r="AW816" s="131"/>
      <c r="AX816" s="131"/>
      <c r="AY816" s="131"/>
    </row>
    <row r="817" spans="1:51" ht="15" x14ac:dyDescent="0.25">
      <c r="A817" s="123"/>
      <c r="B817" s="124"/>
      <c r="C817" s="125">
        <v>336649</v>
      </c>
      <c r="D817" s="89"/>
      <c r="E817" s="86" t="s">
        <v>26</v>
      </c>
      <c r="F817" s="86" t="s">
        <v>418</v>
      </c>
      <c r="H817" s="126" t="s">
        <v>51</v>
      </c>
      <c r="I817" s="89">
        <v>1</v>
      </c>
      <c r="J817" s="127">
        <v>11287.5699</v>
      </c>
      <c r="K817" s="127">
        <v>68634.34</v>
      </c>
      <c r="L817" s="127">
        <v>5629.54</v>
      </c>
      <c r="M817" s="127">
        <v>0</v>
      </c>
      <c r="N817" s="127">
        <v>60535.34</v>
      </c>
      <c r="O817" s="127">
        <v>4966.54</v>
      </c>
      <c r="P817" s="128">
        <f t="shared" si="108"/>
        <v>0</v>
      </c>
      <c r="Q817" s="128">
        <f t="shared" si="109"/>
        <v>0.8819978453934284</v>
      </c>
      <c r="R817" s="128">
        <f t="shared" si="110"/>
        <v>0.88222838810986337</v>
      </c>
      <c r="S817" s="129">
        <v>0</v>
      </c>
      <c r="T817" s="129">
        <v>1</v>
      </c>
      <c r="U817" s="129">
        <v>1</v>
      </c>
      <c r="V817" s="138">
        <f t="shared" si="111"/>
        <v>3</v>
      </c>
      <c r="W817" s="138">
        <f t="shared" si="112"/>
        <v>3</v>
      </c>
      <c r="X817" s="138">
        <f t="shared" si="113"/>
        <v>1</v>
      </c>
      <c r="Y817" s="138">
        <f t="shared" si="114"/>
        <v>0</v>
      </c>
      <c r="Z817" s="138">
        <f t="shared" si="115"/>
        <v>3</v>
      </c>
      <c r="AA817" s="138">
        <f t="shared" si="116"/>
        <v>1</v>
      </c>
      <c r="AB817" s="127" t="s">
        <v>32</v>
      </c>
      <c r="AC817" s="127"/>
      <c r="AD817" s="127"/>
      <c r="AE817" s="130"/>
      <c r="AF817" s="136">
        <v>0</v>
      </c>
      <c r="AG817" s="136">
        <v>11.33</v>
      </c>
      <c r="AH817" s="136">
        <v>44.77</v>
      </c>
      <c r="AI817" s="136">
        <v>5.99</v>
      </c>
      <c r="AJ817" s="136">
        <v>3.67</v>
      </c>
      <c r="AK817" s="136">
        <v>0.49</v>
      </c>
      <c r="AL817" s="136">
        <v>3.31</v>
      </c>
      <c r="AM817" s="136">
        <v>69.56</v>
      </c>
      <c r="AN817" s="131"/>
      <c r="AO817" s="131"/>
      <c r="AP817" s="131"/>
      <c r="AQ817" s="131"/>
      <c r="AR817" s="131"/>
      <c r="AS817" s="131"/>
      <c r="AT817" s="131"/>
      <c r="AU817" s="91"/>
      <c r="AV817" s="91"/>
      <c r="AW817" s="131"/>
      <c r="AX817" s="131"/>
      <c r="AY817" s="131"/>
    </row>
    <row r="818" spans="1:51" ht="15" x14ac:dyDescent="0.25">
      <c r="A818" s="123"/>
      <c r="B818" s="124"/>
      <c r="C818" s="125">
        <v>410981</v>
      </c>
      <c r="D818" s="89"/>
      <c r="E818" s="86" t="s">
        <v>26</v>
      </c>
      <c r="F818" s="86" t="s">
        <v>418</v>
      </c>
      <c r="H818" s="126" t="s">
        <v>51</v>
      </c>
      <c r="I818" s="89">
        <v>1</v>
      </c>
      <c r="J818" s="127">
        <v>11287.5699</v>
      </c>
      <c r="K818" s="127">
        <v>68634.34</v>
      </c>
      <c r="L818" s="127">
        <v>5629.54</v>
      </c>
      <c r="M818" s="127">
        <v>0</v>
      </c>
      <c r="N818" s="127">
        <v>60535.34</v>
      </c>
      <c r="O818" s="127">
        <v>4966.54</v>
      </c>
      <c r="P818" s="128">
        <f t="shared" si="108"/>
        <v>0</v>
      </c>
      <c r="Q818" s="128">
        <f t="shared" si="109"/>
        <v>0.8819978453934284</v>
      </c>
      <c r="R818" s="128">
        <f t="shared" si="110"/>
        <v>0.88222838810986337</v>
      </c>
      <c r="S818" s="129">
        <v>0</v>
      </c>
      <c r="T818" s="129">
        <v>1</v>
      </c>
      <c r="U818" s="129">
        <v>1</v>
      </c>
      <c r="V818" s="138">
        <f t="shared" si="111"/>
        <v>3</v>
      </c>
      <c r="W818" s="138">
        <f t="shared" si="112"/>
        <v>3</v>
      </c>
      <c r="X818" s="138">
        <f t="shared" si="113"/>
        <v>1</v>
      </c>
      <c r="Y818" s="138">
        <f t="shared" si="114"/>
        <v>0</v>
      </c>
      <c r="Z818" s="138">
        <f t="shared" si="115"/>
        <v>3</v>
      </c>
      <c r="AA818" s="138">
        <f t="shared" si="116"/>
        <v>1</v>
      </c>
      <c r="AB818" s="127" t="s">
        <v>32</v>
      </c>
      <c r="AC818" s="127"/>
      <c r="AD818" s="127"/>
      <c r="AE818" s="130"/>
      <c r="AF818" s="136">
        <v>0</v>
      </c>
      <c r="AG818" s="136">
        <v>11.33</v>
      </c>
      <c r="AH818" s="136">
        <v>44.77</v>
      </c>
      <c r="AI818" s="136">
        <v>5.99</v>
      </c>
      <c r="AJ818" s="136">
        <v>3.67</v>
      </c>
      <c r="AK818" s="136">
        <v>0.49</v>
      </c>
      <c r="AL818" s="136">
        <v>3.31</v>
      </c>
      <c r="AM818" s="136">
        <v>69.56</v>
      </c>
      <c r="AN818" s="131"/>
      <c r="AO818" s="131"/>
      <c r="AP818" s="131"/>
      <c r="AQ818" s="131"/>
      <c r="AR818" s="131"/>
      <c r="AS818" s="131"/>
      <c r="AT818" s="131"/>
      <c r="AU818" s="91"/>
      <c r="AV818" s="91"/>
      <c r="AW818" s="131"/>
      <c r="AX818" s="131"/>
      <c r="AY818" s="131"/>
    </row>
    <row r="819" spans="1:51" ht="15" x14ac:dyDescent="0.25">
      <c r="A819" s="123"/>
      <c r="B819" s="124"/>
      <c r="C819" s="125">
        <v>463249</v>
      </c>
      <c r="D819" s="89"/>
      <c r="E819" s="86" t="s">
        <v>26</v>
      </c>
      <c r="F819" s="86" t="s">
        <v>418</v>
      </c>
      <c r="H819" s="126" t="s">
        <v>51</v>
      </c>
      <c r="I819" s="89">
        <v>1</v>
      </c>
      <c r="J819" s="127">
        <v>11287.5699</v>
      </c>
      <c r="K819" s="127">
        <v>68634.34</v>
      </c>
      <c r="L819" s="127">
        <v>5629.54</v>
      </c>
      <c r="M819" s="127">
        <v>0</v>
      </c>
      <c r="N819" s="127">
        <v>60535.34</v>
      </c>
      <c r="O819" s="127">
        <v>4966.54</v>
      </c>
      <c r="P819" s="128">
        <f t="shared" si="108"/>
        <v>0</v>
      </c>
      <c r="Q819" s="128">
        <f t="shared" si="109"/>
        <v>0.8819978453934284</v>
      </c>
      <c r="R819" s="128">
        <f t="shared" si="110"/>
        <v>0.88222838810986337</v>
      </c>
      <c r="S819" s="129">
        <v>0</v>
      </c>
      <c r="T819" s="129">
        <v>1</v>
      </c>
      <c r="U819" s="129">
        <v>1</v>
      </c>
      <c r="V819" s="138">
        <f t="shared" si="111"/>
        <v>3</v>
      </c>
      <c r="W819" s="138">
        <f t="shared" si="112"/>
        <v>3</v>
      </c>
      <c r="X819" s="138">
        <f t="shared" si="113"/>
        <v>1</v>
      </c>
      <c r="Y819" s="138">
        <f t="shared" si="114"/>
        <v>0</v>
      </c>
      <c r="Z819" s="138">
        <f t="shared" si="115"/>
        <v>3</v>
      </c>
      <c r="AA819" s="138">
        <f t="shared" si="116"/>
        <v>1</v>
      </c>
      <c r="AB819" s="127" t="s">
        <v>32</v>
      </c>
      <c r="AC819" s="127"/>
      <c r="AD819" s="127"/>
      <c r="AE819" s="130"/>
      <c r="AF819" s="136">
        <v>0</v>
      </c>
      <c r="AG819" s="136">
        <v>11.33</v>
      </c>
      <c r="AH819" s="136">
        <v>44.77</v>
      </c>
      <c r="AI819" s="136">
        <v>5.99</v>
      </c>
      <c r="AJ819" s="136">
        <v>3.67</v>
      </c>
      <c r="AK819" s="136">
        <v>0.49</v>
      </c>
      <c r="AL819" s="136">
        <v>3.31</v>
      </c>
      <c r="AM819" s="136">
        <v>69.56</v>
      </c>
      <c r="AN819" s="131"/>
      <c r="AO819" s="131"/>
      <c r="AP819" s="131"/>
      <c r="AQ819" s="131"/>
      <c r="AR819" s="131"/>
      <c r="AS819" s="131"/>
      <c r="AT819" s="131"/>
      <c r="AU819" s="91"/>
      <c r="AV819" s="91"/>
      <c r="AW819" s="131"/>
      <c r="AX819" s="131"/>
      <c r="AY819" s="131"/>
    </row>
    <row r="820" spans="1:51" ht="15" x14ac:dyDescent="0.25">
      <c r="A820" s="123"/>
      <c r="B820" s="124"/>
      <c r="C820" s="125">
        <v>520130</v>
      </c>
      <c r="D820" s="89"/>
      <c r="E820" s="86" t="s">
        <v>26</v>
      </c>
      <c r="F820" s="86" t="s">
        <v>418</v>
      </c>
      <c r="H820" s="126" t="s">
        <v>51</v>
      </c>
      <c r="I820" s="89">
        <v>1</v>
      </c>
      <c r="J820" s="127">
        <v>11287.5699</v>
      </c>
      <c r="K820" s="127">
        <v>68634.34</v>
      </c>
      <c r="L820" s="127">
        <v>5629.54</v>
      </c>
      <c r="M820" s="127">
        <v>0</v>
      </c>
      <c r="N820" s="127">
        <v>60535.34</v>
      </c>
      <c r="O820" s="127">
        <v>4966.54</v>
      </c>
      <c r="P820" s="128">
        <f t="shared" si="108"/>
        <v>0</v>
      </c>
      <c r="Q820" s="128">
        <f t="shared" si="109"/>
        <v>0.8819978453934284</v>
      </c>
      <c r="R820" s="128">
        <f t="shared" si="110"/>
        <v>0.88222838810986337</v>
      </c>
      <c r="S820" s="129">
        <v>0</v>
      </c>
      <c r="T820" s="129">
        <v>1</v>
      </c>
      <c r="U820" s="129">
        <v>1</v>
      </c>
      <c r="V820" s="138">
        <f t="shared" si="111"/>
        <v>3</v>
      </c>
      <c r="W820" s="138">
        <f t="shared" si="112"/>
        <v>3</v>
      </c>
      <c r="X820" s="138">
        <f t="shared" si="113"/>
        <v>1</v>
      </c>
      <c r="Y820" s="138">
        <f t="shared" si="114"/>
        <v>0</v>
      </c>
      <c r="Z820" s="138">
        <f t="shared" si="115"/>
        <v>3</v>
      </c>
      <c r="AA820" s="138">
        <f t="shared" si="116"/>
        <v>1</v>
      </c>
      <c r="AB820" s="127" t="s">
        <v>32</v>
      </c>
      <c r="AC820" s="127"/>
      <c r="AD820" s="127"/>
      <c r="AE820" s="130"/>
      <c r="AF820" s="136">
        <v>0</v>
      </c>
      <c r="AG820" s="136">
        <v>11.33</v>
      </c>
      <c r="AH820" s="136">
        <v>44.77</v>
      </c>
      <c r="AI820" s="136">
        <v>5.99</v>
      </c>
      <c r="AJ820" s="136">
        <v>3.67</v>
      </c>
      <c r="AK820" s="136">
        <v>0.49</v>
      </c>
      <c r="AL820" s="136">
        <v>3.31</v>
      </c>
      <c r="AM820" s="136">
        <v>69.56</v>
      </c>
      <c r="AN820" s="131"/>
      <c r="AO820" s="131"/>
      <c r="AP820" s="131"/>
      <c r="AQ820" s="131"/>
      <c r="AR820" s="131"/>
      <c r="AS820" s="131"/>
      <c r="AT820" s="131"/>
      <c r="AU820" s="91"/>
      <c r="AV820" s="91"/>
      <c r="AW820" s="131"/>
      <c r="AX820" s="131"/>
      <c r="AY820" s="131"/>
    </row>
    <row r="821" spans="1:51" ht="15" x14ac:dyDescent="0.25">
      <c r="A821" s="123"/>
      <c r="B821" s="124"/>
      <c r="C821" s="125">
        <v>551412</v>
      </c>
      <c r="D821" s="89"/>
      <c r="E821" s="86" t="s">
        <v>26</v>
      </c>
      <c r="F821" s="86" t="s">
        <v>418</v>
      </c>
      <c r="H821" s="126" t="s">
        <v>51</v>
      </c>
      <c r="I821" s="89">
        <v>1</v>
      </c>
      <c r="J821" s="127">
        <v>11287.5699</v>
      </c>
      <c r="K821" s="127">
        <v>68634.34</v>
      </c>
      <c r="L821" s="127">
        <v>5629.54</v>
      </c>
      <c r="M821" s="127">
        <v>0</v>
      </c>
      <c r="N821" s="127">
        <v>60535.34</v>
      </c>
      <c r="O821" s="127">
        <v>4966.54</v>
      </c>
      <c r="P821" s="128">
        <f t="shared" si="108"/>
        <v>0</v>
      </c>
      <c r="Q821" s="128">
        <f t="shared" si="109"/>
        <v>0.8819978453934284</v>
      </c>
      <c r="R821" s="128">
        <f t="shared" si="110"/>
        <v>0.88222838810986337</v>
      </c>
      <c r="S821" s="129">
        <v>0</v>
      </c>
      <c r="T821" s="129">
        <v>1</v>
      </c>
      <c r="U821" s="129">
        <v>1</v>
      </c>
      <c r="V821" s="138">
        <f t="shared" si="111"/>
        <v>3</v>
      </c>
      <c r="W821" s="138">
        <f t="shared" si="112"/>
        <v>3</v>
      </c>
      <c r="X821" s="138">
        <f t="shared" si="113"/>
        <v>1</v>
      </c>
      <c r="Y821" s="138">
        <f t="shared" si="114"/>
        <v>0</v>
      </c>
      <c r="Z821" s="138">
        <f t="shared" si="115"/>
        <v>3</v>
      </c>
      <c r="AA821" s="138">
        <f t="shared" si="116"/>
        <v>1</v>
      </c>
      <c r="AB821" s="127" t="s">
        <v>32</v>
      </c>
      <c r="AC821" s="127"/>
      <c r="AD821" s="127"/>
      <c r="AE821" s="130"/>
      <c r="AF821" s="136">
        <v>0</v>
      </c>
      <c r="AG821" s="136">
        <v>11.33</v>
      </c>
      <c r="AH821" s="136">
        <v>44.77</v>
      </c>
      <c r="AI821" s="136">
        <v>5.99</v>
      </c>
      <c r="AJ821" s="136">
        <v>3.67</v>
      </c>
      <c r="AK821" s="136">
        <v>0.49</v>
      </c>
      <c r="AL821" s="136">
        <v>3.31</v>
      </c>
      <c r="AM821" s="136">
        <v>69.56</v>
      </c>
      <c r="AN821" s="131"/>
      <c r="AO821" s="131"/>
      <c r="AP821" s="131"/>
      <c r="AQ821" s="131"/>
      <c r="AR821" s="131"/>
      <c r="AS821" s="131"/>
      <c r="AT821" s="131"/>
      <c r="AU821" s="91"/>
      <c r="AV821" s="91"/>
      <c r="AW821" s="131"/>
      <c r="AX821" s="131"/>
      <c r="AY821" s="131"/>
    </row>
    <row r="822" spans="1:51" ht="15" x14ac:dyDescent="0.25">
      <c r="A822" s="123"/>
      <c r="B822" s="124"/>
      <c r="C822" s="125">
        <v>580489</v>
      </c>
      <c r="D822" s="89"/>
      <c r="E822" s="86" t="s">
        <v>26</v>
      </c>
      <c r="F822" s="86" t="s">
        <v>418</v>
      </c>
      <c r="H822" s="126" t="s">
        <v>51</v>
      </c>
      <c r="I822" s="89">
        <v>1</v>
      </c>
      <c r="J822" s="127">
        <v>11287.5699</v>
      </c>
      <c r="K822" s="127">
        <v>68634.34</v>
      </c>
      <c r="L822" s="127">
        <v>5629.54</v>
      </c>
      <c r="M822" s="127">
        <v>0</v>
      </c>
      <c r="N822" s="127">
        <v>60535.34</v>
      </c>
      <c r="O822" s="127">
        <v>4966.54</v>
      </c>
      <c r="P822" s="128">
        <f t="shared" si="108"/>
        <v>0</v>
      </c>
      <c r="Q822" s="128">
        <f t="shared" si="109"/>
        <v>0.8819978453934284</v>
      </c>
      <c r="R822" s="128">
        <f t="shared" si="110"/>
        <v>0.88222838810986337</v>
      </c>
      <c r="S822" s="129">
        <v>0</v>
      </c>
      <c r="T822" s="129">
        <v>1</v>
      </c>
      <c r="U822" s="129">
        <v>1</v>
      </c>
      <c r="V822" s="138">
        <f t="shared" si="111"/>
        <v>3</v>
      </c>
      <c r="W822" s="138">
        <f t="shared" si="112"/>
        <v>3</v>
      </c>
      <c r="X822" s="138">
        <f t="shared" si="113"/>
        <v>1</v>
      </c>
      <c r="Y822" s="138">
        <f t="shared" si="114"/>
        <v>0</v>
      </c>
      <c r="Z822" s="138">
        <f t="shared" si="115"/>
        <v>3</v>
      </c>
      <c r="AA822" s="138">
        <f t="shared" si="116"/>
        <v>1</v>
      </c>
      <c r="AB822" s="127" t="s">
        <v>32</v>
      </c>
      <c r="AC822" s="127"/>
      <c r="AD822" s="127"/>
      <c r="AE822" s="130"/>
      <c r="AF822" s="136">
        <v>0</v>
      </c>
      <c r="AG822" s="136">
        <v>11.33</v>
      </c>
      <c r="AH822" s="136">
        <v>44.77</v>
      </c>
      <c r="AI822" s="136">
        <v>5.99</v>
      </c>
      <c r="AJ822" s="136">
        <v>3.67</v>
      </c>
      <c r="AK822" s="136">
        <v>0.49</v>
      </c>
      <c r="AL822" s="136">
        <v>3.31</v>
      </c>
      <c r="AM822" s="136">
        <v>69.56</v>
      </c>
      <c r="AN822" s="131"/>
      <c r="AO822" s="131"/>
      <c r="AP822" s="131"/>
      <c r="AQ822" s="131"/>
      <c r="AR822" s="131"/>
      <c r="AS822" s="131"/>
      <c r="AT822" s="131"/>
      <c r="AU822" s="91"/>
      <c r="AV822" s="91"/>
      <c r="AW822" s="131"/>
      <c r="AX822" s="131"/>
      <c r="AY822" s="131"/>
    </row>
    <row r="823" spans="1:51" ht="15" x14ac:dyDescent="0.25">
      <c r="A823" s="123"/>
      <c r="B823" s="124"/>
      <c r="C823" s="125">
        <v>595035</v>
      </c>
      <c r="D823" s="89"/>
      <c r="E823" s="86" t="s">
        <v>26</v>
      </c>
      <c r="F823" s="86" t="s">
        <v>418</v>
      </c>
      <c r="H823" s="126" t="s">
        <v>51</v>
      </c>
      <c r="I823" s="89">
        <v>1</v>
      </c>
      <c r="J823" s="127">
        <v>11287.5699</v>
      </c>
      <c r="K823" s="127">
        <v>68634.34</v>
      </c>
      <c r="L823" s="127">
        <v>5629.54</v>
      </c>
      <c r="M823" s="127">
        <v>0</v>
      </c>
      <c r="N823" s="127">
        <v>60535.34</v>
      </c>
      <c r="O823" s="127">
        <v>4966.54</v>
      </c>
      <c r="P823" s="128">
        <f t="shared" si="108"/>
        <v>0</v>
      </c>
      <c r="Q823" s="128">
        <f t="shared" si="109"/>
        <v>0.8819978453934284</v>
      </c>
      <c r="R823" s="128">
        <f t="shared" si="110"/>
        <v>0.88222838810986337</v>
      </c>
      <c r="S823" s="129">
        <v>0</v>
      </c>
      <c r="T823" s="129">
        <v>1</v>
      </c>
      <c r="U823" s="129">
        <v>1</v>
      </c>
      <c r="V823" s="138">
        <f t="shared" si="111"/>
        <v>3</v>
      </c>
      <c r="W823" s="138">
        <f t="shared" si="112"/>
        <v>3</v>
      </c>
      <c r="X823" s="138">
        <f t="shared" si="113"/>
        <v>1</v>
      </c>
      <c r="Y823" s="138">
        <f t="shared" si="114"/>
        <v>0</v>
      </c>
      <c r="Z823" s="138">
        <f t="shared" si="115"/>
        <v>3</v>
      </c>
      <c r="AA823" s="138">
        <f t="shared" si="116"/>
        <v>1</v>
      </c>
      <c r="AB823" s="127" t="s">
        <v>32</v>
      </c>
      <c r="AC823" s="127"/>
      <c r="AD823" s="127"/>
      <c r="AE823" s="130"/>
      <c r="AF823" s="136">
        <v>0</v>
      </c>
      <c r="AG823" s="136">
        <v>11.33</v>
      </c>
      <c r="AH823" s="136">
        <v>44.77</v>
      </c>
      <c r="AI823" s="136">
        <v>5.99</v>
      </c>
      <c r="AJ823" s="136">
        <v>3.67</v>
      </c>
      <c r="AK823" s="136">
        <v>0.49</v>
      </c>
      <c r="AL823" s="136">
        <v>3.31</v>
      </c>
      <c r="AM823" s="136">
        <v>69.56</v>
      </c>
      <c r="AN823" s="131"/>
      <c r="AO823" s="131"/>
      <c r="AP823" s="131"/>
      <c r="AQ823" s="131"/>
      <c r="AR823" s="131"/>
      <c r="AS823" s="131"/>
      <c r="AT823" s="131"/>
      <c r="AU823" s="91"/>
      <c r="AV823" s="91"/>
      <c r="AW823" s="131"/>
      <c r="AX823" s="131"/>
      <c r="AY823" s="131"/>
    </row>
    <row r="824" spans="1:51" ht="15" x14ac:dyDescent="0.25">
      <c r="A824" s="123"/>
      <c r="B824" s="124"/>
      <c r="C824" s="125">
        <v>599984</v>
      </c>
      <c r="D824" s="89"/>
      <c r="E824" s="86" t="s">
        <v>26</v>
      </c>
      <c r="F824" s="86" t="s">
        <v>418</v>
      </c>
      <c r="H824" s="126" t="s">
        <v>51</v>
      </c>
      <c r="I824" s="89">
        <v>1</v>
      </c>
      <c r="J824" s="127">
        <v>11287.5699</v>
      </c>
      <c r="K824" s="127">
        <v>68634.34</v>
      </c>
      <c r="L824" s="127">
        <v>5629.54</v>
      </c>
      <c r="M824" s="127">
        <v>0</v>
      </c>
      <c r="N824" s="127">
        <v>60535.34</v>
      </c>
      <c r="O824" s="127">
        <v>4966.54</v>
      </c>
      <c r="P824" s="128">
        <f t="shared" si="108"/>
        <v>0</v>
      </c>
      <c r="Q824" s="128">
        <f t="shared" si="109"/>
        <v>0.8819978453934284</v>
      </c>
      <c r="R824" s="128">
        <f t="shared" si="110"/>
        <v>0.88222838810986337</v>
      </c>
      <c r="S824" s="129">
        <v>0</v>
      </c>
      <c r="T824" s="129">
        <v>1</v>
      </c>
      <c r="U824" s="129">
        <v>1</v>
      </c>
      <c r="V824" s="138">
        <f t="shared" si="111"/>
        <v>3</v>
      </c>
      <c r="W824" s="138">
        <f t="shared" si="112"/>
        <v>3</v>
      </c>
      <c r="X824" s="138">
        <f t="shared" si="113"/>
        <v>1</v>
      </c>
      <c r="Y824" s="138">
        <f t="shared" si="114"/>
        <v>0</v>
      </c>
      <c r="Z824" s="138">
        <f t="shared" si="115"/>
        <v>3</v>
      </c>
      <c r="AA824" s="138">
        <f t="shared" si="116"/>
        <v>1</v>
      </c>
      <c r="AB824" s="127" t="s">
        <v>32</v>
      </c>
      <c r="AC824" s="127"/>
      <c r="AD824" s="127"/>
      <c r="AE824" s="130"/>
      <c r="AF824" s="136">
        <v>0</v>
      </c>
      <c r="AG824" s="136">
        <v>11.33</v>
      </c>
      <c r="AH824" s="136">
        <v>44.77</v>
      </c>
      <c r="AI824" s="136">
        <v>5.99</v>
      </c>
      <c r="AJ824" s="136">
        <v>3.67</v>
      </c>
      <c r="AK824" s="136">
        <v>0.49</v>
      </c>
      <c r="AL824" s="136">
        <v>3.31</v>
      </c>
      <c r="AM824" s="136">
        <v>69.56</v>
      </c>
      <c r="AN824" s="131"/>
      <c r="AO824" s="131"/>
      <c r="AP824" s="131"/>
      <c r="AQ824" s="131"/>
      <c r="AR824" s="131"/>
      <c r="AS824" s="131"/>
      <c r="AT824" s="131"/>
      <c r="AU824" s="91"/>
      <c r="AV824" s="91"/>
      <c r="AW824" s="131"/>
      <c r="AX824" s="131"/>
      <c r="AY824" s="131"/>
    </row>
    <row r="825" spans="1:51" ht="15" x14ac:dyDescent="0.25">
      <c r="A825" s="123"/>
      <c r="B825" s="124"/>
      <c r="C825" s="125">
        <v>608752</v>
      </c>
      <c r="D825" s="89"/>
      <c r="E825" s="86" t="s">
        <v>26</v>
      </c>
      <c r="F825" s="86" t="s">
        <v>418</v>
      </c>
      <c r="H825" s="126" t="s">
        <v>51</v>
      </c>
      <c r="I825" s="89">
        <v>1</v>
      </c>
      <c r="J825" s="127">
        <v>11287.5699</v>
      </c>
      <c r="K825" s="127">
        <v>68634.34</v>
      </c>
      <c r="L825" s="127">
        <v>5629.54</v>
      </c>
      <c r="M825" s="127">
        <v>0</v>
      </c>
      <c r="N825" s="127">
        <v>60535.34</v>
      </c>
      <c r="O825" s="127">
        <v>4966.54</v>
      </c>
      <c r="P825" s="128">
        <f t="shared" si="108"/>
        <v>0</v>
      </c>
      <c r="Q825" s="128">
        <f t="shared" si="109"/>
        <v>0.8819978453934284</v>
      </c>
      <c r="R825" s="128">
        <f t="shared" si="110"/>
        <v>0.88222838810986337</v>
      </c>
      <c r="S825" s="129">
        <v>0</v>
      </c>
      <c r="T825" s="129">
        <v>1</v>
      </c>
      <c r="U825" s="129">
        <v>1</v>
      </c>
      <c r="V825" s="138">
        <f t="shared" si="111"/>
        <v>3</v>
      </c>
      <c r="W825" s="138">
        <f t="shared" si="112"/>
        <v>3</v>
      </c>
      <c r="X825" s="138">
        <f t="shared" si="113"/>
        <v>1</v>
      </c>
      <c r="Y825" s="138">
        <f t="shared" si="114"/>
        <v>0</v>
      </c>
      <c r="Z825" s="138">
        <f t="shared" si="115"/>
        <v>3</v>
      </c>
      <c r="AA825" s="138">
        <f t="shared" si="116"/>
        <v>1</v>
      </c>
      <c r="AB825" s="127" t="s">
        <v>32</v>
      </c>
      <c r="AC825" s="127"/>
      <c r="AD825" s="127"/>
      <c r="AE825" s="130"/>
      <c r="AF825" s="136">
        <v>0</v>
      </c>
      <c r="AG825" s="136">
        <v>11.33</v>
      </c>
      <c r="AH825" s="136">
        <v>44.77</v>
      </c>
      <c r="AI825" s="136">
        <v>5.99</v>
      </c>
      <c r="AJ825" s="136">
        <v>3.67</v>
      </c>
      <c r="AK825" s="136">
        <v>0.49</v>
      </c>
      <c r="AL825" s="136">
        <v>3.31</v>
      </c>
      <c r="AM825" s="136">
        <v>69.56</v>
      </c>
      <c r="AN825" s="131"/>
      <c r="AO825" s="131"/>
      <c r="AP825" s="131"/>
      <c r="AQ825" s="131"/>
      <c r="AR825" s="131"/>
      <c r="AS825" s="131"/>
      <c r="AT825" s="131"/>
      <c r="AU825" s="91"/>
      <c r="AV825" s="91"/>
      <c r="AW825" s="131"/>
      <c r="AX825" s="131"/>
      <c r="AY825" s="131"/>
    </row>
    <row r="826" spans="1:51" ht="15" x14ac:dyDescent="0.25">
      <c r="A826" s="123"/>
      <c r="B826" s="124"/>
      <c r="C826" s="125">
        <v>624303</v>
      </c>
      <c r="D826" s="89"/>
      <c r="E826" s="86" t="s">
        <v>26</v>
      </c>
      <c r="F826" s="86" t="s">
        <v>418</v>
      </c>
      <c r="H826" s="126" t="s">
        <v>51</v>
      </c>
      <c r="I826" s="89">
        <v>1</v>
      </c>
      <c r="J826" s="127">
        <v>11287.5699</v>
      </c>
      <c r="K826" s="127">
        <v>68634.34</v>
      </c>
      <c r="L826" s="127">
        <v>5629.54</v>
      </c>
      <c r="M826" s="127">
        <v>0</v>
      </c>
      <c r="N826" s="127">
        <v>60535.34</v>
      </c>
      <c r="O826" s="127">
        <v>4966.54</v>
      </c>
      <c r="P826" s="128">
        <f t="shared" si="108"/>
        <v>0</v>
      </c>
      <c r="Q826" s="128">
        <f t="shared" si="109"/>
        <v>0.8819978453934284</v>
      </c>
      <c r="R826" s="128">
        <f t="shared" si="110"/>
        <v>0.88222838810986337</v>
      </c>
      <c r="S826" s="129">
        <v>0</v>
      </c>
      <c r="T826" s="129">
        <v>1</v>
      </c>
      <c r="U826" s="129">
        <v>1</v>
      </c>
      <c r="V826" s="138">
        <f t="shared" si="111"/>
        <v>3</v>
      </c>
      <c r="W826" s="138">
        <f t="shared" si="112"/>
        <v>3</v>
      </c>
      <c r="X826" s="138">
        <f t="shared" si="113"/>
        <v>1</v>
      </c>
      <c r="Y826" s="138">
        <f t="shared" si="114"/>
        <v>0</v>
      </c>
      <c r="Z826" s="138">
        <f t="shared" si="115"/>
        <v>3</v>
      </c>
      <c r="AA826" s="138">
        <f t="shared" si="116"/>
        <v>1</v>
      </c>
      <c r="AB826" s="127" t="s">
        <v>32</v>
      </c>
      <c r="AC826" s="127"/>
      <c r="AD826" s="127"/>
      <c r="AE826" s="130"/>
      <c r="AF826" s="136">
        <v>0</v>
      </c>
      <c r="AG826" s="136">
        <v>11.33</v>
      </c>
      <c r="AH826" s="136">
        <v>44.77</v>
      </c>
      <c r="AI826" s="136">
        <v>5.99</v>
      </c>
      <c r="AJ826" s="136">
        <v>3.67</v>
      </c>
      <c r="AK826" s="136">
        <v>0.49</v>
      </c>
      <c r="AL826" s="136">
        <v>3.31</v>
      </c>
      <c r="AM826" s="136">
        <v>69.56</v>
      </c>
      <c r="AN826" s="131"/>
      <c r="AO826" s="131"/>
      <c r="AP826" s="131"/>
      <c r="AQ826" s="131"/>
      <c r="AR826" s="131"/>
      <c r="AS826" s="131"/>
      <c r="AT826" s="131"/>
      <c r="AU826" s="91"/>
      <c r="AV826" s="91"/>
      <c r="AW826" s="131"/>
      <c r="AX826" s="131"/>
      <c r="AY826" s="131"/>
    </row>
    <row r="827" spans="1:51" ht="15" x14ac:dyDescent="0.25">
      <c r="A827" s="123"/>
      <c r="B827" s="124"/>
      <c r="C827" s="125">
        <v>749663</v>
      </c>
      <c r="D827" s="89"/>
      <c r="E827" s="86" t="s">
        <v>26</v>
      </c>
      <c r="F827" s="86" t="s">
        <v>418</v>
      </c>
      <c r="H827" s="126" t="s">
        <v>51</v>
      </c>
      <c r="I827" s="89">
        <v>1</v>
      </c>
      <c r="J827" s="127">
        <v>11287.5699</v>
      </c>
      <c r="K827" s="127">
        <v>68634.34</v>
      </c>
      <c r="L827" s="127">
        <v>5629.54</v>
      </c>
      <c r="M827" s="127">
        <v>0</v>
      </c>
      <c r="N827" s="127">
        <v>60535.34</v>
      </c>
      <c r="O827" s="127">
        <v>4966.54</v>
      </c>
      <c r="P827" s="128">
        <f t="shared" si="108"/>
        <v>0</v>
      </c>
      <c r="Q827" s="128">
        <f t="shared" si="109"/>
        <v>0.8819978453934284</v>
      </c>
      <c r="R827" s="128">
        <f t="shared" si="110"/>
        <v>0.88222838810986337</v>
      </c>
      <c r="S827" s="129">
        <v>0</v>
      </c>
      <c r="T827" s="129">
        <v>1</v>
      </c>
      <c r="U827" s="129">
        <v>1</v>
      </c>
      <c r="V827" s="138">
        <f t="shared" si="111"/>
        <v>3</v>
      </c>
      <c r="W827" s="138">
        <f t="shared" si="112"/>
        <v>3</v>
      </c>
      <c r="X827" s="138">
        <f t="shared" si="113"/>
        <v>1</v>
      </c>
      <c r="Y827" s="138">
        <f t="shared" si="114"/>
        <v>0</v>
      </c>
      <c r="Z827" s="138">
        <f t="shared" si="115"/>
        <v>3</v>
      </c>
      <c r="AA827" s="138">
        <f t="shared" si="116"/>
        <v>1</v>
      </c>
      <c r="AB827" s="127" t="s">
        <v>32</v>
      </c>
      <c r="AC827" s="127"/>
      <c r="AD827" s="127"/>
      <c r="AE827" s="130"/>
      <c r="AF827" s="136">
        <v>0</v>
      </c>
      <c r="AG827" s="136">
        <v>11.33</v>
      </c>
      <c r="AH827" s="136">
        <v>44.77</v>
      </c>
      <c r="AI827" s="136">
        <v>5.99</v>
      </c>
      <c r="AJ827" s="136">
        <v>3.67</v>
      </c>
      <c r="AK827" s="136">
        <v>0.49</v>
      </c>
      <c r="AL827" s="136">
        <v>3.31</v>
      </c>
      <c r="AM827" s="136">
        <v>69.56</v>
      </c>
      <c r="AN827" s="131"/>
      <c r="AO827" s="131"/>
      <c r="AP827" s="131"/>
      <c r="AQ827" s="131"/>
      <c r="AR827" s="131"/>
      <c r="AS827" s="131"/>
      <c r="AT827" s="131"/>
      <c r="AU827" s="91"/>
      <c r="AV827" s="91"/>
      <c r="AW827" s="131"/>
      <c r="AX827" s="131"/>
      <c r="AY827" s="131"/>
    </row>
    <row r="828" spans="1:51" ht="15" x14ac:dyDescent="0.25">
      <c r="A828" s="123"/>
      <c r="B828" s="124"/>
      <c r="C828" s="125">
        <v>768770</v>
      </c>
      <c r="D828" s="89"/>
      <c r="E828" s="86" t="s">
        <v>26</v>
      </c>
      <c r="F828" s="86" t="s">
        <v>418</v>
      </c>
      <c r="H828" s="126" t="s">
        <v>51</v>
      </c>
      <c r="I828" s="89">
        <v>1</v>
      </c>
      <c r="J828" s="127">
        <v>11287.5699</v>
      </c>
      <c r="K828" s="127">
        <v>68634.34</v>
      </c>
      <c r="L828" s="127">
        <v>5629.54</v>
      </c>
      <c r="M828" s="127">
        <v>0</v>
      </c>
      <c r="N828" s="127">
        <v>60535.34</v>
      </c>
      <c r="O828" s="127">
        <v>4966.54</v>
      </c>
      <c r="P828" s="128">
        <f t="shared" si="108"/>
        <v>0</v>
      </c>
      <c r="Q828" s="128">
        <f t="shared" si="109"/>
        <v>0.8819978453934284</v>
      </c>
      <c r="R828" s="128">
        <f t="shared" si="110"/>
        <v>0.88222838810986337</v>
      </c>
      <c r="S828" s="129">
        <v>0</v>
      </c>
      <c r="T828" s="129">
        <v>1</v>
      </c>
      <c r="U828" s="129">
        <v>1</v>
      </c>
      <c r="V828" s="138">
        <f t="shared" si="111"/>
        <v>3</v>
      </c>
      <c r="W828" s="138">
        <f t="shared" si="112"/>
        <v>3</v>
      </c>
      <c r="X828" s="138">
        <f t="shared" si="113"/>
        <v>1</v>
      </c>
      <c r="Y828" s="138">
        <f t="shared" si="114"/>
        <v>0</v>
      </c>
      <c r="Z828" s="138">
        <f t="shared" si="115"/>
        <v>3</v>
      </c>
      <c r="AA828" s="138">
        <f t="shared" si="116"/>
        <v>1</v>
      </c>
      <c r="AB828" s="127" t="s">
        <v>32</v>
      </c>
      <c r="AC828" s="127"/>
      <c r="AD828" s="127"/>
      <c r="AE828" s="130"/>
      <c r="AF828" s="136">
        <v>0</v>
      </c>
      <c r="AG828" s="136">
        <v>11.33</v>
      </c>
      <c r="AH828" s="136">
        <v>44.77</v>
      </c>
      <c r="AI828" s="136">
        <v>5.99</v>
      </c>
      <c r="AJ828" s="136">
        <v>3.67</v>
      </c>
      <c r="AK828" s="136">
        <v>0.49</v>
      </c>
      <c r="AL828" s="136">
        <v>3.31</v>
      </c>
      <c r="AM828" s="136">
        <v>69.56</v>
      </c>
      <c r="AN828" s="131"/>
      <c r="AO828" s="131"/>
      <c r="AP828" s="131"/>
      <c r="AQ828" s="131"/>
      <c r="AR828" s="131"/>
      <c r="AS828" s="131"/>
      <c r="AT828" s="131"/>
      <c r="AU828" s="91"/>
      <c r="AV828" s="91"/>
      <c r="AW828" s="131"/>
      <c r="AX828" s="131"/>
      <c r="AY828" s="131"/>
    </row>
    <row r="829" spans="1:51" ht="15" x14ac:dyDescent="0.25">
      <c r="A829" s="123"/>
      <c r="B829" s="124"/>
      <c r="C829" s="125">
        <v>835103</v>
      </c>
      <c r="D829" s="89"/>
      <c r="E829" s="86" t="s">
        <v>26</v>
      </c>
      <c r="F829" s="86" t="s">
        <v>418</v>
      </c>
      <c r="H829" s="126" t="s">
        <v>51</v>
      </c>
      <c r="I829" s="89">
        <v>1</v>
      </c>
      <c r="J829" s="127">
        <v>11287.5699</v>
      </c>
      <c r="K829" s="127">
        <v>68634.34</v>
      </c>
      <c r="L829" s="127">
        <v>5629.54</v>
      </c>
      <c r="M829" s="127">
        <v>0</v>
      </c>
      <c r="N829" s="127">
        <v>60535.34</v>
      </c>
      <c r="O829" s="127">
        <v>4966.54</v>
      </c>
      <c r="P829" s="128">
        <f t="shared" si="108"/>
        <v>0</v>
      </c>
      <c r="Q829" s="128">
        <f t="shared" si="109"/>
        <v>0.8819978453934284</v>
      </c>
      <c r="R829" s="128">
        <f t="shared" si="110"/>
        <v>0.88222838810986337</v>
      </c>
      <c r="S829" s="129">
        <v>0</v>
      </c>
      <c r="T829" s="129">
        <v>1</v>
      </c>
      <c r="U829" s="129">
        <v>1</v>
      </c>
      <c r="V829" s="138">
        <f t="shared" si="111"/>
        <v>3</v>
      </c>
      <c r="W829" s="138">
        <f t="shared" si="112"/>
        <v>3</v>
      </c>
      <c r="X829" s="138">
        <f t="shared" si="113"/>
        <v>1</v>
      </c>
      <c r="Y829" s="138">
        <f t="shared" si="114"/>
        <v>0</v>
      </c>
      <c r="Z829" s="138">
        <f t="shared" si="115"/>
        <v>3</v>
      </c>
      <c r="AA829" s="138">
        <f t="shared" si="116"/>
        <v>1</v>
      </c>
      <c r="AB829" s="127" t="s">
        <v>32</v>
      </c>
      <c r="AC829" s="127"/>
      <c r="AD829" s="127"/>
      <c r="AE829" s="130"/>
      <c r="AF829" s="136">
        <v>0</v>
      </c>
      <c r="AG829" s="136">
        <v>11.33</v>
      </c>
      <c r="AH829" s="136">
        <v>44.77</v>
      </c>
      <c r="AI829" s="136">
        <v>5.99</v>
      </c>
      <c r="AJ829" s="136">
        <v>3.67</v>
      </c>
      <c r="AK829" s="136">
        <v>0.49</v>
      </c>
      <c r="AL829" s="136">
        <v>3.31</v>
      </c>
      <c r="AM829" s="136">
        <v>69.56</v>
      </c>
      <c r="AN829" s="131"/>
      <c r="AO829" s="131"/>
      <c r="AP829" s="131"/>
      <c r="AQ829" s="131"/>
      <c r="AR829" s="131"/>
      <c r="AS829" s="131"/>
      <c r="AT829" s="131"/>
      <c r="AU829" s="91"/>
      <c r="AV829" s="91"/>
      <c r="AW829" s="131"/>
      <c r="AX829" s="131"/>
      <c r="AY829" s="131"/>
    </row>
    <row r="830" spans="1:51" ht="15" x14ac:dyDescent="0.25">
      <c r="A830" s="123"/>
      <c r="B830" s="124"/>
      <c r="C830" s="125">
        <v>914543</v>
      </c>
      <c r="D830" s="89"/>
      <c r="E830" s="86" t="s">
        <v>26</v>
      </c>
      <c r="F830" s="86" t="s">
        <v>418</v>
      </c>
      <c r="H830" s="126" t="s">
        <v>51</v>
      </c>
      <c r="I830" s="89">
        <v>1</v>
      </c>
      <c r="J830" s="127">
        <v>11287.5699</v>
      </c>
      <c r="K830" s="127">
        <v>68634.34</v>
      </c>
      <c r="L830" s="127">
        <v>5629.54</v>
      </c>
      <c r="M830" s="127">
        <v>0</v>
      </c>
      <c r="N830" s="127">
        <v>60535.34</v>
      </c>
      <c r="O830" s="127">
        <v>4966.54</v>
      </c>
      <c r="P830" s="128">
        <f t="shared" si="108"/>
        <v>0</v>
      </c>
      <c r="Q830" s="128">
        <f t="shared" si="109"/>
        <v>0.8819978453934284</v>
      </c>
      <c r="R830" s="128">
        <f t="shared" si="110"/>
        <v>0.88222838810986337</v>
      </c>
      <c r="S830" s="129">
        <v>0</v>
      </c>
      <c r="T830" s="129">
        <v>1</v>
      </c>
      <c r="U830" s="129">
        <v>1</v>
      </c>
      <c r="V830" s="138">
        <f t="shared" si="111"/>
        <v>3</v>
      </c>
      <c r="W830" s="138">
        <f t="shared" si="112"/>
        <v>3</v>
      </c>
      <c r="X830" s="138">
        <f t="shared" si="113"/>
        <v>1</v>
      </c>
      <c r="Y830" s="138">
        <f t="shared" si="114"/>
        <v>0</v>
      </c>
      <c r="Z830" s="138">
        <f t="shared" si="115"/>
        <v>3</v>
      </c>
      <c r="AA830" s="138">
        <f t="shared" si="116"/>
        <v>1</v>
      </c>
      <c r="AB830" s="127" t="s">
        <v>32</v>
      </c>
      <c r="AC830" s="127"/>
      <c r="AD830" s="127"/>
      <c r="AE830" s="130"/>
      <c r="AF830" s="136">
        <v>0</v>
      </c>
      <c r="AG830" s="136">
        <v>11.33</v>
      </c>
      <c r="AH830" s="136">
        <v>44.77</v>
      </c>
      <c r="AI830" s="136">
        <v>5.99</v>
      </c>
      <c r="AJ830" s="136">
        <v>3.67</v>
      </c>
      <c r="AK830" s="136">
        <v>0.49</v>
      </c>
      <c r="AL830" s="136">
        <v>3.31</v>
      </c>
      <c r="AM830" s="136">
        <v>69.56</v>
      </c>
      <c r="AN830" s="131"/>
      <c r="AO830" s="131"/>
      <c r="AP830" s="131"/>
      <c r="AQ830" s="131"/>
      <c r="AR830" s="131"/>
      <c r="AS830" s="131"/>
      <c r="AT830" s="131"/>
      <c r="AU830" s="91"/>
      <c r="AV830" s="91"/>
      <c r="AW830" s="131"/>
      <c r="AX830" s="131"/>
      <c r="AY830" s="131"/>
    </row>
    <row r="831" spans="1:51" ht="15" x14ac:dyDescent="0.25">
      <c r="A831" s="123"/>
      <c r="B831" s="124"/>
      <c r="C831" s="125">
        <v>958111</v>
      </c>
      <c r="D831" s="89"/>
      <c r="E831" s="86" t="s">
        <v>26</v>
      </c>
      <c r="F831" s="86" t="s">
        <v>418</v>
      </c>
      <c r="H831" s="126" t="s">
        <v>51</v>
      </c>
      <c r="I831" s="89">
        <v>1</v>
      </c>
      <c r="J831" s="127">
        <v>11287.5699</v>
      </c>
      <c r="K831" s="127">
        <v>68634.34</v>
      </c>
      <c r="L831" s="127">
        <v>5629.54</v>
      </c>
      <c r="M831" s="127">
        <v>0</v>
      </c>
      <c r="N831" s="127">
        <v>60535.34</v>
      </c>
      <c r="O831" s="127">
        <v>4966.54</v>
      </c>
      <c r="P831" s="128">
        <f t="shared" si="108"/>
        <v>0</v>
      </c>
      <c r="Q831" s="128">
        <f t="shared" si="109"/>
        <v>0.8819978453934284</v>
      </c>
      <c r="R831" s="128">
        <f t="shared" si="110"/>
        <v>0.88222838810986337</v>
      </c>
      <c r="S831" s="129">
        <v>0</v>
      </c>
      <c r="T831" s="129">
        <v>1</v>
      </c>
      <c r="U831" s="129">
        <v>1</v>
      </c>
      <c r="V831" s="138">
        <f t="shared" si="111"/>
        <v>3</v>
      </c>
      <c r="W831" s="138">
        <f t="shared" si="112"/>
        <v>3</v>
      </c>
      <c r="X831" s="138">
        <f t="shared" si="113"/>
        <v>1</v>
      </c>
      <c r="Y831" s="138">
        <f t="shared" si="114"/>
        <v>0</v>
      </c>
      <c r="Z831" s="138">
        <f t="shared" si="115"/>
        <v>3</v>
      </c>
      <c r="AA831" s="138">
        <f t="shared" si="116"/>
        <v>1</v>
      </c>
      <c r="AB831" s="127" t="s">
        <v>32</v>
      </c>
      <c r="AC831" s="127"/>
      <c r="AD831" s="127"/>
      <c r="AE831" s="130"/>
      <c r="AF831" s="136">
        <v>0</v>
      </c>
      <c r="AG831" s="136">
        <v>11.33</v>
      </c>
      <c r="AH831" s="136">
        <v>44.77</v>
      </c>
      <c r="AI831" s="136">
        <v>5.99</v>
      </c>
      <c r="AJ831" s="136">
        <v>3.67</v>
      </c>
      <c r="AK831" s="136">
        <v>0.49</v>
      </c>
      <c r="AL831" s="136">
        <v>3.31</v>
      </c>
      <c r="AM831" s="136">
        <v>69.56</v>
      </c>
      <c r="AN831" s="131"/>
      <c r="AO831" s="131"/>
      <c r="AP831" s="131"/>
      <c r="AQ831" s="131"/>
      <c r="AR831" s="131"/>
      <c r="AS831" s="131"/>
      <c r="AT831" s="131"/>
      <c r="AU831" s="91"/>
      <c r="AV831" s="91"/>
      <c r="AW831" s="131"/>
      <c r="AX831" s="131"/>
      <c r="AY831" s="131"/>
    </row>
    <row r="832" spans="1:51" ht="15" x14ac:dyDescent="0.25">
      <c r="A832" s="123"/>
      <c r="B832" s="124"/>
      <c r="C832" s="125">
        <v>963220</v>
      </c>
      <c r="D832" s="89"/>
      <c r="E832" s="86" t="s">
        <v>26</v>
      </c>
      <c r="F832" s="86" t="s">
        <v>418</v>
      </c>
      <c r="H832" s="126" t="s">
        <v>51</v>
      </c>
      <c r="I832" s="89">
        <v>1</v>
      </c>
      <c r="J832" s="127">
        <v>11287.5699</v>
      </c>
      <c r="K832" s="127">
        <v>68634.34</v>
      </c>
      <c r="L832" s="127">
        <v>5629.54</v>
      </c>
      <c r="M832" s="127">
        <v>0</v>
      </c>
      <c r="N832" s="127">
        <v>60535.34</v>
      </c>
      <c r="O832" s="127">
        <v>4966.54</v>
      </c>
      <c r="P832" s="128">
        <f t="shared" si="108"/>
        <v>0</v>
      </c>
      <c r="Q832" s="128">
        <f t="shared" si="109"/>
        <v>0.8819978453934284</v>
      </c>
      <c r="R832" s="128">
        <f t="shared" si="110"/>
        <v>0.88222838810986337</v>
      </c>
      <c r="S832" s="129">
        <v>0</v>
      </c>
      <c r="T832" s="129">
        <v>1</v>
      </c>
      <c r="U832" s="129">
        <v>1</v>
      </c>
      <c r="V832" s="138">
        <f t="shared" si="111"/>
        <v>3</v>
      </c>
      <c r="W832" s="138">
        <f t="shared" si="112"/>
        <v>3</v>
      </c>
      <c r="X832" s="138">
        <f t="shared" si="113"/>
        <v>1</v>
      </c>
      <c r="Y832" s="138">
        <f t="shared" si="114"/>
        <v>0</v>
      </c>
      <c r="Z832" s="138">
        <f t="shared" si="115"/>
        <v>3</v>
      </c>
      <c r="AA832" s="138">
        <f t="shared" si="116"/>
        <v>1</v>
      </c>
      <c r="AB832" s="127" t="s">
        <v>32</v>
      </c>
      <c r="AC832" s="127"/>
      <c r="AD832" s="127"/>
      <c r="AE832" s="130"/>
      <c r="AF832" s="136">
        <v>0</v>
      </c>
      <c r="AG832" s="136">
        <v>11.33</v>
      </c>
      <c r="AH832" s="136">
        <v>44.77</v>
      </c>
      <c r="AI832" s="136">
        <v>5.99</v>
      </c>
      <c r="AJ832" s="136">
        <v>3.67</v>
      </c>
      <c r="AK832" s="136">
        <v>0.49</v>
      </c>
      <c r="AL832" s="136">
        <v>3.31</v>
      </c>
      <c r="AM832" s="136">
        <v>69.56</v>
      </c>
      <c r="AN832" s="131"/>
      <c r="AO832" s="131"/>
      <c r="AP832" s="131"/>
      <c r="AQ832" s="131"/>
      <c r="AR832" s="131"/>
      <c r="AS832" s="131"/>
      <c r="AT832" s="131"/>
      <c r="AU832" s="91"/>
      <c r="AV832" s="91"/>
      <c r="AW832" s="131"/>
      <c r="AX832" s="131"/>
      <c r="AY832" s="131"/>
    </row>
    <row r="833" spans="1:51" ht="15" x14ac:dyDescent="0.25">
      <c r="A833" s="123"/>
      <c r="B833" s="124"/>
      <c r="C833" s="125">
        <v>967405</v>
      </c>
      <c r="D833" s="89"/>
      <c r="E833" s="86" t="s">
        <v>26</v>
      </c>
      <c r="F833" s="86" t="s">
        <v>418</v>
      </c>
      <c r="H833" s="126" t="s">
        <v>51</v>
      </c>
      <c r="I833" s="89">
        <v>1</v>
      </c>
      <c r="J833" s="127">
        <v>11287.5699</v>
      </c>
      <c r="K833" s="127">
        <v>68634.34</v>
      </c>
      <c r="L833" s="127">
        <v>5629.54</v>
      </c>
      <c r="M833" s="127">
        <v>0</v>
      </c>
      <c r="N833" s="127">
        <v>60535.34</v>
      </c>
      <c r="O833" s="127">
        <v>4966.54</v>
      </c>
      <c r="P833" s="128">
        <f t="shared" si="108"/>
        <v>0</v>
      </c>
      <c r="Q833" s="128">
        <f t="shared" si="109"/>
        <v>0.8819978453934284</v>
      </c>
      <c r="R833" s="128">
        <f t="shared" si="110"/>
        <v>0.88222838810986337</v>
      </c>
      <c r="S833" s="129">
        <v>0</v>
      </c>
      <c r="T833" s="129">
        <v>1</v>
      </c>
      <c r="U833" s="129">
        <v>1</v>
      </c>
      <c r="V833" s="138">
        <f t="shared" si="111"/>
        <v>3</v>
      </c>
      <c r="W833" s="138">
        <f t="shared" si="112"/>
        <v>3</v>
      </c>
      <c r="X833" s="138">
        <f t="shared" si="113"/>
        <v>1</v>
      </c>
      <c r="Y833" s="138">
        <f t="shared" si="114"/>
        <v>0</v>
      </c>
      <c r="Z833" s="138">
        <f t="shared" si="115"/>
        <v>3</v>
      </c>
      <c r="AA833" s="138">
        <f t="shared" si="116"/>
        <v>1</v>
      </c>
      <c r="AB833" s="127" t="s">
        <v>32</v>
      </c>
      <c r="AC833" s="127"/>
      <c r="AD833" s="127"/>
      <c r="AE833" s="130"/>
      <c r="AF833" s="136">
        <v>0</v>
      </c>
      <c r="AG833" s="136">
        <v>11.33</v>
      </c>
      <c r="AH833" s="136">
        <v>44.77</v>
      </c>
      <c r="AI833" s="136">
        <v>5.99</v>
      </c>
      <c r="AJ833" s="136">
        <v>3.67</v>
      </c>
      <c r="AK833" s="136">
        <v>0.49</v>
      </c>
      <c r="AL833" s="136">
        <v>3.31</v>
      </c>
      <c r="AM833" s="136">
        <v>69.56</v>
      </c>
      <c r="AN833" s="131"/>
      <c r="AO833" s="131"/>
      <c r="AP833" s="131"/>
      <c r="AQ833" s="131"/>
      <c r="AR833" s="131"/>
      <c r="AS833" s="131"/>
      <c r="AT833" s="131"/>
      <c r="AU833" s="91"/>
      <c r="AV833" s="91"/>
      <c r="AW833" s="131"/>
      <c r="AX833" s="131"/>
      <c r="AY833" s="131"/>
    </row>
    <row r="834" spans="1:51" ht="15" x14ac:dyDescent="0.25">
      <c r="A834" s="123"/>
      <c r="B834" s="124"/>
      <c r="C834" s="125">
        <v>982839</v>
      </c>
      <c r="D834" s="89"/>
      <c r="E834" s="86" t="s">
        <v>26</v>
      </c>
      <c r="F834" s="86" t="s">
        <v>418</v>
      </c>
      <c r="H834" s="126" t="s">
        <v>51</v>
      </c>
      <c r="I834" s="89">
        <v>1</v>
      </c>
      <c r="J834" s="127">
        <v>11287.5699</v>
      </c>
      <c r="K834" s="127">
        <v>68634.34</v>
      </c>
      <c r="L834" s="127">
        <v>5629.54</v>
      </c>
      <c r="M834" s="127">
        <v>0</v>
      </c>
      <c r="N834" s="127">
        <v>60535.34</v>
      </c>
      <c r="O834" s="127">
        <v>4966.54</v>
      </c>
      <c r="P834" s="128">
        <f t="shared" si="108"/>
        <v>0</v>
      </c>
      <c r="Q834" s="128">
        <f t="shared" si="109"/>
        <v>0.8819978453934284</v>
      </c>
      <c r="R834" s="128">
        <f t="shared" si="110"/>
        <v>0.88222838810986337</v>
      </c>
      <c r="S834" s="129">
        <v>0</v>
      </c>
      <c r="T834" s="129">
        <v>1</v>
      </c>
      <c r="U834" s="129">
        <v>1</v>
      </c>
      <c r="V834" s="138">
        <f t="shared" si="111"/>
        <v>3</v>
      </c>
      <c r="W834" s="138">
        <f t="shared" si="112"/>
        <v>3</v>
      </c>
      <c r="X834" s="138">
        <f t="shared" si="113"/>
        <v>1</v>
      </c>
      <c r="Y834" s="138">
        <f t="shared" si="114"/>
        <v>0</v>
      </c>
      <c r="Z834" s="138">
        <f t="shared" si="115"/>
        <v>3</v>
      </c>
      <c r="AA834" s="138">
        <f t="shared" si="116"/>
        <v>1</v>
      </c>
      <c r="AB834" s="127" t="s">
        <v>32</v>
      </c>
      <c r="AC834" s="127"/>
      <c r="AD834" s="127"/>
      <c r="AE834" s="130"/>
      <c r="AF834" s="136">
        <v>0</v>
      </c>
      <c r="AG834" s="136">
        <v>11.33</v>
      </c>
      <c r="AH834" s="136">
        <v>44.77</v>
      </c>
      <c r="AI834" s="136">
        <v>5.99</v>
      </c>
      <c r="AJ834" s="136">
        <v>3.67</v>
      </c>
      <c r="AK834" s="136">
        <v>0.49</v>
      </c>
      <c r="AL834" s="136">
        <v>3.31</v>
      </c>
      <c r="AM834" s="136">
        <v>69.56</v>
      </c>
      <c r="AN834" s="131"/>
      <c r="AO834" s="131"/>
      <c r="AP834" s="131"/>
      <c r="AQ834" s="131"/>
      <c r="AR834" s="131"/>
      <c r="AS834" s="131"/>
      <c r="AT834" s="131"/>
      <c r="AU834" s="91"/>
      <c r="AV834" s="91"/>
      <c r="AW834" s="131"/>
      <c r="AX834" s="131"/>
      <c r="AY834" s="131"/>
    </row>
    <row r="835" spans="1:51" ht="15" x14ac:dyDescent="0.25">
      <c r="A835" s="123"/>
      <c r="B835" s="124"/>
      <c r="C835" s="125">
        <v>996069</v>
      </c>
      <c r="D835" s="89"/>
      <c r="E835" s="86" t="s">
        <v>26</v>
      </c>
      <c r="F835" s="86" t="s">
        <v>418</v>
      </c>
      <c r="H835" s="126" t="s">
        <v>51</v>
      </c>
      <c r="I835" s="89">
        <v>3</v>
      </c>
      <c r="J835" s="127">
        <v>11287.5699</v>
      </c>
      <c r="K835" s="127">
        <v>68634.34</v>
      </c>
      <c r="L835" s="127">
        <v>5629.54</v>
      </c>
      <c r="M835" s="127">
        <v>0</v>
      </c>
      <c r="N835" s="127">
        <v>60535.34</v>
      </c>
      <c r="O835" s="127">
        <v>4966.54</v>
      </c>
      <c r="P835" s="128">
        <f t="shared" si="108"/>
        <v>0</v>
      </c>
      <c r="Q835" s="128">
        <f t="shared" si="109"/>
        <v>0.8819978453934284</v>
      </c>
      <c r="R835" s="128">
        <f t="shared" si="110"/>
        <v>0.88222838810986337</v>
      </c>
      <c r="S835" s="129">
        <v>0</v>
      </c>
      <c r="T835" s="129">
        <v>0</v>
      </c>
      <c r="U835" s="129">
        <v>0</v>
      </c>
      <c r="V835" s="138">
        <f t="shared" si="111"/>
        <v>5</v>
      </c>
      <c r="W835" s="138">
        <f t="shared" si="112"/>
        <v>5</v>
      </c>
      <c r="X835" s="138">
        <f t="shared" si="113"/>
        <v>3</v>
      </c>
      <c r="Y835" s="138">
        <f t="shared" si="114"/>
        <v>0</v>
      </c>
      <c r="Z835" s="138">
        <f t="shared" si="115"/>
        <v>0</v>
      </c>
      <c r="AA835" s="138">
        <f t="shared" si="116"/>
        <v>0</v>
      </c>
      <c r="AB835" s="127" t="s">
        <v>32</v>
      </c>
      <c r="AC835" s="127"/>
      <c r="AD835" s="127"/>
      <c r="AE835" s="130"/>
      <c r="AF835" s="136">
        <v>0</v>
      </c>
      <c r="AG835" s="136">
        <v>0</v>
      </c>
      <c r="AH835" s="136">
        <v>0</v>
      </c>
      <c r="AI835" s="136">
        <v>0</v>
      </c>
      <c r="AJ835" s="136">
        <v>0</v>
      </c>
      <c r="AK835" s="136">
        <v>0</v>
      </c>
      <c r="AL835" s="136">
        <v>0</v>
      </c>
      <c r="AM835" s="136">
        <v>0</v>
      </c>
      <c r="AN835" s="131"/>
      <c r="AO835" s="131"/>
      <c r="AP835" s="131"/>
      <c r="AQ835" s="131"/>
      <c r="AR835" s="131"/>
      <c r="AS835" s="131"/>
      <c r="AT835" s="131"/>
      <c r="AU835" s="91"/>
      <c r="AV835" s="91"/>
      <c r="AW835" s="131"/>
      <c r="AX835" s="131"/>
      <c r="AY835" s="131"/>
    </row>
    <row r="836" spans="1:51" ht="15" x14ac:dyDescent="0.25">
      <c r="A836" s="123"/>
      <c r="B836" s="124"/>
      <c r="C836" s="125">
        <v>65386</v>
      </c>
      <c r="D836" s="89"/>
      <c r="E836" s="86" t="s">
        <v>8</v>
      </c>
      <c r="F836" s="86" t="s">
        <v>418</v>
      </c>
      <c r="H836" s="126" t="s">
        <v>51</v>
      </c>
      <c r="I836" s="89">
        <v>2</v>
      </c>
      <c r="J836" s="127">
        <v>33077.549899999998</v>
      </c>
      <c r="K836" s="127">
        <v>71305.010000000009</v>
      </c>
      <c r="L836" s="127">
        <v>7087.7139999999999</v>
      </c>
      <c r="M836" s="127">
        <v>26747.549899999998</v>
      </c>
      <c r="N836" s="127">
        <v>61960.010000000009</v>
      </c>
      <c r="O836" s="127">
        <v>6322.7139999999999</v>
      </c>
      <c r="P836" s="128">
        <f t="shared" si="108"/>
        <v>0.80863153349819294</v>
      </c>
      <c r="Q836" s="128">
        <f t="shared" si="109"/>
        <v>0.86894329024005468</v>
      </c>
      <c r="R836" s="128">
        <f t="shared" si="110"/>
        <v>0.89206675100039312</v>
      </c>
      <c r="S836" s="129">
        <v>1</v>
      </c>
      <c r="T836" s="129">
        <v>1</v>
      </c>
      <c r="U836" s="129">
        <v>1</v>
      </c>
      <c r="V836" s="138">
        <f t="shared" si="111"/>
        <v>4</v>
      </c>
      <c r="W836" s="138">
        <f t="shared" si="112"/>
        <v>4</v>
      </c>
      <c r="X836" s="138">
        <f t="shared" si="113"/>
        <v>2</v>
      </c>
      <c r="Y836" s="138">
        <f t="shared" si="114"/>
        <v>4</v>
      </c>
      <c r="Z836" s="138">
        <f t="shared" si="115"/>
        <v>4</v>
      </c>
      <c r="AA836" s="138">
        <f t="shared" si="116"/>
        <v>1</v>
      </c>
      <c r="AB836" s="127" t="s">
        <v>32</v>
      </c>
      <c r="AC836" s="127" t="s">
        <v>31</v>
      </c>
      <c r="AD836" s="127"/>
      <c r="AE836" s="130"/>
      <c r="AF836" s="136">
        <v>21.43</v>
      </c>
      <c r="AG836" s="136">
        <v>4.0599999999999996</v>
      </c>
      <c r="AH836" s="136">
        <v>49.65</v>
      </c>
      <c r="AI836" s="136">
        <v>5.99</v>
      </c>
      <c r="AJ836" s="136">
        <v>4.05</v>
      </c>
      <c r="AK836" s="136">
        <v>0.49</v>
      </c>
      <c r="AL836" s="136">
        <v>3.31</v>
      </c>
      <c r="AM836" s="136">
        <v>88.97999999999999</v>
      </c>
      <c r="AN836" s="131"/>
      <c r="AO836" s="131"/>
      <c r="AP836" s="131"/>
      <c r="AQ836" s="131"/>
      <c r="AR836" s="131"/>
      <c r="AS836" s="131"/>
      <c r="AT836" s="131"/>
      <c r="AU836" s="91"/>
      <c r="AV836" s="91"/>
      <c r="AW836" s="131"/>
      <c r="AX836" s="131"/>
      <c r="AY836" s="131"/>
    </row>
    <row r="837" spans="1:51" ht="15" x14ac:dyDescent="0.25">
      <c r="A837" s="123"/>
      <c r="B837" s="124"/>
      <c r="C837" s="125">
        <v>80840</v>
      </c>
      <c r="D837" s="89"/>
      <c r="E837" s="86" t="s">
        <v>8</v>
      </c>
      <c r="F837" s="86" t="s">
        <v>418</v>
      </c>
      <c r="H837" s="126" t="s">
        <v>51</v>
      </c>
      <c r="I837" s="89">
        <v>1</v>
      </c>
      <c r="J837" s="127">
        <v>33077.549899999998</v>
      </c>
      <c r="K837" s="127">
        <v>71305.010000000009</v>
      </c>
      <c r="L837" s="127">
        <v>7087.7139999999999</v>
      </c>
      <c r="M837" s="127">
        <v>26747.549899999998</v>
      </c>
      <c r="N837" s="127">
        <v>61960.010000000009</v>
      </c>
      <c r="O837" s="127">
        <v>6322.7139999999999</v>
      </c>
      <c r="P837" s="128">
        <f t="shared" si="108"/>
        <v>0.80863153349819294</v>
      </c>
      <c r="Q837" s="128">
        <f t="shared" si="109"/>
        <v>0.86894329024005468</v>
      </c>
      <c r="R837" s="128">
        <f t="shared" si="110"/>
        <v>0.89206675100039312</v>
      </c>
      <c r="S837" s="129">
        <v>1</v>
      </c>
      <c r="T837" s="129">
        <v>1</v>
      </c>
      <c r="U837" s="129">
        <v>1</v>
      </c>
      <c r="V837" s="138">
        <f t="shared" si="111"/>
        <v>3</v>
      </c>
      <c r="W837" s="138">
        <f t="shared" si="112"/>
        <v>3</v>
      </c>
      <c r="X837" s="138">
        <f t="shared" si="113"/>
        <v>1</v>
      </c>
      <c r="Y837" s="138">
        <f t="shared" si="114"/>
        <v>3</v>
      </c>
      <c r="Z837" s="138">
        <f t="shared" si="115"/>
        <v>3</v>
      </c>
      <c r="AA837" s="138">
        <f t="shared" si="116"/>
        <v>1</v>
      </c>
      <c r="AB837" s="127" t="s">
        <v>32</v>
      </c>
      <c r="AC837" s="127" t="s">
        <v>31</v>
      </c>
      <c r="AD837" s="127"/>
      <c r="AE837" s="130"/>
      <c r="AF837" s="136">
        <v>16.07</v>
      </c>
      <c r="AG837" s="136">
        <v>4.0599999999999996</v>
      </c>
      <c r="AH837" s="136">
        <v>37.24</v>
      </c>
      <c r="AI837" s="136">
        <v>5.99</v>
      </c>
      <c r="AJ837" s="136">
        <v>4.05</v>
      </c>
      <c r="AK837" s="136">
        <v>0.49</v>
      </c>
      <c r="AL837" s="136">
        <v>3.31</v>
      </c>
      <c r="AM837" s="136">
        <v>71.210000000000008</v>
      </c>
      <c r="AN837" s="131"/>
      <c r="AO837" s="131"/>
      <c r="AP837" s="131"/>
      <c r="AQ837" s="131"/>
      <c r="AR837" s="131"/>
      <c r="AS837" s="131"/>
      <c r="AT837" s="131"/>
      <c r="AU837" s="91"/>
      <c r="AV837" s="91"/>
      <c r="AW837" s="131"/>
      <c r="AX837" s="131"/>
      <c r="AY837" s="131"/>
    </row>
    <row r="838" spans="1:51" ht="15" x14ac:dyDescent="0.25">
      <c r="A838" s="123"/>
      <c r="B838" s="124"/>
      <c r="C838" s="125">
        <v>127585</v>
      </c>
      <c r="D838" s="89"/>
      <c r="E838" s="86" t="s">
        <v>8</v>
      </c>
      <c r="F838" s="86" t="s">
        <v>418</v>
      </c>
      <c r="H838" s="126" t="s">
        <v>51</v>
      </c>
      <c r="I838" s="89">
        <v>1</v>
      </c>
      <c r="J838" s="127">
        <v>33077.549899999998</v>
      </c>
      <c r="K838" s="127">
        <v>71305.010000000009</v>
      </c>
      <c r="L838" s="127">
        <v>7087.7139999999999</v>
      </c>
      <c r="M838" s="127">
        <v>26747.549899999998</v>
      </c>
      <c r="N838" s="127">
        <v>61960.010000000009</v>
      </c>
      <c r="O838" s="127">
        <v>6322.7139999999999</v>
      </c>
      <c r="P838" s="128">
        <f t="shared" ref="P838:P870" si="117">M838/J838</f>
        <v>0.80863153349819294</v>
      </c>
      <c r="Q838" s="128">
        <f t="shared" ref="Q838:Q870" si="118">N838/K838</f>
        <v>0.86894329024005468</v>
      </c>
      <c r="R838" s="128">
        <f t="shared" ref="R838:R870" si="119">O838/L838</f>
        <v>0.89206675100039312</v>
      </c>
      <c r="S838" s="129">
        <v>1</v>
      </c>
      <c r="T838" s="129">
        <v>1</v>
      </c>
      <c r="U838" s="129">
        <v>1</v>
      </c>
      <c r="V838" s="138">
        <f t="shared" ref="V838:V870" si="120">I838+2</f>
        <v>3</v>
      </c>
      <c r="W838" s="138">
        <f t="shared" ref="W838:W870" si="121">I838+2</f>
        <v>3</v>
      </c>
      <c r="X838" s="138">
        <f t="shared" ref="X838:X870" si="122">I838</f>
        <v>1</v>
      </c>
      <c r="Y838" s="138">
        <f t="shared" ref="Y838:Y870" si="123">IF(S838=0,0,V838)</f>
        <v>3</v>
      </c>
      <c r="Z838" s="138">
        <f t="shared" ref="Z838:Z870" si="124">IF(T838=0,0,W838)</f>
        <v>3</v>
      </c>
      <c r="AA838" s="138">
        <f t="shared" ref="AA838:AA870" si="125">IF(U838=0,0,1)</f>
        <v>1</v>
      </c>
      <c r="AB838" s="127" t="s">
        <v>32</v>
      </c>
      <c r="AC838" s="127" t="s">
        <v>31</v>
      </c>
      <c r="AD838" s="127"/>
      <c r="AE838" s="130"/>
      <c r="AF838" s="136">
        <v>16.07</v>
      </c>
      <c r="AG838" s="136">
        <v>4.0599999999999996</v>
      </c>
      <c r="AH838" s="136">
        <v>37.24</v>
      </c>
      <c r="AI838" s="136">
        <v>5.99</v>
      </c>
      <c r="AJ838" s="136">
        <v>4.05</v>
      </c>
      <c r="AK838" s="136">
        <v>0.49</v>
      </c>
      <c r="AL838" s="136">
        <v>3.31</v>
      </c>
      <c r="AM838" s="136">
        <v>71.210000000000008</v>
      </c>
      <c r="AN838" s="131"/>
      <c r="AO838" s="131"/>
      <c r="AP838" s="131"/>
      <c r="AQ838" s="131"/>
      <c r="AR838" s="131"/>
      <c r="AS838" s="131"/>
      <c r="AT838" s="131"/>
      <c r="AU838" s="91"/>
      <c r="AV838" s="91"/>
      <c r="AW838" s="131"/>
      <c r="AX838" s="131"/>
      <c r="AY838" s="131"/>
    </row>
    <row r="839" spans="1:51" ht="15" x14ac:dyDescent="0.25">
      <c r="A839" s="123"/>
      <c r="B839" s="124"/>
      <c r="C839" s="125">
        <v>197199</v>
      </c>
      <c r="D839" s="89"/>
      <c r="E839" s="86" t="s">
        <v>8</v>
      </c>
      <c r="F839" s="86" t="s">
        <v>418</v>
      </c>
      <c r="H839" s="126" t="s">
        <v>51</v>
      </c>
      <c r="I839" s="89">
        <v>1</v>
      </c>
      <c r="J839" s="127">
        <v>33077.549899999998</v>
      </c>
      <c r="K839" s="127">
        <v>71305.010000000009</v>
      </c>
      <c r="L839" s="127">
        <v>7087.7139999999999</v>
      </c>
      <c r="M839" s="127">
        <v>26747.549899999998</v>
      </c>
      <c r="N839" s="127">
        <v>61960.010000000009</v>
      </c>
      <c r="O839" s="127">
        <v>6322.7139999999999</v>
      </c>
      <c r="P839" s="128">
        <f t="shared" si="117"/>
        <v>0.80863153349819294</v>
      </c>
      <c r="Q839" s="128">
        <f t="shared" si="118"/>
        <v>0.86894329024005468</v>
      </c>
      <c r="R839" s="128">
        <f t="shared" si="119"/>
        <v>0.89206675100039312</v>
      </c>
      <c r="S839" s="129">
        <v>1</v>
      </c>
      <c r="T839" s="129">
        <v>1</v>
      </c>
      <c r="U839" s="129">
        <v>1</v>
      </c>
      <c r="V839" s="138">
        <f t="shared" si="120"/>
        <v>3</v>
      </c>
      <c r="W839" s="138">
        <f t="shared" si="121"/>
        <v>3</v>
      </c>
      <c r="X839" s="138">
        <f t="shared" si="122"/>
        <v>1</v>
      </c>
      <c r="Y839" s="138">
        <f t="shared" si="123"/>
        <v>3</v>
      </c>
      <c r="Z839" s="138">
        <f t="shared" si="124"/>
        <v>3</v>
      </c>
      <c r="AA839" s="138">
        <f t="shared" si="125"/>
        <v>1</v>
      </c>
      <c r="AB839" s="127" t="s">
        <v>32</v>
      </c>
      <c r="AC839" s="127" t="s">
        <v>31</v>
      </c>
      <c r="AD839" s="127"/>
      <c r="AE839" s="130"/>
      <c r="AF839" s="136">
        <v>16.07</v>
      </c>
      <c r="AG839" s="136">
        <v>4.0599999999999996</v>
      </c>
      <c r="AH839" s="136">
        <v>37.24</v>
      </c>
      <c r="AI839" s="136">
        <v>5.99</v>
      </c>
      <c r="AJ839" s="136">
        <v>4.05</v>
      </c>
      <c r="AK839" s="136">
        <v>0.49</v>
      </c>
      <c r="AL839" s="136">
        <v>3.31</v>
      </c>
      <c r="AM839" s="136">
        <v>71.210000000000008</v>
      </c>
      <c r="AN839" s="131"/>
      <c r="AO839" s="131"/>
      <c r="AP839" s="131"/>
      <c r="AQ839" s="131"/>
      <c r="AR839" s="131"/>
      <c r="AS839" s="131"/>
      <c r="AT839" s="131"/>
      <c r="AU839" s="91"/>
      <c r="AV839" s="91"/>
      <c r="AW839" s="131"/>
      <c r="AX839" s="131"/>
      <c r="AY839" s="131"/>
    </row>
    <row r="840" spans="1:51" ht="15" x14ac:dyDescent="0.25">
      <c r="A840" s="123"/>
      <c r="B840" s="124"/>
      <c r="C840" s="125">
        <v>220727</v>
      </c>
      <c r="D840" s="89"/>
      <c r="E840" s="86" t="s">
        <v>8</v>
      </c>
      <c r="F840" s="86" t="s">
        <v>418</v>
      </c>
      <c r="H840" s="126" t="s">
        <v>51</v>
      </c>
      <c r="I840" s="89">
        <v>1</v>
      </c>
      <c r="J840" s="127">
        <v>33077.549899999998</v>
      </c>
      <c r="K840" s="127">
        <v>71305.010000000009</v>
      </c>
      <c r="L840" s="127">
        <v>7087.7139999999999</v>
      </c>
      <c r="M840" s="127">
        <v>26747.549899999998</v>
      </c>
      <c r="N840" s="127">
        <v>61960.010000000009</v>
      </c>
      <c r="O840" s="127">
        <v>6322.7139999999999</v>
      </c>
      <c r="P840" s="128">
        <f t="shared" si="117"/>
        <v>0.80863153349819294</v>
      </c>
      <c r="Q840" s="128">
        <f t="shared" si="118"/>
        <v>0.86894329024005468</v>
      </c>
      <c r="R840" s="128">
        <f t="shared" si="119"/>
        <v>0.89206675100039312</v>
      </c>
      <c r="S840" s="129">
        <v>1</v>
      </c>
      <c r="T840" s="129">
        <v>1</v>
      </c>
      <c r="U840" s="129">
        <v>1</v>
      </c>
      <c r="V840" s="138">
        <f t="shared" si="120"/>
        <v>3</v>
      </c>
      <c r="W840" s="138">
        <f t="shared" si="121"/>
        <v>3</v>
      </c>
      <c r="X840" s="138">
        <f t="shared" si="122"/>
        <v>1</v>
      </c>
      <c r="Y840" s="138">
        <f t="shared" si="123"/>
        <v>3</v>
      </c>
      <c r="Z840" s="138">
        <f t="shared" si="124"/>
        <v>3</v>
      </c>
      <c r="AA840" s="138">
        <f t="shared" si="125"/>
        <v>1</v>
      </c>
      <c r="AB840" s="127" t="s">
        <v>32</v>
      </c>
      <c r="AC840" s="127" t="s">
        <v>31</v>
      </c>
      <c r="AD840" s="127"/>
      <c r="AE840" s="130"/>
      <c r="AF840" s="136">
        <v>16.07</v>
      </c>
      <c r="AG840" s="136">
        <v>4.0599999999999996</v>
      </c>
      <c r="AH840" s="136">
        <v>37.24</v>
      </c>
      <c r="AI840" s="136">
        <v>5.99</v>
      </c>
      <c r="AJ840" s="136">
        <v>4.05</v>
      </c>
      <c r="AK840" s="136">
        <v>0.49</v>
      </c>
      <c r="AL840" s="136">
        <v>3.31</v>
      </c>
      <c r="AM840" s="136">
        <v>71.210000000000008</v>
      </c>
      <c r="AN840" s="131"/>
      <c r="AO840" s="131"/>
      <c r="AP840" s="131"/>
      <c r="AQ840" s="131"/>
      <c r="AR840" s="131"/>
      <c r="AS840" s="131"/>
      <c r="AT840" s="131"/>
      <c r="AU840" s="91"/>
      <c r="AV840" s="91"/>
      <c r="AW840" s="131"/>
      <c r="AX840" s="131"/>
      <c r="AY840" s="131"/>
    </row>
    <row r="841" spans="1:51" ht="15" x14ac:dyDescent="0.25">
      <c r="A841" s="123"/>
      <c r="B841" s="124"/>
      <c r="C841" s="125">
        <v>283462</v>
      </c>
      <c r="D841" s="89"/>
      <c r="E841" s="86" t="s">
        <v>8</v>
      </c>
      <c r="F841" s="86" t="s">
        <v>418</v>
      </c>
      <c r="H841" s="126" t="s">
        <v>51</v>
      </c>
      <c r="I841" s="89">
        <v>1</v>
      </c>
      <c r="J841" s="127">
        <v>33077.549899999998</v>
      </c>
      <c r="K841" s="127">
        <v>71305.010000000009</v>
      </c>
      <c r="L841" s="127">
        <v>7087.7139999999999</v>
      </c>
      <c r="M841" s="127">
        <v>26747.549899999998</v>
      </c>
      <c r="N841" s="127">
        <v>61960.010000000009</v>
      </c>
      <c r="O841" s="127">
        <v>6322.7139999999999</v>
      </c>
      <c r="P841" s="128">
        <f t="shared" si="117"/>
        <v>0.80863153349819294</v>
      </c>
      <c r="Q841" s="128">
        <f t="shared" si="118"/>
        <v>0.86894329024005468</v>
      </c>
      <c r="R841" s="128">
        <f t="shared" si="119"/>
        <v>0.89206675100039312</v>
      </c>
      <c r="S841" s="129">
        <v>1</v>
      </c>
      <c r="T841" s="129">
        <v>1</v>
      </c>
      <c r="U841" s="129">
        <v>1</v>
      </c>
      <c r="V841" s="138">
        <f t="shared" si="120"/>
        <v>3</v>
      </c>
      <c r="W841" s="138">
        <f t="shared" si="121"/>
        <v>3</v>
      </c>
      <c r="X841" s="138">
        <f t="shared" si="122"/>
        <v>1</v>
      </c>
      <c r="Y841" s="138">
        <f t="shared" si="123"/>
        <v>3</v>
      </c>
      <c r="Z841" s="138">
        <f t="shared" si="124"/>
        <v>3</v>
      </c>
      <c r="AA841" s="138">
        <f t="shared" si="125"/>
        <v>1</v>
      </c>
      <c r="AB841" s="127" t="s">
        <v>32</v>
      </c>
      <c r="AC841" s="127" t="s">
        <v>31</v>
      </c>
      <c r="AD841" s="127"/>
      <c r="AE841" s="130"/>
      <c r="AF841" s="136">
        <v>16.07</v>
      </c>
      <c r="AG841" s="136">
        <v>4.0599999999999996</v>
      </c>
      <c r="AH841" s="136">
        <v>37.24</v>
      </c>
      <c r="AI841" s="136">
        <v>5.99</v>
      </c>
      <c r="AJ841" s="136">
        <v>4.05</v>
      </c>
      <c r="AK841" s="136">
        <v>0.49</v>
      </c>
      <c r="AL841" s="136">
        <v>3.31</v>
      </c>
      <c r="AM841" s="136">
        <v>71.210000000000008</v>
      </c>
      <c r="AN841" s="131"/>
      <c r="AO841" s="131"/>
      <c r="AP841" s="131"/>
      <c r="AQ841" s="131"/>
      <c r="AR841" s="131"/>
      <c r="AS841" s="131"/>
      <c r="AT841" s="131"/>
      <c r="AU841" s="91"/>
      <c r="AV841" s="91"/>
      <c r="AW841" s="131"/>
      <c r="AX841" s="131"/>
      <c r="AY841" s="131"/>
    </row>
    <row r="842" spans="1:51" ht="15" x14ac:dyDescent="0.25">
      <c r="A842" s="123"/>
      <c r="B842" s="124"/>
      <c r="C842" s="125">
        <v>296645</v>
      </c>
      <c r="D842" s="89"/>
      <c r="E842" s="86" t="s">
        <v>8</v>
      </c>
      <c r="F842" s="86" t="s">
        <v>418</v>
      </c>
      <c r="H842" s="126" t="s">
        <v>51</v>
      </c>
      <c r="I842" s="89">
        <v>2</v>
      </c>
      <c r="J842" s="127">
        <v>33077.549899999998</v>
      </c>
      <c r="K842" s="127">
        <v>71305.010000000009</v>
      </c>
      <c r="L842" s="127">
        <v>7087.7139999999999</v>
      </c>
      <c r="M842" s="127">
        <v>26747.549899999998</v>
      </c>
      <c r="N842" s="127">
        <v>61960.010000000009</v>
      </c>
      <c r="O842" s="127">
        <v>6322.7139999999999</v>
      </c>
      <c r="P842" s="128">
        <f t="shared" si="117"/>
        <v>0.80863153349819294</v>
      </c>
      <c r="Q842" s="128">
        <f t="shared" si="118"/>
        <v>0.86894329024005468</v>
      </c>
      <c r="R842" s="128">
        <f t="shared" si="119"/>
        <v>0.89206675100039312</v>
      </c>
      <c r="S842" s="129">
        <v>1</v>
      </c>
      <c r="T842" s="129">
        <v>1</v>
      </c>
      <c r="U842" s="129">
        <v>1</v>
      </c>
      <c r="V842" s="138">
        <f t="shared" si="120"/>
        <v>4</v>
      </c>
      <c r="W842" s="138">
        <f t="shared" si="121"/>
        <v>4</v>
      </c>
      <c r="X842" s="138">
        <f t="shared" si="122"/>
        <v>2</v>
      </c>
      <c r="Y842" s="138">
        <f t="shared" si="123"/>
        <v>4</v>
      </c>
      <c r="Z842" s="138">
        <f t="shared" si="124"/>
        <v>4</v>
      </c>
      <c r="AA842" s="138">
        <f t="shared" si="125"/>
        <v>1</v>
      </c>
      <c r="AB842" s="127" t="s">
        <v>32</v>
      </c>
      <c r="AC842" s="127" t="s">
        <v>31</v>
      </c>
      <c r="AD842" s="127"/>
      <c r="AE842" s="130"/>
      <c r="AF842" s="136">
        <v>21.43</v>
      </c>
      <c r="AG842" s="136">
        <v>4.0599999999999996</v>
      </c>
      <c r="AH842" s="136">
        <v>49.65</v>
      </c>
      <c r="AI842" s="136">
        <v>5.99</v>
      </c>
      <c r="AJ842" s="136">
        <v>4.05</v>
      </c>
      <c r="AK842" s="136">
        <v>0.49</v>
      </c>
      <c r="AL842" s="136">
        <v>3.31</v>
      </c>
      <c r="AM842" s="136">
        <v>88.97999999999999</v>
      </c>
      <c r="AN842" s="131"/>
      <c r="AO842" s="131"/>
      <c r="AP842" s="131"/>
      <c r="AQ842" s="131"/>
      <c r="AR842" s="131"/>
      <c r="AS842" s="131"/>
      <c r="AT842" s="131"/>
      <c r="AU842" s="91"/>
      <c r="AV842" s="91"/>
      <c r="AW842" s="131"/>
      <c r="AX842" s="131"/>
      <c r="AY842" s="131"/>
    </row>
    <row r="843" spans="1:51" ht="15" x14ac:dyDescent="0.25">
      <c r="A843" s="123"/>
      <c r="B843" s="124"/>
      <c r="C843" s="125">
        <v>343270</v>
      </c>
      <c r="D843" s="89"/>
      <c r="E843" s="86" t="s">
        <v>8</v>
      </c>
      <c r="F843" s="86" t="s">
        <v>418</v>
      </c>
      <c r="H843" s="126" t="s">
        <v>50</v>
      </c>
      <c r="I843" s="89">
        <v>1</v>
      </c>
      <c r="J843" s="127">
        <v>33077.549899999998</v>
      </c>
      <c r="K843" s="127">
        <v>71305.010000000009</v>
      </c>
      <c r="L843" s="127">
        <v>7087.7139999999999</v>
      </c>
      <c r="M843" s="127">
        <v>26747.549899999998</v>
      </c>
      <c r="N843" s="127">
        <v>61960.010000000009</v>
      </c>
      <c r="O843" s="127">
        <v>6322.7139999999999</v>
      </c>
      <c r="P843" s="128">
        <f t="shared" si="117"/>
        <v>0.80863153349819294</v>
      </c>
      <c r="Q843" s="128">
        <f t="shared" si="118"/>
        <v>0.86894329024005468</v>
      </c>
      <c r="R843" s="128">
        <f t="shared" si="119"/>
        <v>0.89206675100039312</v>
      </c>
      <c r="S843" s="129">
        <v>0</v>
      </c>
      <c r="T843" s="129">
        <v>0</v>
      </c>
      <c r="U843" s="129">
        <v>0</v>
      </c>
      <c r="V843" s="138">
        <f t="shared" si="120"/>
        <v>3</v>
      </c>
      <c r="W843" s="138">
        <f t="shared" si="121"/>
        <v>3</v>
      </c>
      <c r="X843" s="138">
        <f t="shared" si="122"/>
        <v>1</v>
      </c>
      <c r="Y843" s="138">
        <f t="shared" si="123"/>
        <v>0</v>
      </c>
      <c r="Z843" s="138">
        <f t="shared" si="124"/>
        <v>0</v>
      </c>
      <c r="AA843" s="138">
        <f t="shared" si="125"/>
        <v>0</v>
      </c>
      <c r="AB843" s="127" t="s">
        <v>32</v>
      </c>
      <c r="AC843" s="127"/>
      <c r="AD843" s="127"/>
      <c r="AE843" s="130"/>
      <c r="AF843" s="136">
        <v>0</v>
      </c>
      <c r="AG843" s="136">
        <v>0</v>
      </c>
      <c r="AH843" s="136">
        <v>0</v>
      </c>
      <c r="AI843" s="136">
        <v>0</v>
      </c>
      <c r="AJ843" s="136">
        <v>0</v>
      </c>
      <c r="AK843" s="136">
        <v>0</v>
      </c>
      <c r="AL843" s="136">
        <v>0</v>
      </c>
      <c r="AM843" s="136">
        <v>0</v>
      </c>
      <c r="AN843" s="131"/>
      <c r="AO843" s="131"/>
      <c r="AP843" s="131"/>
      <c r="AQ843" s="131"/>
      <c r="AR843" s="131"/>
      <c r="AS843" s="131"/>
      <c r="AT843" s="131"/>
      <c r="AU843" s="91"/>
      <c r="AV843" s="91"/>
      <c r="AW843" s="131"/>
      <c r="AX843" s="131"/>
      <c r="AY843" s="131"/>
    </row>
    <row r="844" spans="1:51" ht="15" x14ac:dyDescent="0.25">
      <c r="A844" s="123"/>
      <c r="B844" s="124"/>
      <c r="C844" s="125">
        <v>402117</v>
      </c>
      <c r="D844" s="89"/>
      <c r="E844" s="86" t="s">
        <v>8</v>
      </c>
      <c r="F844" s="86" t="s">
        <v>418</v>
      </c>
      <c r="H844" s="126" t="s">
        <v>50</v>
      </c>
      <c r="I844" s="89">
        <v>2</v>
      </c>
      <c r="J844" s="127">
        <v>33077.549899999998</v>
      </c>
      <c r="K844" s="127">
        <v>71305.010000000009</v>
      </c>
      <c r="L844" s="127">
        <v>7087.7139999999999</v>
      </c>
      <c r="M844" s="127">
        <v>26747.549899999998</v>
      </c>
      <c r="N844" s="127">
        <v>61960.010000000009</v>
      </c>
      <c r="O844" s="127">
        <v>6322.7139999999999</v>
      </c>
      <c r="P844" s="128">
        <f t="shared" si="117"/>
        <v>0.80863153349819294</v>
      </c>
      <c r="Q844" s="128">
        <f t="shared" si="118"/>
        <v>0.86894329024005468</v>
      </c>
      <c r="R844" s="128">
        <f t="shared" si="119"/>
        <v>0.89206675100039312</v>
      </c>
      <c r="S844" s="129">
        <v>0</v>
      </c>
      <c r="T844" s="129">
        <v>0</v>
      </c>
      <c r="U844" s="129">
        <v>0</v>
      </c>
      <c r="V844" s="138">
        <f t="shared" si="120"/>
        <v>4</v>
      </c>
      <c r="W844" s="138">
        <f t="shared" si="121"/>
        <v>4</v>
      </c>
      <c r="X844" s="138">
        <f t="shared" si="122"/>
        <v>2</v>
      </c>
      <c r="Y844" s="138">
        <f t="shared" si="123"/>
        <v>0</v>
      </c>
      <c r="Z844" s="138">
        <f t="shared" si="124"/>
        <v>0</v>
      </c>
      <c r="AA844" s="138">
        <f t="shared" si="125"/>
        <v>0</v>
      </c>
      <c r="AB844" s="127" t="s">
        <v>32</v>
      </c>
      <c r="AC844" s="127"/>
      <c r="AD844" s="127"/>
      <c r="AE844" s="130"/>
      <c r="AF844" s="136">
        <v>0</v>
      </c>
      <c r="AG844" s="136">
        <v>0</v>
      </c>
      <c r="AH844" s="136">
        <v>0</v>
      </c>
      <c r="AI844" s="136">
        <v>0</v>
      </c>
      <c r="AJ844" s="136">
        <v>0</v>
      </c>
      <c r="AK844" s="136">
        <v>0</v>
      </c>
      <c r="AL844" s="136">
        <v>0</v>
      </c>
      <c r="AM844" s="136">
        <v>0</v>
      </c>
      <c r="AN844" s="131"/>
      <c r="AO844" s="131"/>
      <c r="AP844" s="131"/>
      <c r="AQ844" s="131"/>
      <c r="AR844" s="131"/>
      <c r="AS844" s="131"/>
      <c r="AT844" s="131"/>
      <c r="AU844" s="91"/>
      <c r="AV844" s="91"/>
      <c r="AW844" s="131"/>
      <c r="AX844" s="131"/>
      <c r="AY844" s="131"/>
    </row>
    <row r="845" spans="1:51" ht="15" x14ac:dyDescent="0.25">
      <c r="A845" s="123"/>
      <c r="B845" s="124"/>
      <c r="C845" s="125">
        <v>468132</v>
      </c>
      <c r="D845" s="89"/>
      <c r="E845" s="86" t="s">
        <v>8</v>
      </c>
      <c r="F845" s="86" t="s">
        <v>418</v>
      </c>
      <c r="H845" s="126" t="s">
        <v>51</v>
      </c>
      <c r="I845" s="89">
        <v>1</v>
      </c>
      <c r="J845" s="127">
        <v>33077.549899999998</v>
      </c>
      <c r="K845" s="127">
        <v>71305.010000000009</v>
      </c>
      <c r="L845" s="127">
        <v>7087.7139999999999</v>
      </c>
      <c r="M845" s="127">
        <v>26747.549899999998</v>
      </c>
      <c r="N845" s="127">
        <v>61960.010000000009</v>
      </c>
      <c r="O845" s="127">
        <v>6322.7139999999999</v>
      </c>
      <c r="P845" s="128">
        <f t="shared" si="117"/>
        <v>0.80863153349819294</v>
      </c>
      <c r="Q845" s="128">
        <f t="shared" si="118"/>
        <v>0.86894329024005468</v>
      </c>
      <c r="R845" s="128">
        <f t="shared" si="119"/>
        <v>0.89206675100039312</v>
      </c>
      <c r="S845" s="129">
        <v>1</v>
      </c>
      <c r="T845" s="129">
        <v>1</v>
      </c>
      <c r="U845" s="129">
        <v>1</v>
      </c>
      <c r="V845" s="138">
        <f t="shared" si="120"/>
        <v>3</v>
      </c>
      <c r="W845" s="138">
        <f t="shared" si="121"/>
        <v>3</v>
      </c>
      <c r="X845" s="138">
        <f t="shared" si="122"/>
        <v>1</v>
      </c>
      <c r="Y845" s="138">
        <f t="shared" si="123"/>
        <v>3</v>
      </c>
      <c r="Z845" s="138">
        <f t="shared" si="124"/>
        <v>3</v>
      </c>
      <c r="AA845" s="138">
        <f t="shared" si="125"/>
        <v>1</v>
      </c>
      <c r="AB845" s="127" t="s">
        <v>32</v>
      </c>
      <c r="AC845" s="127" t="s">
        <v>31</v>
      </c>
      <c r="AD845" s="127"/>
      <c r="AE845" s="130"/>
      <c r="AF845" s="136">
        <v>16.07</v>
      </c>
      <c r="AG845" s="136">
        <v>4.0599999999999996</v>
      </c>
      <c r="AH845" s="136">
        <v>37.24</v>
      </c>
      <c r="AI845" s="136">
        <v>5.99</v>
      </c>
      <c r="AJ845" s="136">
        <v>4.05</v>
      </c>
      <c r="AK845" s="136">
        <v>0.49</v>
      </c>
      <c r="AL845" s="136">
        <v>3.31</v>
      </c>
      <c r="AM845" s="136">
        <v>71.210000000000008</v>
      </c>
      <c r="AN845" s="131"/>
      <c r="AO845" s="131"/>
      <c r="AP845" s="131"/>
      <c r="AQ845" s="131"/>
      <c r="AR845" s="131"/>
      <c r="AS845" s="131"/>
      <c r="AT845" s="131"/>
      <c r="AU845" s="91"/>
      <c r="AV845" s="91"/>
      <c r="AW845" s="131"/>
      <c r="AX845" s="131"/>
      <c r="AY845" s="131"/>
    </row>
    <row r="846" spans="1:51" ht="15" x14ac:dyDescent="0.25">
      <c r="A846" s="123"/>
      <c r="B846" s="124"/>
      <c r="C846" s="125">
        <v>473281</v>
      </c>
      <c r="D846" s="89"/>
      <c r="E846" s="86" t="s">
        <v>8</v>
      </c>
      <c r="F846" s="86" t="s">
        <v>418</v>
      </c>
      <c r="H846" s="126" t="s">
        <v>51</v>
      </c>
      <c r="I846" s="89">
        <v>1</v>
      </c>
      <c r="J846" s="127">
        <v>33077.549899999998</v>
      </c>
      <c r="K846" s="127">
        <v>71305.010000000009</v>
      </c>
      <c r="L846" s="127">
        <v>7087.7139999999999</v>
      </c>
      <c r="M846" s="127">
        <v>26747.549899999998</v>
      </c>
      <c r="N846" s="127">
        <v>61960.010000000009</v>
      </c>
      <c r="O846" s="127">
        <v>6322.7139999999999</v>
      </c>
      <c r="P846" s="128">
        <f t="shared" si="117"/>
        <v>0.80863153349819294</v>
      </c>
      <c r="Q846" s="128">
        <f t="shared" si="118"/>
        <v>0.86894329024005468</v>
      </c>
      <c r="R846" s="128">
        <f t="shared" si="119"/>
        <v>0.89206675100039312</v>
      </c>
      <c r="S846" s="129">
        <v>1</v>
      </c>
      <c r="T846" s="129">
        <v>1</v>
      </c>
      <c r="U846" s="129">
        <v>1</v>
      </c>
      <c r="V846" s="138">
        <f t="shared" si="120"/>
        <v>3</v>
      </c>
      <c r="W846" s="138">
        <f t="shared" si="121"/>
        <v>3</v>
      </c>
      <c r="X846" s="138">
        <f t="shared" si="122"/>
        <v>1</v>
      </c>
      <c r="Y846" s="138">
        <f t="shared" si="123"/>
        <v>3</v>
      </c>
      <c r="Z846" s="138">
        <f t="shared" si="124"/>
        <v>3</v>
      </c>
      <c r="AA846" s="138">
        <f t="shared" si="125"/>
        <v>1</v>
      </c>
      <c r="AB846" s="127" t="s">
        <v>32</v>
      </c>
      <c r="AC846" s="127" t="s">
        <v>31</v>
      </c>
      <c r="AD846" s="127"/>
      <c r="AE846" s="130"/>
      <c r="AF846" s="136">
        <v>16.07</v>
      </c>
      <c r="AG846" s="136">
        <v>4.0599999999999996</v>
      </c>
      <c r="AH846" s="136">
        <v>37.24</v>
      </c>
      <c r="AI846" s="136">
        <v>5.99</v>
      </c>
      <c r="AJ846" s="136">
        <v>4.05</v>
      </c>
      <c r="AK846" s="136">
        <v>0.49</v>
      </c>
      <c r="AL846" s="136">
        <v>3.31</v>
      </c>
      <c r="AM846" s="136">
        <v>71.210000000000008</v>
      </c>
      <c r="AN846" s="131"/>
      <c r="AO846" s="131"/>
      <c r="AP846" s="131"/>
      <c r="AQ846" s="131"/>
      <c r="AR846" s="131"/>
      <c r="AS846" s="131"/>
      <c r="AT846" s="131"/>
      <c r="AU846" s="91"/>
      <c r="AV846" s="91"/>
      <c r="AW846" s="131"/>
      <c r="AX846" s="131"/>
      <c r="AY846" s="131"/>
    </row>
    <row r="847" spans="1:51" ht="15" x14ac:dyDescent="0.25">
      <c r="A847" s="123"/>
      <c r="B847" s="124"/>
      <c r="C847" s="125">
        <v>492852</v>
      </c>
      <c r="D847" s="89"/>
      <c r="E847" s="86" t="s">
        <v>8</v>
      </c>
      <c r="F847" s="86" t="s">
        <v>418</v>
      </c>
      <c r="H847" s="126" t="s">
        <v>51</v>
      </c>
      <c r="I847" s="89">
        <v>2</v>
      </c>
      <c r="J847" s="127">
        <v>33077.549899999998</v>
      </c>
      <c r="K847" s="127">
        <v>71305.010000000009</v>
      </c>
      <c r="L847" s="127">
        <v>7087.7139999999999</v>
      </c>
      <c r="M847" s="127">
        <v>26747.549899999998</v>
      </c>
      <c r="N847" s="127">
        <v>61960.010000000009</v>
      </c>
      <c r="O847" s="127">
        <v>6322.7139999999999</v>
      </c>
      <c r="P847" s="128">
        <f t="shared" si="117"/>
        <v>0.80863153349819294</v>
      </c>
      <c r="Q847" s="128">
        <f t="shared" si="118"/>
        <v>0.86894329024005468</v>
      </c>
      <c r="R847" s="128">
        <f t="shared" si="119"/>
        <v>0.89206675100039312</v>
      </c>
      <c r="S847" s="129">
        <v>1</v>
      </c>
      <c r="T847" s="129">
        <v>1</v>
      </c>
      <c r="U847" s="129">
        <v>1</v>
      </c>
      <c r="V847" s="138">
        <f t="shared" si="120"/>
        <v>4</v>
      </c>
      <c r="W847" s="138">
        <f t="shared" si="121"/>
        <v>4</v>
      </c>
      <c r="X847" s="138">
        <f t="shared" si="122"/>
        <v>2</v>
      </c>
      <c r="Y847" s="138">
        <f t="shared" si="123"/>
        <v>4</v>
      </c>
      <c r="Z847" s="138">
        <f t="shared" si="124"/>
        <v>4</v>
      </c>
      <c r="AA847" s="138">
        <f t="shared" si="125"/>
        <v>1</v>
      </c>
      <c r="AB847" s="127" t="s">
        <v>32</v>
      </c>
      <c r="AC847" s="127" t="s">
        <v>31</v>
      </c>
      <c r="AD847" s="127"/>
      <c r="AE847" s="130"/>
      <c r="AF847" s="136">
        <v>21.43</v>
      </c>
      <c r="AG847" s="136">
        <v>4.0599999999999996</v>
      </c>
      <c r="AH847" s="136">
        <v>49.65</v>
      </c>
      <c r="AI847" s="136">
        <v>5.99</v>
      </c>
      <c r="AJ847" s="136">
        <v>4.05</v>
      </c>
      <c r="AK847" s="136">
        <v>0.49</v>
      </c>
      <c r="AL847" s="136">
        <v>3.31</v>
      </c>
      <c r="AM847" s="136">
        <v>88.97999999999999</v>
      </c>
      <c r="AN847" s="131"/>
      <c r="AO847" s="131"/>
      <c r="AP847" s="131"/>
      <c r="AQ847" s="131"/>
      <c r="AR847" s="131"/>
      <c r="AS847" s="131"/>
      <c r="AT847" s="131"/>
      <c r="AU847" s="91"/>
      <c r="AV847" s="91"/>
      <c r="AW847" s="131"/>
      <c r="AX847" s="131"/>
      <c r="AY847" s="131"/>
    </row>
    <row r="848" spans="1:51" ht="15" x14ac:dyDescent="0.25">
      <c r="A848" s="123"/>
      <c r="B848" s="124"/>
      <c r="C848" s="125">
        <v>534712</v>
      </c>
      <c r="D848" s="89"/>
      <c r="E848" s="86" t="s">
        <v>8</v>
      </c>
      <c r="F848" s="86" t="s">
        <v>418</v>
      </c>
      <c r="H848" s="126" t="s">
        <v>51</v>
      </c>
      <c r="I848" s="89">
        <v>1</v>
      </c>
      <c r="J848" s="127">
        <v>33077.549899999998</v>
      </c>
      <c r="K848" s="127">
        <v>71305.010000000009</v>
      </c>
      <c r="L848" s="127">
        <v>7087.7139999999999</v>
      </c>
      <c r="M848" s="127">
        <v>26747.549899999998</v>
      </c>
      <c r="N848" s="127">
        <v>61960.010000000009</v>
      </c>
      <c r="O848" s="127">
        <v>6322.7139999999999</v>
      </c>
      <c r="P848" s="128">
        <f t="shared" si="117"/>
        <v>0.80863153349819294</v>
      </c>
      <c r="Q848" s="128">
        <f t="shared" si="118"/>
        <v>0.86894329024005468</v>
      </c>
      <c r="R848" s="128">
        <f t="shared" si="119"/>
        <v>0.89206675100039312</v>
      </c>
      <c r="S848" s="129">
        <v>1</v>
      </c>
      <c r="T848" s="129">
        <v>1</v>
      </c>
      <c r="U848" s="129">
        <v>1</v>
      </c>
      <c r="V848" s="138">
        <f t="shared" si="120"/>
        <v>3</v>
      </c>
      <c r="W848" s="138">
        <f t="shared" si="121"/>
        <v>3</v>
      </c>
      <c r="X848" s="138">
        <f t="shared" si="122"/>
        <v>1</v>
      </c>
      <c r="Y848" s="138">
        <f t="shared" si="123"/>
        <v>3</v>
      </c>
      <c r="Z848" s="138">
        <f t="shared" si="124"/>
        <v>3</v>
      </c>
      <c r="AA848" s="138">
        <f t="shared" si="125"/>
        <v>1</v>
      </c>
      <c r="AB848" s="127" t="s">
        <v>32</v>
      </c>
      <c r="AC848" s="127" t="s">
        <v>31</v>
      </c>
      <c r="AD848" s="127"/>
      <c r="AE848" s="130"/>
      <c r="AF848" s="136">
        <v>16.07</v>
      </c>
      <c r="AG848" s="136">
        <v>4.0599999999999996</v>
      </c>
      <c r="AH848" s="136">
        <v>37.24</v>
      </c>
      <c r="AI848" s="136">
        <v>5.99</v>
      </c>
      <c r="AJ848" s="136">
        <v>4.05</v>
      </c>
      <c r="AK848" s="136">
        <v>0.49</v>
      </c>
      <c r="AL848" s="136">
        <v>3.31</v>
      </c>
      <c r="AM848" s="136">
        <v>71.210000000000008</v>
      </c>
      <c r="AN848" s="131"/>
      <c r="AO848" s="131"/>
      <c r="AP848" s="131"/>
      <c r="AQ848" s="131"/>
      <c r="AR848" s="131"/>
      <c r="AS848" s="131"/>
      <c r="AT848" s="131"/>
      <c r="AU848" s="91"/>
      <c r="AV848" s="91"/>
      <c r="AW848" s="131"/>
      <c r="AX848" s="131"/>
      <c r="AY848" s="131"/>
    </row>
    <row r="849" spans="1:51" ht="15" x14ac:dyDescent="0.25">
      <c r="A849" s="123"/>
      <c r="B849" s="124"/>
      <c r="C849" s="125">
        <v>546308</v>
      </c>
      <c r="D849" s="89"/>
      <c r="E849" s="86" t="s">
        <v>8</v>
      </c>
      <c r="F849" s="86" t="s">
        <v>418</v>
      </c>
      <c r="H849" s="126" t="s">
        <v>51</v>
      </c>
      <c r="I849" s="89">
        <v>1</v>
      </c>
      <c r="J849" s="127">
        <v>33077.549899999998</v>
      </c>
      <c r="K849" s="127">
        <v>71305.010000000009</v>
      </c>
      <c r="L849" s="127">
        <v>7087.7139999999999</v>
      </c>
      <c r="M849" s="127">
        <v>26747.549899999998</v>
      </c>
      <c r="N849" s="127">
        <v>61960.010000000009</v>
      </c>
      <c r="O849" s="127">
        <v>6322.7139999999999</v>
      </c>
      <c r="P849" s="128">
        <f t="shared" si="117"/>
        <v>0.80863153349819294</v>
      </c>
      <c r="Q849" s="128">
        <f t="shared" si="118"/>
        <v>0.86894329024005468</v>
      </c>
      <c r="R849" s="128">
        <f t="shared" si="119"/>
        <v>0.89206675100039312</v>
      </c>
      <c r="S849" s="129">
        <v>1</v>
      </c>
      <c r="T849" s="129">
        <v>1</v>
      </c>
      <c r="U849" s="129">
        <v>1</v>
      </c>
      <c r="V849" s="138">
        <f t="shared" si="120"/>
        <v>3</v>
      </c>
      <c r="W849" s="138">
        <f t="shared" si="121"/>
        <v>3</v>
      </c>
      <c r="X849" s="138">
        <f t="shared" si="122"/>
        <v>1</v>
      </c>
      <c r="Y849" s="138">
        <f t="shared" si="123"/>
        <v>3</v>
      </c>
      <c r="Z849" s="138">
        <f t="shared" si="124"/>
        <v>3</v>
      </c>
      <c r="AA849" s="138">
        <f t="shared" si="125"/>
        <v>1</v>
      </c>
      <c r="AB849" s="127" t="s">
        <v>32</v>
      </c>
      <c r="AC849" s="127" t="s">
        <v>31</v>
      </c>
      <c r="AD849" s="127"/>
      <c r="AE849" s="130"/>
      <c r="AF849" s="136">
        <v>16.07</v>
      </c>
      <c r="AG849" s="136">
        <v>4.0599999999999996</v>
      </c>
      <c r="AH849" s="136">
        <v>37.24</v>
      </c>
      <c r="AI849" s="136">
        <v>5.99</v>
      </c>
      <c r="AJ849" s="136">
        <v>4.05</v>
      </c>
      <c r="AK849" s="136">
        <v>0.49</v>
      </c>
      <c r="AL849" s="136">
        <v>3.31</v>
      </c>
      <c r="AM849" s="136">
        <v>71.210000000000008</v>
      </c>
      <c r="AN849" s="131"/>
      <c r="AO849" s="131"/>
      <c r="AP849" s="131"/>
      <c r="AQ849" s="131"/>
      <c r="AR849" s="131"/>
      <c r="AS849" s="131"/>
      <c r="AT849" s="131"/>
      <c r="AU849" s="91"/>
      <c r="AV849" s="91"/>
      <c r="AW849" s="131"/>
      <c r="AX849" s="131"/>
      <c r="AY849" s="131"/>
    </row>
    <row r="850" spans="1:51" ht="15" x14ac:dyDescent="0.25">
      <c r="A850" s="123"/>
      <c r="B850" s="124"/>
      <c r="C850" s="125">
        <v>549719</v>
      </c>
      <c r="D850" s="89"/>
      <c r="E850" s="86" t="s">
        <v>8</v>
      </c>
      <c r="F850" s="86" t="s">
        <v>418</v>
      </c>
      <c r="H850" s="126" t="s">
        <v>51</v>
      </c>
      <c r="I850" s="89">
        <v>2</v>
      </c>
      <c r="J850" s="127">
        <v>33077.549899999998</v>
      </c>
      <c r="K850" s="127">
        <v>71305.010000000009</v>
      </c>
      <c r="L850" s="127">
        <v>7087.7139999999999</v>
      </c>
      <c r="M850" s="127">
        <v>26747.549899999998</v>
      </c>
      <c r="N850" s="127">
        <v>61960.010000000009</v>
      </c>
      <c r="O850" s="127">
        <v>6322.7139999999999</v>
      </c>
      <c r="P850" s="128">
        <f t="shared" si="117"/>
        <v>0.80863153349819294</v>
      </c>
      <c r="Q850" s="128">
        <f t="shared" si="118"/>
        <v>0.86894329024005468</v>
      </c>
      <c r="R850" s="128">
        <f t="shared" si="119"/>
        <v>0.89206675100039312</v>
      </c>
      <c r="S850" s="129">
        <v>1</v>
      </c>
      <c r="T850" s="129">
        <v>1</v>
      </c>
      <c r="U850" s="129">
        <v>1</v>
      </c>
      <c r="V850" s="138">
        <f t="shared" si="120"/>
        <v>4</v>
      </c>
      <c r="W850" s="138">
        <f t="shared" si="121"/>
        <v>4</v>
      </c>
      <c r="X850" s="138">
        <f t="shared" si="122"/>
        <v>2</v>
      </c>
      <c r="Y850" s="138">
        <f t="shared" si="123"/>
        <v>4</v>
      </c>
      <c r="Z850" s="138">
        <f t="shared" si="124"/>
        <v>4</v>
      </c>
      <c r="AA850" s="138">
        <f t="shared" si="125"/>
        <v>1</v>
      </c>
      <c r="AB850" s="127" t="s">
        <v>32</v>
      </c>
      <c r="AC850" s="127" t="s">
        <v>31</v>
      </c>
      <c r="AD850" s="127"/>
      <c r="AE850" s="130"/>
      <c r="AF850" s="136">
        <v>21.43</v>
      </c>
      <c r="AG850" s="136">
        <v>4.0599999999999996</v>
      </c>
      <c r="AH850" s="136">
        <v>49.65</v>
      </c>
      <c r="AI850" s="136">
        <v>5.99</v>
      </c>
      <c r="AJ850" s="136">
        <v>4.05</v>
      </c>
      <c r="AK850" s="136">
        <v>0.49</v>
      </c>
      <c r="AL850" s="136">
        <v>3.31</v>
      </c>
      <c r="AM850" s="136">
        <v>88.97999999999999</v>
      </c>
      <c r="AN850" s="131"/>
      <c r="AO850" s="131"/>
      <c r="AP850" s="131"/>
      <c r="AQ850" s="131"/>
      <c r="AR850" s="131"/>
      <c r="AS850" s="131"/>
      <c r="AT850" s="131"/>
      <c r="AU850" s="91"/>
      <c r="AV850" s="91"/>
      <c r="AW850" s="131"/>
      <c r="AX850" s="131"/>
      <c r="AY850" s="131"/>
    </row>
    <row r="851" spans="1:51" ht="15" x14ac:dyDescent="0.25">
      <c r="A851" s="123"/>
      <c r="B851" s="124"/>
      <c r="C851" s="125">
        <v>579759</v>
      </c>
      <c r="D851" s="89"/>
      <c r="E851" s="86" t="s">
        <v>8</v>
      </c>
      <c r="F851" s="86" t="s">
        <v>418</v>
      </c>
      <c r="H851" s="126" t="s">
        <v>51</v>
      </c>
      <c r="I851" s="89">
        <v>1</v>
      </c>
      <c r="J851" s="127">
        <v>33077.549899999998</v>
      </c>
      <c r="K851" s="127">
        <v>71305.010000000009</v>
      </c>
      <c r="L851" s="127">
        <v>7087.7139999999999</v>
      </c>
      <c r="M851" s="127">
        <v>26747.549899999998</v>
      </c>
      <c r="N851" s="127">
        <v>61960.010000000009</v>
      </c>
      <c r="O851" s="127">
        <v>6322.7139999999999</v>
      </c>
      <c r="P851" s="128">
        <f t="shared" si="117"/>
        <v>0.80863153349819294</v>
      </c>
      <c r="Q851" s="128">
        <f t="shared" si="118"/>
        <v>0.86894329024005468</v>
      </c>
      <c r="R851" s="128">
        <f t="shared" si="119"/>
        <v>0.89206675100039312</v>
      </c>
      <c r="S851" s="129">
        <v>1</v>
      </c>
      <c r="T851" s="129">
        <v>1</v>
      </c>
      <c r="U851" s="129">
        <v>1</v>
      </c>
      <c r="V851" s="138">
        <f t="shared" si="120"/>
        <v>3</v>
      </c>
      <c r="W851" s="138">
        <f t="shared" si="121"/>
        <v>3</v>
      </c>
      <c r="X851" s="138">
        <f t="shared" si="122"/>
        <v>1</v>
      </c>
      <c r="Y851" s="138">
        <f t="shared" si="123"/>
        <v>3</v>
      </c>
      <c r="Z851" s="138">
        <f t="shared" si="124"/>
        <v>3</v>
      </c>
      <c r="AA851" s="138">
        <f t="shared" si="125"/>
        <v>1</v>
      </c>
      <c r="AB851" s="127" t="s">
        <v>32</v>
      </c>
      <c r="AC851" s="127" t="s">
        <v>31</v>
      </c>
      <c r="AD851" s="127"/>
      <c r="AE851" s="130"/>
      <c r="AF851" s="136">
        <v>16.07</v>
      </c>
      <c r="AG851" s="136">
        <v>4.0599999999999996</v>
      </c>
      <c r="AH851" s="136">
        <v>37.24</v>
      </c>
      <c r="AI851" s="136">
        <v>5.99</v>
      </c>
      <c r="AJ851" s="136">
        <v>4.05</v>
      </c>
      <c r="AK851" s="136">
        <v>0.49</v>
      </c>
      <c r="AL851" s="136">
        <v>3.31</v>
      </c>
      <c r="AM851" s="136">
        <v>71.210000000000008</v>
      </c>
      <c r="AN851" s="131"/>
      <c r="AO851" s="131"/>
      <c r="AP851" s="131"/>
      <c r="AQ851" s="131"/>
      <c r="AR851" s="131"/>
      <c r="AS851" s="131"/>
      <c r="AT851" s="131"/>
      <c r="AU851" s="91"/>
      <c r="AV851" s="91"/>
      <c r="AW851" s="131"/>
      <c r="AX851" s="131"/>
      <c r="AY851" s="131"/>
    </row>
    <row r="852" spans="1:51" ht="15" x14ac:dyDescent="0.25">
      <c r="A852" s="123"/>
      <c r="B852" s="124"/>
      <c r="C852" s="125">
        <v>591516</v>
      </c>
      <c r="D852" s="89"/>
      <c r="E852" s="86" t="s">
        <v>8</v>
      </c>
      <c r="F852" s="86" t="s">
        <v>418</v>
      </c>
      <c r="H852" s="126" t="s">
        <v>51</v>
      </c>
      <c r="I852" s="89">
        <v>1</v>
      </c>
      <c r="J852" s="127">
        <v>33077.549899999998</v>
      </c>
      <c r="K852" s="127">
        <v>71305.010000000009</v>
      </c>
      <c r="L852" s="127">
        <v>7087.7139999999999</v>
      </c>
      <c r="M852" s="127">
        <v>26747.549899999998</v>
      </c>
      <c r="N852" s="127">
        <v>61960.010000000009</v>
      </c>
      <c r="O852" s="127">
        <v>6322.7139999999999</v>
      </c>
      <c r="P852" s="128">
        <f t="shared" si="117"/>
        <v>0.80863153349819294</v>
      </c>
      <c r="Q852" s="128">
        <f t="shared" si="118"/>
        <v>0.86894329024005468</v>
      </c>
      <c r="R852" s="128">
        <f t="shared" si="119"/>
        <v>0.89206675100039312</v>
      </c>
      <c r="S852" s="129">
        <v>1</v>
      </c>
      <c r="T852" s="129">
        <v>1</v>
      </c>
      <c r="U852" s="129">
        <v>1</v>
      </c>
      <c r="V852" s="138">
        <f t="shared" si="120"/>
        <v>3</v>
      </c>
      <c r="W852" s="138">
        <f t="shared" si="121"/>
        <v>3</v>
      </c>
      <c r="X852" s="138">
        <f t="shared" si="122"/>
        <v>1</v>
      </c>
      <c r="Y852" s="138">
        <f t="shared" si="123"/>
        <v>3</v>
      </c>
      <c r="Z852" s="138">
        <f t="shared" si="124"/>
        <v>3</v>
      </c>
      <c r="AA852" s="138">
        <f t="shared" si="125"/>
        <v>1</v>
      </c>
      <c r="AB852" s="127" t="s">
        <v>32</v>
      </c>
      <c r="AC852" s="127" t="s">
        <v>31</v>
      </c>
      <c r="AD852" s="127"/>
      <c r="AE852" s="130"/>
      <c r="AF852" s="136">
        <v>16.07</v>
      </c>
      <c r="AG852" s="136">
        <v>4.0599999999999996</v>
      </c>
      <c r="AH852" s="136">
        <v>37.24</v>
      </c>
      <c r="AI852" s="136">
        <v>5.99</v>
      </c>
      <c r="AJ852" s="136">
        <v>4.05</v>
      </c>
      <c r="AK852" s="136">
        <v>0.49</v>
      </c>
      <c r="AL852" s="136">
        <v>3.31</v>
      </c>
      <c r="AM852" s="136">
        <v>71.210000000000008</v>
      </c>
      <c r="AN852" s="131"/>
      <c r="AO852" s="131"/>
      <c r="AP852" s="131"/>
      <c r="AQ852" s="131"/>
      <c r="AR852" s="131"/>
      <c r="AS852" s="131"/>
      <c r="AT852" s="131"/>
      <c r="AU852" s="91"/>
      <c r="AV852" s="91"/>
      <c r="AW852" s="131"/>
      <c r="AX852" s="131"/>
      <c r="AY852" s="131"/>
    </row>
    <row r="853" spans="1:51" ht="15" x14ac:dyDescent="0.25">
      <c r="A853" s="123"/>
      <c r="B853" s="124"/>
      <c r="C853" s="125">
        <v>613009</v>
      </c>
      <c r="D853" s="89"/>
      <c r="E853" s="86" t="s">
        <v>8</v>
      </c>
      <c r="F853" s="86" t="s">
        <v>418</v>
      </c>
      <c r="H853" s="126" t="s">
        <v>51</v>
      </c>
      <c r="I853" s="89">
        <v>1</v>
      </c>
      <c r="J853" s="127">
        <v>33077.549899999998</v>
      </c>
      <c r="K853" s="127">
        <v>71305.010000000009</v>
      </c>
      <c r="L853" s="127">
        <v>7087.7139999999999</v>
      </c>
      <c r="M853" s="127">
        <v>26747.549899999998</v>
      </c>
      <c r="N853" s="127">
        <v>61960.010000000009</v>
      </c>
      <c r="O853" s="127">
        <v>6322.7139999999999</v>
      </c>
      <c r="P853" s="128">
        <f t="shared" si="117"/>
        <v>0.80863153349819294</v>
      </c>
      <c r="Q853" s="128">
        <f t="shared" si="118"/>
        <v>0.86894329024005468</v>
      </c>
      <c r="R853" s="128">
        <f t="shared" si="119"/>
        <v>0.89206675100039312</v>
      </c>
      <c r="S853" s="129">
        <v>1</v>
      </c>
      <c r="T853" s="129">
        <v>1</v>
      </c>
      <c r="U853" s="129">
        <v>1</v>
      </c>
      <c r="V853" s="138">
        <f t="shared" si="120"/>
        <v>3</v>
      </c>
      <c r="W853" s="138">
        <f t="shared" si="121"/>
        <v>3</v>
      </c>
      <c r="X853" s="138">
        <f t="shared" si="122"/>
        <v>1</v>
      </c>
      <c r="Y853" s="138">
        <f t="shared" si="123"/>
        <v>3</v>
      </c>
      <c r="Z853" s="138">
        <f t="shared" si="124"/>
        <v>3</v>
      </c>
      <c r="AA853" s="138">
        <f t="shared" si="125"/>
        <v>1</v>
      </c>
      <c r="AB853" s="127" t="s">
        <v>32</v>
      </c>
      <c r="AC853" s="127" t="s">
        <v>31</v>
      </c>
      <c r="AD853" s="127"/>
      <c r="AE853" s="130"/>
      <c r="AF853" s="136">
        <v>16.07</v>
      </c>
      <c r="AG853" s="136">
        <v>4.0599999999999996</v>
      </c>
      <c r="AH853" s="136">
        <v>37.24</v>
      </c>
      <c r="AI853" s="136">
        <v>5.99</v>
      </c>
      <c r="AJ853" s="136">
        <v>4.05</v>
      </c>
      <c r="AK853" s="136">
        <v>0.49</v>
      </c>
      <c r="AL853" s="136">
        <v>3.31</v>
      </c>
      <c r="AM853" s="136">
        <v>71.210000000000008</v>
      </c>
      <c r="AN853" s="131"/>
      <c r="AO853" s="131"/>
      <c r="AP853" s="131"/>
      <c r="AQ853" s="131"/>
      <c r="AR853" s="131"/>
      <c r="AS853" s="131"/>
      <c r="AT853" s="131"/>
      <c r="AU853" s="91"/>
      <c r="AV853" s="91"/>
      <c r="AW853" s="131"/>
      <c r="AX853" s="131"/>
      <c r="AY853" s="131"/>
    </row>
    <row r="854" spans="1:51" ht="15" x14ac:dyDescent="0.25">
      <c r="A854" s="123"/>
      <c r="B854" s="124"/>
      <c r="C854" s="125">
        <v>619092</v>
      </c>
      <c r="D854" s="89"/>
      <c r="E854" s="86" t="s">
        <v>8</v>
      </c>
      <c r="F854" s="86" t="s">
        <v>418</v>
      </c>
      <c r="H854" s="126" t="s">
        <v>51</v>
      </c>
      <c r="I854" s="89">
        <v>1</v>
      </c>
      <c r="J854" s="127">
        <v>33077.549899999998</v>
      </c>
      <c r="K854" s="127">
        <v>71305.010000000009</v>
      </c>
      <c r="L854" s="127">
        <v>7087.7139999999999</v>
      </c>
      <c r="M854" s="127">
        <v>26747.549899999998</v>
      </c>
      <c r="N854" s="127">
        <v>61960.010000000009</v>
      </c>
      <c r="O854" s="127">
        <v>6322.7139999999999</v>
      </c>
      <c r="P854" s="128">
        <f t="shared" si="117"/>
        <v>0.80863153349819294</v>
      </c>
      <c r="Q854" s="128">
        <f t="shared" si="118"/>
        <v>0.86894329024005468</v>
      </c>
      <c r="R854" s="128">
        <f t="shared" si="119"/>
        <v>0.89206675100039312</v>
      </c>
      <c r="S854" s="129">
        <v>1</v>
      </c>
      <c r="T854" s="129">
        <v>1</v>
      </c>
      <c r="U854" s="129">
        <v>1</v>
      </c>
      <c r="V854" s="138">
        <f t="shared" si="120"/>
        <v>3</v>
      </c>
      <c r="W854" s="138">
        <f t="shared" si="121"/>
        <v>3</v>
      </c>
      <c r="X854" s="138">
        <f t="shared" si="122"/>
        <v>1</v>
      </c>
      <c r="Y854" s="138">
        <f t="shared" si="123"/>
        <v>3</v>
      </c>
      <c r="Z854" s="138">
        <f t="shared" si="124"/>
        <v>3</v>
      </c>
      <c r="AA854" s="138">
        <f t="shared" si="125"/>
        <v>1</v>
      </c>
      <c r="AB854" s="127" t="s">
        <v>32</v>
      </c>
      <c r="AC854" s="127" t="s">
        <v>31</v>
      </c>
      <c r="AD854" s="127"/>
      <c r="AE854" s="130"/>
      <c r="AF854" s="136">
        <v>16.07</v>
      </c>
      <c r="AG854" s="136">
        <v>4.0599999999999996</v>
      </c>
      <c r="AH854" s="136">
        <v>37.24</v>
      </c>
      <c r="AI854" s="136">
        <v>5.99</v>
      </c>
      <c r="AJ854" s="136">
        <v>4.05</v>
      </c>
      <c r="AK854" s="136">
        <v>0.49</v>
      </c>
      <c r="AL854" s="136">
        <v>3.31</v>
      </c>
      <c r="AM854" s="136">
        <v>71.210000000000008</v>
      </c>
      <c r="AN854" s="131"/>
      <c r="AO854" s="131"/>
      <c r="AP854" s="131"/>
      <c r="AQ854" s="131"/>
      <c r="AR854" s="131"/>
      <c r="AS854" s="131"/>
      <c r="AT854" s="131"/>
      <c r="AU854" s="91"/>
      <c r="AV854" s="91"/>
      <c r="AW854" s="131"/>
      <c r="AX854" s="131"/>
      <c r="AY854" s="131"/>
    </row>
    <row r="855" spans="1:51" ht="15" x14ac:dyDescent="0.25">
      <c r="A855" s="123"/>
      <c r="B855" s="124"/>
      <c r="C855" s="125">
        <v>641188</v>
      </c>
      <c r="D855" s="89"/>
      <c r="E855" s="86" t="s">
        <v>8</v>
      </c>
      <c r="F855" s="86" t="s">
        <v>418</v>
      </c>
      <c r="H855" s="126" t="s">
        <v>51</v>
      </c>
      <c r="I855" s="89">
        <v>1</v>
      </c>
      <c r="J855" s="127">
        <v>33077.549899999998</v>
      </c>
      <c r="K855" s="127">
        <v>71305.010000000009</v>
      </c>
      <c r="L855" s="127">
        <v>7087.7139999999999</v>
      </c>
      <c r="M855" s="127">
        <v>26747.549899999998</v>
      </c>
      <c r="N855" s="127">
        <v>61960.010000000009</v>
      </c>
      <c r="O855" s="127">
        <v>6322.7139999999999</v>
      </c>
      <c r="P855" s="128">
        <f t="shared" si="117"/>
        <v>0.80863153349819294</v>
      </c>
      <c r="Q855" s="128">
        <f t="shared" si="118"/>
        <v>0.86894329024005468</v>
      </c>
      <c r="R855" s="128">
        <f t="shared" si="119"/>
        <v>0.89206675100039312</v>
      </c>
      <c r="S855" s="129">
        <v>1</v>
      </c>
      <c r="T855" s="129">
        <v>1</v>
      </c>
      <c r="U855" s="129">
        <v>1</v>
      </c>
      <c r="V855" s="138">
        <f t="shared" si="120"/>
        <v>3</v>
      </c>
      <c r="W855" s="138">
        <f t="shared" si="121"/>
        <v>3</v>
      </c>
      <c r="X855" s="138">
        <f t="shared" si="122"/>
        <v>1</v>
      </c>
      <c r="Y855" s="138">
        <f t="shared" si="123"/>
        <v>3</v>
      </c>
      <c r="Z855" s="138">
        <f t="shared" si="124"/>
        <v>3</v>
      </c>
      <c r="AA855" s="138">
        <f t="shared" si="125"/>
        <v>1</v>
      </c>
      <c r="AB855" s="127" t="s">
        <v>32</v>
      </c>
      <c r="AC855" s="127" t="s">
        <v>31</v>
      </c>
      <c r="AD855" s="127"/>
      <c r="AE855" s="130"/>
      <c r="AF855" s="136">
        <v>16.07</v>
      </c>
      <c r="AG855" s="136">
        <v>4.0599999999999996</v>
      </c>
      <c r="AH855" s="136">
        <v>37.24</v>
      </c>
      <c r="AI855" s="136">
        <v>5.99</v>
      </c>
      <c r="AJ855" s="136">
        <v>4.05</v>
      </c>
      <c r="AK855" s="136">
        <v>0.49</v>
      </c>
      <c r="AL855" s="136">
        <v>3.31</v>
      </c>
      <c r="AM855" s="136">
        <v>71.210000000000008</v>
      </c>
      <c r="AN855" s="131"/>
      <c r="AO855" s="131"/>
      <c r="AP855" s="131"/>
      <c r="AQ855" s="131"/>
      <c r="AR855" s="131"/>
      <c r="AS855" s="131"/>
      <c r="AT855" s="131"/>
      <c r="AU855" s="91"/>
      <c r="AV855" s="91"/>
      <c r="AW855" s="131"/>
      <c r="AX855" s="131"/>
      <c r="AY855" s="131"/>
    </row>
    <row r="856" spans="1:51" ht="15" x14ac:dyDescent="0.25">
      <c r="A856" s="123"/>
      <c r="B856" s="124"/>
      <c r="C856" s="125">
        <v>655335</v>
      </c>
      <c r="D856" s="89"/>
      <c r="E856" s="86" t="s">
        <v>8</v>
      </c>
      <c r="F856" s="86" t="s">
        <v>418</v>
      </c>
      <c r="H856" s="126" t="s">
        <v>51</v>
      </c>
      <c r="I856" s="89">
        <v>1</v>
      </c>
      <c r="J856" s="127">
        <v>33077.549899999998</v>
      </c>
      <c r="K856" s="127">
        <v>71305.010000000009</v>
      </c>
      <c r="L856" s="127">
        <v>7087.7139999999999</v>
      </c>
      <c r="M856" s="127">
        <v>26747.549899999998</v>
      </c>
      <c r="N856" s="127">
        <v>61960.010000000009</v>
      </c>
      <c r="O856" s="127">
        <v>6322.7139999999999</v>
      </c>
      <c r="P856" s="128">
        <f t="shared" si="117"/>
        <v>0.80863153349819294</v>
      </c>
      <c r="Q856" s="128">
        <f t="shared" si="118"/>
        <v>0.86894329024005468</v>
      </c>
      <c r="R856" s="128">
        <f t="shared" si="119"/>
        <v>0.89206675100039312</v>
      </c>
      <c r="S856" s="129">
        <v>1</v>
      </c>
      <c r="T856" s="129">
        <v>1</v>
      </c>
      <c r="U856" s="129">
        <v>1</v>
      </c>
      <c r="V856" s="138">
        <f t="shared" si="120"/>
        <v>3</v>
      </c>
      <c r="W856" s="138">
        <f t="shared" si="121"/>
        <v>3</v>
      </c>
      <c r="X856" s="138">
        <f t="shared" si="122"/>
        <v>1</v>
      </c>
      <c r="Y856" s="138">
        <f t="shared" si="123"/>
        <v>3</v>
      </c>
      <c r="Z856" s="138">
        <f t="shared" si="124"/>
        <v>3</v>
      </c>
      <c r="AA856" s="138">
        <f t="shared" si="125"/>
        <v>1</v>
      </c>
      <c r="AB856" s="127" t="s">
        <v>32</v>
      </c>
      <c r="AC856" s="127" t="s">
        <v>31</v>
      </c>
      <c r="AD856" s="127"/>
      <c r="AE856" s="130"/>
      <c r="AF856" s="136">
        <v>16.07</v>
      </c>
      <c r="AG856" s="136">
        <v>4.0599999999999996</v>
      </c>
      <c r="AH856" s="136">
        <v>37.24</v>
      </c>
      <c r="AI856" s="136">
        <v>5.99</v>
      </c>
      <c r="AJ856" s="136">
        <v>4.05</v>
      </c>
      <c r="AK856" s="136">
        <v>0.49</v>
      </c>
      <c r="AL856" s="136">
        <v>3.31</v>
      </c>
      <c r="AM856" s="136">
        <v>71.210000000000008</v>
      </c>
      <c r="AN856" s="131"/>
      <c r="AO856" s="131"/>
      <c r="AP856" s="131"/>
      <c r="AQ856" s="131"/>
      <c r="AR856" s="131"/>
      <c r="AS856" s="131"/>
      <c r="AT856" s="131"/>
      <c r="AU856" s="91"/>
      <c r="AV856" s="91"/>
      <c r="AW856" s="131"/>
      <c r="AX856" s="131"/>
      <c r="AY856" s="131"/>
    </row>
    <row r="857" spans="1:51" ht="15" x14ac:dyDescent="0.25">
      <c r="A857" s="123"/>
      <c r="B857" s="124"/>
      <c r="C857" s="125">
        <v>657382</v>
      </c>
      <c r="D857" s="89"/>
      <c r="E857" s="86" t="s">
        <v>8</v>
      </c>
      <c r="F857" s="86" t="s">
        <v>418</v>
      </c>
      <c r="H857" s="126" t="s">
        <v>51</v>
      </c>
      <c r="I857" s="89">
        <v>1</v>
      </c>
      <c r="J857" s="127">
        <v>33077.549899999998</v>
      </c>
      <c r="K857" s="127">
        <v>71305.010000000009</v>
      </c>
      <c r="L857" s="127">
        <v>7087.7139999999999</v>
      </c>
      <c r="M857" s="127">
        <v>26747.549899999998</v>
      </c>
      <c r="N857" s="127">
        <v>61960.010000000009</v>
      </c>
      <c r="O857" s="127">
        <v>6322.7139999999999</v>
      </c>
      <c r="P857" s="128">
        <f t="shared" si="117"/>
        <v>0.80863153349819294</v>
      </c>
      <c r="Q857" s="128">
        <f t="shared" si="118"/>
        <v>0.86894329024005468</v>
      </c>
      <c r="R857" s="128">
        <f t="shared" si="119"/>
        <v>0.89206675100039312</v>
      </c>
      <c r="S857" s="129">
        <v>1</v>
      </c>
      <c r="T857" s="129">
        <v>1</v>
      </c>
      <c r="U857" s="129">
        <v>1</v>
      </c>
      <c r="V857" s="138">
        <f t="shared" si="120"/>
        <v>3</v>
      </c>
      <c r="W857" s="138">
        <f t="shared" si="121"/>
        <v>3</v>
      </c>
      <c r="X857" s="138">
        <f t="shared" si="122"/>
        <v>1</v>
      </c>
      <c r="Y857" s="138">
        <f t="shared" si="123"/>
        <v>3</v>
      </c>
      <c r="Z857" s="138">
        <f t="shared" si="124"/>
        <v>3</v>
      </c>
      <c r="AA857" s="138">
        <f t="shared" si="125"/>
        <v>1</v>
      </c>
      <c r="AB857" s="127" t="s">
        <v>32</v>
      </c>
      <c r="AC857" s="127" t="s">
        <v>31</v>
      </c>
      <c r="AD857" s="127"/>
      <c r="AE857" s="130"/>
      <c r="AF857" s="136">
        <v>16.07</v>
      </c>
      <c r="AG857" s="136">
        <v>4.0599999999999996</v>
      </c>
      <c r="AH857" s="136">
        <v>37.24</v>
      </c>
      <c r="AI857" s="136">
        <v>5.99</v>
      </c>
      <c r="AJ857" s="136">
        <v>4.05</v>
      </c>
      <c r="AK857" s="136">
        <v>0.49</v>
      </c>
      <c r="AL857" s="136">
        <v>3.31</v>
      </c>
      <c r="AM857" s="136">
        <v>71.210000000000008</v>
      </c>
      <c r="AN857" s="131"/>
      <c r="AO857" s="131"/>
      <c r="AP857" s="131"/>
      <c r="AQ857" s="131"/>
      <c r="AR857" s="131"/>
      <c r="AS857" s="131"/>
      <c r="AT857" s="131"/>
      <c r="AU857" s="91"/>
      <c r="AV857" s="91"/>
      <c r="AW857" s="131"/>
      <c r="AX857" s="131"/>
      <c r="AY857" s="131"/>
    </row>
    <row r="858" spans="1:51" ht="15" x14ac:dyDescent="0.25">
      <c r="A858" s="123"/>
      <c r="B858" s="124"/>
      <c r="C858" s="125">
        <v>658261</v>
      </c>
      <c r="D858" s="89"/>
      <c r="E858" s="86" t="s">
        <v>8</v>
      </c>
      <c r="F858" s="86" t="s">
        <v>418</v>
      </c>
      <c r="H858" s="126" t="s">
        <v>50</v>
      </c>
      <c r="I858" s="89">
        <v>2</v>
      </c>
      <c r="J858" s="127">
        <v>33077.549899999998</v>
      </c>
      <c r="K858" s="127">
        <v>71305.010000000009</v>
      </c>
      <c r="L858" s="127">
        <v>7087.7139999999999</v>
      </c>
      <c r="M858" s="127">
        <v>26747.549899999998</v>
      </c>
      <c r="N858" s="127">
        <v>61960.010000000009</v>
      </c>
      <c r="O858" s="127">
        <v>6322.7139999999999</v>
      </c>
      <c r="P858" s="128">
        <f t="shared" si="117"/>
        <v>0.80863153349819294</v>
      </c>
      <c r="Q858" s="128">
        <f t="shared" si="118"/>
        <v>0.86894329024005468</v>
      </c>
      <c r="R858" s="128">
        <f t="shared" si="119"/>
        <v>0.89206675100039312</v>
      </c>
      <c r="S858" s="129">
        <v>0</v>
      </c>
      <c r="T858" s="129">
        <v>0</v>
      </c>
      <c r="U858" s="129">
        <v>0</v>
      </c>
      <c r="V858" s="138">
        <f t="shared" si="120"/>
        <v>4</v>
      </c>
      <c r="W858" s="138">
        <f t="shared" si="121"/>
        <v>4</v>
      </c>
      <c r="X858" s="138">
        <f t="shared" si="122"/>
        <v>2</v>
      </c>
      <c r="Y858" s="138">
        <f t="shared" si="123"/>
        <v>0</v>
      </c>
      <c r="Z858" s="138">
        <f t="shared" si="124"/>
        <v>0</v>
      </c>
      <c r="AA858" s="138">
        <f t="shared" si="125"/>
        <v>0</v>
      </c>
      <c r="AB858" s="127" t="s">
        <v>32</v>
      </c>
      <c r="AC858" s="127"/>
      <c r="AD858" s="127"/>
      <c r="AE858" s="130"/>
      <c r="AF858" s="136">
        <v>0</v>
      </c>
      <c r="AG858" s="136">
        <v>0</v>
      </c>
      <c r="AH858" s="136">
        <v>0</v>
      </c>
      <c r="AI858" s="136">
        <v>0</v>
      </c>
      <c r="AJ858" s="136">
        <v>0</v>
      </c>
      <c r="AK858" s="136">
        <v>0</v>
      </c>
      <c r="AL858" s="136">
        <v>0</v>
      </c>
      <c r="AM858" s="136">
        <v>0</v>
      </c>
      <c r="AN858" s="131"/>
      <c r="AO858" s="131"/>
      <c r="AP858" s="131"/>
      <c r="AQ858" s="131"/>
      <c r="AR858" s="131"/>
      <c r="AS858" s="131"/>
      <c r="AT858" s="131"/>
      <c r="AU858" s="91"/>
      <c r="AV858" s="91"/>
      <c r="AW858" s="131"/>
      <c r="AX858" s="131"/>
      <c r="AY858" s="131"/>
    </row>
    <row r="859" spans="1:51" ht="15" x14ac:dyDescent="0.25">
      <c r="A859" s="123"/>
      <c r="B859" s="124"/>
      <c r="C859" s="125">
        <v>711730</v>
      </c>
      <c r="D859" s="89"/>
      <c r="E859" s="86" t="s">
        <v>8</v>
      </c>
      <c r="F859" s="86" t="s">
        <v>418</v>
      </c>
      <c r="H859" s="126" t="s">
        <v>51</v>
      </c>
      <c r="I859" s="89">
        <v>1</v>
      </c>
      <c r="J859" s="127">
        <v>33077.549899999998</v>
      </c>
      <c r="K859" s="127">
        <v>71305.010000000009</v>
      </c>
      <c r="L859" s="127">
        <v>7087.7139999999999</v>
      </c>
      <c r="M859" s="127">
        <v>26747.549899999998</v>
      </c>
      <c r="N859" s="127">
        <v>61960.010000000009</v>
      </c>
      <c r="O859" s="127">
        <v>6322.7139999999999</v>
      </c>
      <c r="P859" s="128">
        <f t="shared" si="117"/>
        <v>0.80863153349819294</v>
      </c>
      <c r="Q859" s="128">
        <f t="shared" si="118"/>
        <v>0.86894329024005468</v>
      </c>
      <c r="R859" s="128">
        <f t="shared" si="119"/>
        <v>0.89206675100039312</v>
      </c>
      <c r="S859" s="129">
        <v>1</v>
      </c>
      <c r="T859" s="129">
        <v>1</v>
      </c>
      <c r="U859" s="129">
        <v>1</v>
      </c>
      <c r="V859" s="138">
        <f t="shared" si="120"/>
        <v>3</v>
      </c>
      <c r="W859" s="138">
        <f t="shared" si="121"/>
        <v>3</v>
      </c>
      <c r="X859" s="138">
        <f t="shared" si="122"/>
        <v>1</v>
      </c>
      <c r="Y859" s="138">
        <f t="shared" si="123"/>
        <v>3</v>
      </c>
      <c r="Z859" s="138">
        <f t="shared" si="124"/>
        <v>3</v>
      </c>
      <c r="AA859" s="138">
        <f t="shared" si="125"/>
        <v>1</v>
      </c>
      <c r="AB859" s="127" t="s">
        <v>32</v>
      </c>
      <c r="AC859" s="127" t="s">
        <v>31</v>
      </c>
      <c r="AD859" s="127"/>
      <c r="AE859" s="130"/>
      <c r="AF859" s="136">
        <v>16.07</v>
      </c>
      <c r="AG859" s="136">
        <v>4.0599999999999996</v>
      </c>
      <c r="AH859" s="136">
        <v>37.24</v>
      </c>
      <c r="AI859" s="136">
        <v>5.99</v>
      </c>
      <c r="AJ859" s="136">
        <v>4.05</v>
      </c>
      <c r="AK859" s="136">
        <v>0.49</v>
      </c>
      <c r="AL859" s="136">
        <v>3.31</v>
      </c>
      <c r="AM859" s="136">
        <v>71.210000000000008</v>
      </c>
      <c r="AN859" s="131"/>
      <c r="AO859" s="131"/>
      <c r="AP859" s="131"/>
      <c r="AQ859" s="131"/>
      <c r="AR859" s="131"/>
      <c r="AS859" s="131"/>
      <c r="AT859" s="131"/>
      <c r="AU859" s="91"/>
      <c r="AV859" s="91"/>
      <c r="AW859" s="131"/>
      <c r="AX859" s="131"/>
      <c r="AY859" s="131"/>
    </row>
    <row r="860" spans="1:51" ht="15" x14ac:dyDescent="0.25">
      <c r="A860" s="123"/>
      <c r="B860" s="124"/>
      <c r="C860" s="125">
        <v>787832</v>
      </c>
      <c r="D860" s="89"/>
      <c r="E860" s="86" t="s">
        <v>8</v>
      </c>
      <c r="F860" s="86" t="s">
        <v>418</v>
      </c>
      <c r="H860" s="126" t="s">
        <v>51</v>
      </c>
      <c r="I860" s="89">
        <v>2</v>
      </c>
      <c r="J860" s="127">
        <v>33077.549899999998</v>
      </c>
      <c r="K860" s="127">
        <v>71305.010000000009</v>
      </c>
      <c r="L860" s="127">
        <v>7087.7139999999999</v>
      </c>
      <c r="M860" s="127">
        <v>26747.549899999998</v>
      </c>
      <c r="N860" s="127">
        <v>61960.010000000009</v>
      </c>
      <c r="O860" s="127">
        <v>6322.7139999999999</v>
      </c>
      <c r="P860" s="128">
        <f t="shared" si="117"/>
        <v>0.80863153349819294</v>
      </c>
      <c r="Q860" s="128">
        <f t="shared" si="118"/>
        <v>0.86894329024005468</v>
      </c>
      <c r="R860" s="128">
        <f t="shared" si="119"/>
        <v>0.89206675100039312</v>
      </c>
      <c r="S860" s="129">
        <v>1</v>
      </c>
      <c r="T860" s="129">
        <v>1</v>
      </c>
      <c r="U860" s="129">
        <v>1</v>
      </c>
      <c r="V860" s="138">
        <f t="shared" si="120"/>
        <v>4</v>
      </c>
      <c r="W860" s="138">
        <f t="shared" si="121"/>
        <v>4</v>
      </c>
      <c r="X860" s="138">
        <f t="shared" si="122"/>
        <v>2</v>
      </c>
      <c r="Y860" s="138">
        <f t="shared" si="123"/>
        <v>4</v>
      </c>
      <c r="Z860" s="138">
        <f t="shared" si="124"/>
        <v>4</v>
      </c>
      <c r="AA860" s="138">
        <f t="shared" si="125"/>
        <v>1</v>
      </c>
      <c r="AB860" s="127" t="s">
        <v>32</v>
      </c>
      <c r="AC860" s="127" t="s">
        <v>31</v>
      </c>
      <c r="AD860" s="127"/>
      <c r="AE860" s="130"/>
      <c r="AF860" s="136">
        <v>21.43</v>
      </c>
      <c r="AG860" s="136">
        <v>4.0599999999999996</v>
      </c>
      <c r="AH860" s="136">
        <v>49.65</v>
      </c>
      <c r="AI860" s="136">
        <v>5.99</v>
      </c>
      <c r="AJ860" s="136">
        <v>4.05</v>
      </c>
      <c r="AK860" s="136">
        <v>0.49</v>
      </c>
      <c r="AL860" s="136">
        <v>3.31</v>
      </c>
      <c r="AM860" s="136">
        <v>88.97999999999999</v>
      </c>
      <c r="AN860" s="131"/>
      <c r="AO860" s="131"/>
      <c r="AP860" s="131"/>
      <c r="AQ860" s="131"/>
      <c r="AR860" s="131"/>
      <c r="AS860" s="131"/>
      <c r="AT860" s="131"/>
      <c r="AU860" s="91"/>
      <c r="AV860" s="91"/>
      <c r="AW860" s="131"/>
      <c r="AX860" s="131"/>
      <c r="AY860" s="131"/>
    </row>
    <row r="861" spans="1:51" ht="15" x14ac:dyDescent="0.25">
      <c r="A861" s="123"/>
      <c r="B861" s="124"/>
      <c r="C861" s="125">
        <v>807766</v>
      </c>
      <c r="D861" s="89"/>
      <c r="E861" s="86" t="s">
        <v>8</v>
      </c>
      <c r="F861" s="86" t="s">
        <v>418</v>
      </c>
      <c r="H861" s="126" t="s">
        <v>51</v>
      </c>
      <c r="I861" s="89">
        <v>1</v>
      </c>
      <c r="J861" s="127">
        <v>33077.549899999998</v>
      </c>
      <c r="K861" s="127">
        <v>71305.010000000009</v>
      </c>
      <c r="L861" s="127">
        <v>7087.7139999999999</v>
      </c>
      <c r="M861" s="127">
        <v>26747.549899999998</v>
      </c>
      <c r="N861" s="127">
        <v>61960.010000000009</v>
      </c>
      <c r="O861" s="127">
        <v>6322.7139999999999</v>
      </c>
      <c r="P861" s="128">
        <f t="shared" si="117"/>
        <v>0.80863153349819294</v>
      </c>
      <c r="Q861" s="128">
        <f t="shared" si="118"/>
        <v>0.86894329024005468</v>
      </c>
      <c r="R861" s="128">
        <f t="shared" si="119"/>
        <v>0.89206675100039312</v>
      </c>
      <c r="S861" s="129">
        <v>1</v>
      </c>
      <c r="T861" s="129">
        <v>1</v>
      </c>
      <c r="U861" s="129">
        <v>1</v>
      </c>
      <c r="V861" s="138">
        <f t="shared" si="120"/>
        <v>3</v>
      </c>
      <c r="W861" s="138">
        <f t="shared" si="121"/>
        <v>3</v>
      </c>
      <c r="X861" s="138">
        <f t="shared" si="122"/>
        <v>1</v>
      </c>
      <c r="Y861" s="138">
        <f t="shared" si="123"/>
        <v>3</v>
      </c>
      <c r="Z861" s="138">
        <f t="shared" si="124"/>
        <v>3</v>
      </c>
      <c r="AA861" s="138">
        <f t="shared" si="125"/>
        <v>1</v>
      </c>
      <c r="AB861" s="127" t="s">
        <v>32</v>
      </c>
      <c r="AC861" s="127" t="s">
        <v>31</v>
      </c>
      <c r="AD861" s="127"/>
      <c r="AE861" s="130"/>
      <c r="AF861" s="136">
        <v>16.07</v>
      </c>
      <c r="AG861" s="136">
        <v>4.0599999999999996</v>
      </c>
      <c r="AH861" s="136">
        <v>37.24</v>
      </c>
      <c r="AI861" s="136">
        <v>5.99</v>
      </c>
      <c r="AJ861" s="136">
        <v>4.05</v>
      </c>
      <c r="AK861" s="136">
        <v>0.49</v>
      </c>
      <c r="AL861" s="136">
        <v>3.31</v>
      </c>
      <c r="AM861" s="136">
        <v>71.210000000000008</v>
      </c>
      <c r="AN861" s="131"/>
      <c r="AO861" s="131"/>
      <c r="AP861" s="131"/>
      <c r="AQ861" s="131"/>
      <c r="AR861" s="131"/>
      <c r="AS861" s="131"/>
      <c r="AT861" s="131"/>
      <c r="AU861" s="91"/>
      <c r="AV861" s="91"/>
      <c r="AW861" s="131"/>
      <c r="AX861" s="131"/>
      <c r="AY861" s="131"/>
    </row>
    <row r="862" spans="1:51" ht="15" x14ac:dyDescent="0.25">
      <c r="A862" s="123"/>
      <c r="B862" s="124"/>
      <c r="C862" s="125">
        <v>831442</v>
      </c>
      <c r="D862" s="89"/>
      <c r="E862" s="86" t="s">
        <v>8</v>
      </c>
      <c r="F862" s="86" t="s">
        <v>418</v>
      </c>
      <c r="H862" s="126" t="s">
        <v>51</v>
      </c>
      <c r="I862" s="89">
        <v>1</v>
      </c>
      <c r="J862" s="127">
        <v>33077.549899999998</v>
      </c>
      <c r="K862" s="127">
        <v>71305.010000000009</v>
      </c>
      <c r="L862" s="127">
        <v>7087.7139999999999</v>
      </c>
      <c r="M862" s="127">
        <v>26747.549899999998</v>
      </c>
      <c r="N862" s="127">
        <v>61960.010000000009</v>
      </c>
      <c r="O862" s="127">
        <v>6322.7139999999999</v>
      </c>
      <c r="P862" s="128">
        <f t="shared" si="117"/>
        <v>0.80863153349819294</v>
      </c>
      <c r="Q862" s="128">
        <f t="shared" si="118"/>
        <v>0.86894329024005468</v>
      </c>
      <c r="R862" s="128">
        <f t="shared" si="119"/>
        <v>0.89206675100039312</v>
      </c>
      <c r="S862" s="129">
        <v>1</v>
      </c>
      <c r="T862" s="129">
        <v>1</v>
      </c>
      <c r="U862" s="129">
        <v>1</v>
      </c>
      <c r="V862" s="138">
        <f t="shared" si="120"/>
        <v>3</v>
      </c>
      <c r="W862" s="138">
        <f t="shared" si="121"/>
        <v>3</v>
      </c>
      <c r="X862" s="138">
        <f t="shared" si="122"/>
        <v>1</v>
      </c>
      <c r="Y862" s="138">
        <f t="shared" si="123"/>
        <v>3</v>
      </c>
      <c r="Z862" s="138">
        <f t="shared" si="124"/>
        <v>3</v>
      </c>
      <c r="AA862" s="138">
        <f t="shared" si="125"/>
        <v>1</v>
      </c>
      <c r="AB862" s="127" t="s">
        <v>32</v>
      </c>
      <c r="AC862" s="127" t="s">
        <v>31</v>
      </c>
      <c r="AD862" s="127"/>
      <c r="AE862" s="130"/>
      <c r="AF862" s="136">
        <v>16.07</v>
      </c>
      <c r="AG862" s="136">
        <v>4.0599999999999996</v>
      </c>
      <c r="AH862" s="136">
        <v>37.24</v>
      </c>
      <c r="AI862" s="136">
        <v>5.99</v>
      </c>
      <c r="AJ862" s="136">
        <v>4.05</v>
      </c>
      <c r="AK862" s="136">
        <v>0.49</v>
      </c>
      <c r="AL862" s="136">
        <v>3.31</v>
      </c>
      <c r="AM862" s="136">
        <v>71.210000000000008</v>
      </c>
      <c r="AN862" s="131"/>
      <c r="AO862" s="131"/>
      <c r="AP862" s="131"/>
      <c r="AQ862" s="131"/>
      <c r="AR862" s="131"/>
      <c r="AS862" s="131"/>
      <c r="AT862" s="131"/>
      <c r="AU862" s="91"/>
      <c r="AV862" s="91"/>
      <c r="AW862" s="131"/>
      <c r="AX862" s="131"/>
      <c r="AY862" s="131"/>
    </row>
    <row r="863" spans="1:51" ht="15" x14ac:dyDescent="0.25">
      <c r="A863" s="123"/>
      <c r="B863" s="124"/>
      <c r="C863" s="125">
        <v>832180</v>
      </c>
      <c r="D863" s="89"/>
      <c r="E863" s="86" t="s">
        <v>8</v>
      </c>
      <c r="F863" s="86" t="s">
        <v>418</v>
      </c>
      <c r="H863" s="126" t="s">
        <v>51</v>
      </c>
      <c r="I863" s="89">
        <v>2</v>
      </c>
      <c r="J863" s="127">
        <v>33077.549899999998</v>
      </c>
      <c r="K863" s="127">
        <v>71305.010000000009</v>
      </c>
      <c r="L863" s="127">
        <v>7087.7139999999999</v>
      </c>
      <c r="M863" s="127">
        <v>26747.549899999998</v>
      </c>
      <c r="N863" s="127">
        <v>61960.010000000009</v>
      </c>
      <c r="O863" s="127">
        <v>6322.7139999999999</v>
      </c>
      <c r="P863" s="128">
        <f t="shared" si="117"/>
        <v>0.80863153349819294</v>
      </c>
      <c r="Q863" s="128">
        <f t="shared" si="118"/>
        <v>0.86894329024005468</v>
      </c>
      <c r="R863" s="128">
        <f t="shared" si="119"/>
        <v>0.89206675100039312</v>
      </c>
      <c r="S863" s="129">
        <v>1</v>
      </c>
      <c r="T863" s="129">
        <v>1</v>
      </c>
      <c r="U863" s="129">
        <v>1</v>
      </c>
      <c r="V863" s="138">
        <f t="shared" si="120"/>
        <v>4</v>
      </c>
      <c r="W863" s="138">
        <f t="shared" si="121"/>
        <v>4</v>
      </c>
      <c r="X863" s="138">
        <f t="shared" si="122"/>
        <v>2</v>
      </c>
      <c r="Y863" s="138">
        <f t="shared" si="123"/>
        <v>4</v>
      </c>
      <c r="Z863" s="138">
        <f t="shared" si="124"/>
        <v>4</v>
      </c>
      <c r="AA863" s="138">
        <f t="shared" si="125"/>
        <v>1</v>
      </c>
      <c r="AB863" s="127" t="s">
        <v>32</v>
      </c>
      <c r="AC863" s="127" t="s">
        <v>31</v>
      </c>
      <c r="AD863" s="127"/>
      <c r="AE863" s="130"/>
      <c r="AF863" s="136">
        <v>21.43</v>
      </c>
      <c r="AG863" s="136">
        <v>4.0599999999999996</v>
      </c>
      <c r="AH863" s="136">
        <v>49.65</v>
      </c>
      <c r="AI863" s="136">
        <v>5.99</v>
      </c>
      <c r="AJ863" s="136">
        <v>4.05</v>
      </c>
      <c r="AK863" s="136">
        <v>0.49</v>
      </c>
      <c r="AL863" s="136">
        <v>3.31</v>
      </c>
      <c r="AM863" s="136">
        <v>88.97999999999999</v>
      </c>
      <c r="AN863" s="131"/>
      <c r="AO863" s="131"/>
      <c r="AP863" s="131"/>
      <c r="AQ863" s="131"/>
      <c r="AR863" s="131"/>
      <c r="AS863" s="131"/>
      <c r="AT863" s="131"/>
      <c r="AU863" s="91"/>
      <c r="AV863" s="91"/>
      <c r="AW863" s="131"/>
      <c r="AX863" s="131"/>
      <c r="AY863" s="131"/>
    </row>
    <row r="864" spans="1:51" ht="15" x14ac:dyDescent="0.25">
      <c r="A864" s="123"/>
      <c r="B864" s="124"/>
      <c r="C864" s="125">
        <v>836559</v>
      </c>
      <c r="D864" s="89"/>
      <c r="E864" s="86" t="s">
        <v>8</v>
      </c>
      <c r="F864" s="86" t="s">
        <v>418</v>
      </c>
      <c r="H864" s="126" t="s">
        <v>51</v>
      </c>
      <c r="I864" s="89">
        <v>1</v>
      </c>
      <c r="J864" s="127">
        <v>33077.549899999998</v>
      </c>
      <c r="K864" s="127">
        <v>71305.010000000009</v>
      </c>
      <c r="L864" s="127">
        <v>7087.7139999999999</v>
      </c>
      <c r="M864" s="127">
        <v>26747.549899999998</v>
      </c>
      <c r="N864" s="127">
        <v>61960.010000000009</v>
      </c>
      <c r="O864" s="127">
        <v>6322.7139999999999</v>
      </c>
      <c r="P864" s="128">
        <f t="shared" si="117"/>
        <v>0.80863153349819294</v>
      </c>
      <c r="Q864" s="128">
        <f t="shared" si="118"/>
        <v>0.86894329024005468</v>
      </c>
      <c r="R864" s="128">
        <f t="shared" si="119"/>
        <v>0.89206675100039312</v>
      </c>
      <c r="S864" s="129">
        <v>1</v>
      </c>
      <c r="T864" s="129">
        <v>1</v>
      </c>
      <c r="U864" s="129">
        <v>1</v>
      </c>
      <c r="V864" s="138">
        <f t="shared" si="120"/>
        <v>3</v>
      </c>
      <c r="W864" s="138">
        <f t="shared" si="121"/>
        <v>3</v>
      </c>
      <c r="X864" s="138">
        <f t="shared" si="122"/>
        <v>1</v>
      </c>
      <c r="Y864" s="138">
        <f t="shared" si="123"/>
        <v>3</v>
      </c>
      <c r="Z864" s="138">
        <f t="shared" si="124"/>
        <v>3</v>
      </c>
      <c r="AA864" s="138">
        <f t="shared" si="125"/>
        <v>1</v>
      </c>
      <c r="AB864" s="127" t="s">
        <v>32</v>
      </c>
      <c r="AC864" s="127" t="s">
        <v>31</v>
      </c>
      <c r="AD864" s="127"/>
      <c r="AE864" s="130"/>
      <c r="AF864" s="136">
        <v>16.07</v>
      </c>
      <c r="AG864" s="136">
        <v>4.0599999999999996</v>
      </c>
      <c r="AH864" s="136">
        <v>37.24</v>
      </c>
      <c r="AI864" s="136">
        <v>5.99</v>
      </c>
      <c r="AJ864" s="136">
        <v>4.05</v>
      </c>
      <c r="AK864" s="136">
        <v>0.49</v>
      </c>
      <c r="AL864" s="136">
        <v>3.31</v>
      </c>
      <c r="AM864" s="136">
        <v>71.210000000000008</v>
      </c>
      <c r="AN864" s="131"/>
      <c r="AO864" s="131"/>
      <c r="AP864" s="131"/>
      <c r="AQ864" s="131"/>
      <c r="AR864" s="131"/>
      <c r="AS864" s="131"/>
      <c r="AT864" s="131"/>
      <c r="AU864" s="91"/>
      <c r="AV864" s="91"/>
      <c r="AW864" s="131"/>
      <c r="AX864" s="131"/>
      <c r="AY864" s="131"/>
    </row>
    <row r="865" spans="1:51" ht="15" x14ac:dyDescent="0.25">
      <c r="A865" s="123"/>
      <c r="B865" s="124"/>
      <c r="C865" s="125">
        <v>844096</v>
      </c>
      <c r="D865" s="89"/>
      <c r="E865" s="86" t="s">
        <v>8</v>
      </c>
      <c r="F865" s="86" t="s">
        <v>418</v>
      </c>
      <c r="H865" s="126" t="s">
        <v>50</v>
      </c>
      <c r="I865" s="89">
        <v>2</v>
      </c>
      <c r="J865" s="127">
        <v>33077.549899999998</v>
      </c>
      <c r="K865" s="127">
        <v>71305.010000000009</v>
      </c>
      <c r="L865" s="127">
        <v>7087.7139999999999</v>
      </c>
      <c r="M865" s="127">
        <v>26747.549899999998</v>
      </c>
      <c r="N865" s="127">
        <v>61960.010000000009</v>
      </c>
      <c r="O865" s="127">
        <v>6322.7139999999999</v>
      </c>
      <c r="P865" s="128">
        <f t="shared" si="117"/>
        <v>0.80863153349819294</v>
      </c>
      <c r="Q865" s="128">
        <f t="shared" si="118"/>
        <v>0.86894329024005468</v>
      </c>
      <c r="R865" s="128">
        <f t="shared" si="119"/>
        <v>0.89206675100039312</v>
      </c>
      <c r="S865" s="129">
        <v>0</v>
      </c>
      <c r="T865" s="129">
        <v>0</v>
      </c>
      <c r="U865" s="129">
        <v>0</v>
      </c>
      <c r="V865" s="138">
        <f t="shared" si="120"/>
        <v>4</v>
      </c>
      <c r="W865" s="138">
        <f t="shared" si="121"/>
        <v>4</v>
      </c>
      <c r="X865" s="138">
        <f t="shared" si="122"/>
        <v>2</v>
      </c>
      <c r="Y865" s="138">
        <f t="shared" si="123"/>
        <v>0</v>
      </c>
      <c r="Z865" s="138">
        <f t="shared" si="124"/>
        <v>0</v>
      </c>
      <c r="AA865" s="138">
        <f t="shared" si="125"/>
        <v>0</v>
      </c>
      <c r="AB865" s="127" t="s">
        <v>32</v>
      </c>
      <c r="AC865" s="127"/>
      <c r="AD865" s="127"/>
      <c r="AE865" s="130"/>
      <c r="AF865" s="136">
        <v>0</v>
      </c>
      <c r="AG865" s="136">
        <v>0</v>
      </c>
      <c r="AH865" s="136">
        <v>0</v>
      </c>
      <c r="AI865" s="136">
        <v>0</v>
      </c>
      <c r="AJ865" s="136">
        <v>0</v>
      </c>
      <c r="AK865" s="136">
        <v>0</v>
      </c>
      <c r="AL865" s="136">
        <v>0</v>
      </c>
      <c r="AM865" s="136">
        <v>0</v>
      </c>
      <c r="AN865" s="131"/>
      <c r="AO865" s="131"/>
      <c r="AP865" s="131"/>
      <c r="AQ865" s="131"/>
      <c r="AR865" s="131"/>
      <c r="AS865" s="131"/>
      <c r="AT865" s="131"/>
      <c r="AU865" s="91"/>
      <c r="AV865" s="91"/>
      <c r="AW865" s="131"/>
      <c r="AX865" s="131"/>
      <c r="AY865" s="131"/>
    </row>
    <row r="866" spans="1:51" ht="15" x14ac:dyDescent="0.25">
      <c r="A866" s="123"/>
      <c r="B866" s="124"/>
      <c r="C866" s="125">
        <v>848632</v>
      </c>
      <c r="D866" s="89"/>
      <c r="E866" s="86" t="s">
        <v>8</v>
      </c>
      <c r="F866" s="86" t="s">
        <v>418</v>
      </c>
      <c r="H866" s="126" t="s">
        <v>51</v>
      </c>
      <c r="I866" s="89">
        <v>1</v>
      </c>
      <c r="J866" s="127">
        <v>33077.549899999998</v>
      </c>
      <c r="K866" s="127">
        <v>71305.010000000009</v>
      </c>
      <c r="L866" s="127">
        <v>7087.7139999999999</v>
      </c>
      <c r="M866" s="127">
        <v>26747.549899999998</v>
      </c>
      <c r="N866" s="127">
        <v>61960.010000000009</v>
      </c>
      <c r="O866" s="127">
        <v>6322.7139999999999</v>
      </c>
      <c r="P866" s="128">
        <f t="shared" si="117"/>
        <v>0.80863153349819294</v>
      </c>
      <c r="Q866" s="128">
        <f t="shared" si="118"/>
        <v>0.86894329024005468</v>
      </c>
      <c r="R866" s="128">
        <f t="shared" si="119"/>
        <v>0.89206675100039312</v>
      </c>
      <c r="S866" s="129">
        <v>1</v>
      </c>
      <c r="T866" s="129">
        <v>1</v>
      </c>
      <c r="U866" s="129">
        <v>1</v>
      </c>
      <c r="V866" s="138">
        <f t="shared" si="120"/>
        <v>3</v>
      </c>
      <c r="W866" s="138">
        <f t="shared" si="121"/>
        <v>3</v>
      </c>
      <c r="X866" s="138">
        <f t="shared" si="122"/>
        <v>1</v>
      </c>
      <c r="Y866" s="138">
        <f t="shared" si="123"/>
        <v>3</v>
      </c>
      <c r="Z866" s="138">
        <f t="shared" si="124"/>
        <v>3</v>
      </c>
      <c r="AA866" s="138">
        <f t="shared" si="125"/>
        <v>1</v>
      </c>
      <c r="AB866" s="127" t="s">
        <v>32</v>
      </c>
      <c r="AC866" s="127" t="s">
        <v>31</v>
      </c>
      <c r="AD866" s="127"/>
      <c r="AE866" s="130"/>
      <c r="AF866" s="136">
        <v>16.07</v>
      </c>
      <c r="AG866" s="136">
        <v>4.0599999999999996</v>
      </c>
      <c r="AH866" s="136">
        <v>37.24</v>
      </c>
      <c r="AI866" s="136">
        <v>5.99</v>
      </c>
      <c r="AJ866" s="136">
        <v>4.05</v>
      </c>
      <c r="AK866" s="136">
        <v>0.49</v>
      </c>
      <c r="AL866" s="136">
        <v>3.31</v>
      </c>
      <c r="AM866" s="136">
        <v>71.210000000000008</v>
      </c>
      <c r="AN866" s="131"/>
      <c r="AO866" s="131"/>
      <c r="AP866" s="131"/>
      <c r="AQ866" s="131"/>
      <c r="AR866" s="131"/>
      <c r="AS866" s="131"/>
      <c r="AT866" s="131"/>
      <c r="AU866" s="91"/>
      <c r="AV866" s="91"/>
      <c r="AW866" s="131"/>
      <c r="AX866" s="131"/>
      <c r="AY866" s="131"/>
    </row>
    <row r="867" spans="1:51" ht="15" x14ac:dyDescent="0.25">
      <c r="A867" s="123"/>
      <c r="B867" s="124"/>
      <c r="C867" s="125">
        <v>912853</v>
      </c>
      <c r="D867" s="89"/>
      <c r="E867" s="86" t="s">
        <v>8</v>
      </c>
      <c r="F867" s="86" t="s">
        <v>418</v>
      </c>
      <c r="H867" s="126" t="s">
        <v>51</v>
      </c>
      <c r="I867" s="89">
        <v>1</v>
      </c>
      <c r="J867" s="127">
        <v>33077.549899999998</v>
      </c>
      <c r="K867" s="127">
        <v>71305.010000000009</v>
      </c>
      <c r="L867" s="127">
        <v>7087.7139999999999</v>
      </c>
      <c r="M867" s="127">
        <v>26747.549899999998</v>
      </c>
      <c r="N867" s="127">
        <v>61960.010000000009</v>
      </c>
      <c r="O867" s="127">
        <v>6322.7139999999999</v>
      </c>
      <c r="P867" s="128">
        <f t="shared" si="117"/>
        <v>0.80863153349819294</v>
      </c>
      <c r="Q867" s="128">
        <f t="shared" si="118"/>
        <v>0.86894329024005468</v>
      </c>
      <c r="R867" s="128">
        <f t="shared" si="119"/>
        <v>0.89206675100039312</v>
      </c>
      <c r="S867" s="129">
        <v>1</v>
      </c>
      <c r="T867" s="129">
        <v>1</v>
      </c>
      <c r="U867" s="129">
        <v>1</v>
      </c>
      <c r="V867" s="138">
        <f t="shared" si="120"/>
        <v>3</v>
      </c>
      <c r="W867" s="138">
        <f t="shared" si="121"/>
        <v>3</v>
      </c>
      <c r="X867" s="138">
        <f t="shared" si="122"/>
        <v>1</v>
      </c>
      <c r="Y867" s="138">
        <f t="shared" si="123"/>
        <v>3</v>
      </c>
      <c r="Z867" s="138">
        <f t="shared" si="124"/>
        <v>3</v>
      </c>
      <c r="AA867" s="138">
        <f t="shared" si="125"/>
        <v>1</v>
      </c>
      <c r="AB867" s="127" t="s">
        <v>32</v>
      </c>
      <c r="AC867" s="127" t="s">
        <v>31</v>
      </c>
      <c r="AD867" s="127"/>
      <c r="AE867" s="130"/>
      <c r="AF867" s="136">
        <v>16.07</v>
      </c>
      <c r="AG867" s="136">
        <v>4.0599999999999996</v>
      </c>
      <c r="AH867" s="136">
        <v>37.24</v>
      </c>
      <c r="AI867" s="136">
        <v>5.99</v>
      </c>
      <c r="AJ867" s="136">
        <v>4.05</v>
      </c>
      <c r="AK867" s="136">
        <v>0.49</v>
      </c>
      <c r="AL867" s="136">
        <v>3.31</v>
      </c>
      <c r="AM867" s="136">
        <v>71.210000000000008</v>
      </c>
      <c r="AN867" s="131"/>
      <c r="AO867" s="131"/>
      <c r="AP867" s="131"/>
      <c r="AQ867" s="131"/>
      <c r="AR867" s="131"/>
      <c r="AS867" s="131"/>
      <c r="AT867" s="131"/>
      <c r="AU867" s="91"/>
      <c r="AV867" s="91"/>
      <c r="AW867" s="131"/>
      <c r="AX867" s="131"/>
      <c r="AY867" s="131"/>
    </row>
    <row r="868" spans="1:51" ht="15" x14ac:dyDescent="0.25">
      <c r="A868" s="123"/>
      <c r="B868" s="124"/>
      <c r="C868" s="125">
        <v>947236</v>
      </c>
      <c r="D868" s="89"/>
      <c r="E868" s="86" t="s">
        <v>8</v>
      </c>
      <c r="F868" s="86" t="s">
        <v>418</v>
      </c>
      <c r="H868" s="126" t="s">
        <v>50</v>
      </c>
      <c r="I868" s="89">
        <v>2</v>
      </c>
      <c r="J868" s="127">
        <v>33077.549899999998</v>
      </c>
      <c r="K868" s="127">
        <v>71305.010000000009</v>
      </c>
      <c r="L868" s="127">
        <v>7087.7139999999999</v>
      </c>
      <c r="M868" s="127">
        <v>26747.549899999998</v>
      </c>
      <c r="N868" s="127">
        <v>61960.010000000009</v>
      </c>
      <c r="O868" s="127">
        <v>6322.7139999999999</v>
      </c>
      <c r="P868" s="128">
        <f t="shared" si="117"/>
        <v>0.80863153349819294</v>
      </c>
      <c r="Q868" s="128">
        <f t="shared" si="118"/>
        <v>0.86894329024005468</v>
      </c>
      <c r="R868" s="128">
        <f t="shared" si="119"/>
        <v>0.89206675100039312</v>
      </c>
      <c r="S868" s="129">
        <v>0</v>
      </c>
      <c r="T868" s="129">
        <v>0</v>
      </c>
      <c r="U868" s="129">
        <v>0</v>
      </c>
      <c r="V868" s="138">
        <f t="shared" si="120"/>
        <v>4</v>
      </c>
      <c r="W868" s="138">
        <f t="shared" si="121"/>
        <v>4</v>
      </c>
      <c r="X868" s="138">
        <f t="shared" si="122"/>
        <v>2</v>
      </c>
      <c r="Y868" s="138">
        <f t="shared" si="123"/>
        <v>0</v>
      </c>
      <c r="Z868" s="138">
        <f t="shared" si="124"/>
        <v>0</v>
      </c>
      <c r="AA868" s="138">
        <f t="shared" si="125"/>
        <v>0</v>
      </c>
      <c r="AB868" s="127" t="s">
        <v>32</v>
      </c>
      <c r="AC868" s="127"/>
      <c r="AD868" s="127"/>
      <c r="AE868" s="130"/>
      <c r="AF868" s="136">
        <v>0</v>
      </c>
      <c r="AG868" s="136">
        <v>0</v>
      </c>
      <c r="AH868" s="136">
        <v>0</v>
      </c>
      <c r="AI868" s="136">
        <v>0</v>
      </c>
      <c r="AJ868" s="136">
        <v>0</v>
      </c>
      <c r="AK868" s="136">
        <v>0</v>
      </c>
      <c r="AL868" s="136">
        <v>0</v>
      </c>
      <c r="AM868" s="136">
        <v>0</v>
      </c>
      <c r="AN868" s="131"/>
      <c r="AO868" s="131"/>
      <c r="AP868" s="131"/>
      <c r="AQ868" s="131"/>
      <c r="AR868" s="131"/>
      <c r="AS868" s="131"/>
      <c r="AT868" s="131"/>
      <c r="AU868" s="91"/>
      <c r="AV868" s="91"/>
      <c r="AW868" s="131"/>
      <c r="AX868" s="131"/>
      <c r="AY868" s="131"/>
    </row>
    <row r="869" spans="1:51" ht="15" x14ac:dyDescent="0.25">
      <c r="A869" s="123"/>
      <c r="B869" s="124"/>
      <c r="C869" s="125">
        <v>969139</v>
      </c>
      <c r="D869" s="89"/>
      <c r="E869" s="86" t="s">
        <v>8</v>
      </c>
      <c r="F869" s="86" t="s">
        <v>418</v>
      </c>
      <c r="H869" s="126" t="s">
        <v>51</v>
      </c>
      <c r="I869" s="89">
        <v>1</v>
      </c>
      <c r="J869" s="127">
        <v>33077.549899999998</v>
      </c>
      <c r="K869" s="127">
        <v>71305.010000000009</v>
      </c>
      <c r="L869" s="127">
        <v>7087.7139999999999</v>
      </c>
      <c r="M869" s="127">
        <v>26747.549899999998</v>
      </c>
      <c r="N869" s="127">
        <v>61960.010000000009</v>
      </c>
      <c r="O869" s="127">
        <v>6322.7139999999999</v>
      </c>
      <c r="P869" s="128">
        <f t="shared" si="117"/>
        <v>0.80863153349819294</v>
      </c>
      <c r="Q869" s="128">
        <f t="shared" si="118"/>
        <v>0.86894329024005468</v>
      </c>
      <c r="R869" s="128">
        <f t="shared" si="119"/>
        <v>0.89206675100039312</v>
      </c>
      <c r="S869" s="129">
        <v>1</v>
      </c>
      <c r="T869" s="129">
        <v>1</v>
      </c>
      <c r="U869" s="129">
        <v>1</v>
      </c>
      <c r="V869" s="138">
        <f t="shared" si="120"/>
        <v>3</v>
      </c>
      <c r="W869" s="138">
        <f t="shared" si="121"/>
        <v>3</v>
      </c>
      <c r="X869" s="138">
        <f t="shared" si="122"/>
        <v>1</v>
      </c>
      <c r="Y869" s="138">
        <f t="shared" si="123"/>
        <v>3</v>
      </c>
      <c r="Z869" s="138">
        <f t="shared" si="124"/>
        <v>3</v>
      </c>
      <c r="AA869" s="138">
        <f t="shared" si="125"/>
        <v>1</v>
      </c>
      <c r="AB869" s="127" t="s">
        <v>32</v>
      </c>
      <c r="AC869" s="127" t="s">
        <v>31</v>
      </c>
      <c r="AD869" s="127"/>
      <c r="AE869" s="130"/>
      <c r="AF869" s="136">
        <v>16.07</v>
      </c>
      <c r="AG869" s="136">
        <v>4.0599999999999996</v>
      </c>
      <c r="AH869" s="136">
        <v>37.24</v>
      </c>
      <c r="AI869" s="136">
        <v>5.99</v>
      </c>
      <c r="AJ869" s="136">
        <v>4.05</v>
      </c>
      <c r="AK869" s="136">
        <v>0.49</v>
      </c>
      <c r="AL869" s="136">
        <v>3.31</v>
      </c>
      <c r="AM869" s="136">
        <v>71.210000000000008</v>
      </c>
      <c r="AN869" s="131"/>
      <c r="AO869" s="131"/>
      <c r="AP869" s="131"/>
      <c r="AQ869" s="131"/>
      <c r="AR869" s="131"/>
      <c r="AS869" s="131"/>
      <c r="AT869" s="131"/>
      <c r="AU869" s="91"/>
      <c r="AV869" s="91"/>
      <c r="AW869" s="131"/>
      <c r="AX869" s="131"/>
      <c r="AY869" s="131"/>
    </row>
    <row r="870" spans="1:51" ht="15" x14ac:dyDescent="0.25">
      <c r="A870" s="123"/>
      <c r="B870" s="124"/>
      <c r="C870" s="125">
        <v>999665</v>
      </c>
      <c r="D870" s="89"/>
      <c r="E870" s="86" t="s">
        <v>8</v>
      </c>
      <c r="F870" s="86" t="s">
        <v>418</v>
      </c>
      <c r="H870" s="126" t="s">
        <v>51</v>
      </c>
      <c r="I870" s="89">
        <v>1</v>
      </c>
      <c r="J870" s="127">
        <v>33077.549899999998</v>
      </c>
      <c r="K870" s="127">
        <v>71305.010000000009</v>
      </c>
      <c r="L870" s="127">
        <v>7087.7139999999999</v>
      </c>
      <c r="M870" s="127">
        <v>26747.549899999998</v>
      </c>
      <c r="N870" s="127">
        <v>61960.010000000009</v>
      </c>
      <c r="O870" s="127">
        <v>6322.7139999999999</v>
      </c>
      <c r="P870" s="128">
        <f t="shared" si="117"/>
        <v>0.80863153349819294</v>
      </c>
      <c r="Q870" s="128">
        <f t="shared" si="118"/>
        <v>0.86894329024005468</v>
      </c>
      <c r="R870" s="128">
        <f t="shared" si="119"/>
        <v>0.89206675100039312</v>
      </c>
      <c r="S870" s="129">
        <v>1</v>
      </c>
      <c r="T870" s="129">
        <v>1</v>
      </c>
      <c r="U870" s="129">
        <v>1</v>
      </c>
      <c r="V870" s="138">
        <f t="shared" si="120"/>
        <v>3</v>
      </c>
      <c r="W870" s="138">
        <f t="shared" si="121"/>
        <v>3</v>
      </c>
      <c r="X870" s="138">
        <f t="shared" si="122"/>
        <v>1</v>
      </c>
      <c r="Y870" s="138">
        <f t="shared" si="123"/>
        <v>3</v>
      </c>
      <c r="Z870" s="138">
        <f t="shared" si="124"/>
        <v>3</v>
      </c>
      <c r="AA870" s="138">
        <f t="shared" si="125"/>
        <v>1</v>
      </c>
      <c r="AB870" s="127" t="s">
        <v>32</v>
      </c>
      <c r="AC870" s="127" t="s">
        <v>31</v>
      </c>
      <c r="AD870" s="127"/>
      <c r="AE870" s="130"/>
      <c r="AF870" s="136">
        <v>16.07</v>
      </c>
      <c r="AG870" s="136">
        <v>4.0599999999999996</v>
      </c>
      <c r="AH870" s="136">
        <v>37.24</v>
      </c>
      <c r="AI870" s="136">
        <v>5.99</v>
      </c>
      <c r="AJ870" s="136">
        <v>4.05</v>
      </c>
      <c r="AK870" s="136">
        <v>0.49</v>
      </c>
      <c r="AL870" s="136">
        <v>3.31</v>
      </c>
      <c r="AM870" s="136">
        <v>71.210000000000008</v>
      </c>
      <c r="AN870" s="131"/>
      <c r="AO870" s="131"/>
      <c r="AP870" s="131"/>
      <c r="AQ870" s="131"/>
      <c r="AR870" s="131"/>
      <c r="AS870" s="131"/>
      <c r="AT870" s="131"/>
      <c r="AU870" s="91"/>
      <c r="AV870" s="91"/>
      <c r="AW870" s="131"/>
      <c r="AX870" s="131"/>
      <c r="AY870" s="131"/>
    </row>
  </sheetData>
  <sheetProtection algorithmName="SHA-512" hashValue="O+mSaI1AvNuR72DWQ4eyBYcvwau43NP5EjxcvYOrjQ5Brlj/U3hT4iKtxik65rG9ix0KZ+eK6Kx/esOKWSSImg==" saltValue="oGY/0sfUsoauqHu1AVqSeA==" spinCount="100000" sheet="1" objects="1" scenarios="1" formatColumns="0" autoFilter="0"/>
  <sortState xmlns:xlrd2="http://schemas.microsoft.com/office/spreadsheetml/2017/richdata2" ref="A6:BA870">
    <sortCondition ref="E6:E870"/>
    <sortCondition ref="C6:C870"/>
  </sortState>
  <mergeCells count="10">
    <mergeCell ref="H1:I1"/>
    <mergeCell ref="J1:L1"/>
    <mergeCell ref="AB1:AD1"/>
    <mergeCell ref="AB2:AD2"/>
    <mergeCell ref="AF4:AM4"/>
    <mergeCell ref="S4:U4"/>
    <mergeCell ref="V4:X4"/>
    <mergeCell ref="Y4:AA4"/>
    <mergeCell ref="J4:L4"/>
    <mergeCell ref="AB4:AD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18D81-2014-4981-8740-FF99838BE1D1}">
  <sheetPr>
    <tabColor rgb="FF00FF00"/>
  </sheetPr>
  <dimension ref="A1:AM491"/>
  <sheetViews>
    <sheetView topLeftCell="C1" zoomScaleNormal="100" workbookViewId="0">
      <pane ySplit="7" topLeftCell="A8" activePane="bottomLeft" state="frozen"/>
      <selection pane="bottomLeft" activeCell="J16" sqref="J16"/>
    </sheetView>
  </sheetViews>
  <sheetFormatPr defaultRowHeight="15" x14ac:dyDescent="0.25"/>
  <cols>
    <col min="1" max="1" width="0" hidden="1" customWidth="1"/>
    <col min="2" max="2" width="12.90625" hidden="1" customWidth="1"/>
    <col min="3" max="3" width="36.36328125" customWidth="1"/>
    <col min="4" max="4" width="12.6328125" bestFit="1" customWidth="1"/>
    <col min="5" max="6" width="0" hidden="1" customWidth="1"/>
    <col min="7" max="7" width="2.81640625" customWidth="1"/>
    <col min="8" max="15" width="12.81640625" style="139" customWidth="1"/>
    <col min="16" max="16" width="2.453125" customWidth="1"/>
    <col min="17" max="22" width="12.81640625" customWidth="1"/>
    <col min="23" max="23" width="2.08984375" customWidth="1"/>
    <col min="24" max="24" width="12.08984375" customWidth="1"/>
    <col min="25" max="25" width="13.6328125" customWidth="1"/>
    <col min="28" max="28" width="2.36328125" customWidth="1"/>
    <col min="29" max="33" width="11.81640625" customWidth="1"/>
    <col min="34" max="35" width="11.81640625" hidden="1" customWidth="1"/>
    <col min="36" max="36" width="11.81640625" customWidth="1"/>
    <col min="37" max="38" width="11.81640625" hidden="1" customWidth="1"/>
    <col min="39" max="39" width="2" customWidth="1"/>
  </cols>
  <sheetData>
    <row r="1" spans="1:39" ht="15.6" x14ac:dyDescent="0.3">
      <c r="A1" s="5"/>
      <c r="B1" s="5"/>
      <c r="C1" s="5"/>
      <c r="D1" s="5"/>
      <c r="E1" s="7"/>
      <c r="F1" s="5"/>
      <c r="G1" s="6"/>
      <c r="H1" s="7"/>
      <c r="I1" s="7"/>
      <c r="J1" s="7"/>
      <c r="K1" s="7"/>
      <c r="L1" s="7"/>
      <c r="M1" s="8"/>
      <c r="N1" s="41"/>
      <c r="O1" s="8"/>
      <c r="P1" s="6"/>
      <c r="Q1" s="254" t="s">
        <v>55</v>
      </c>
      <c r="R1" s="254"/>
      <c r="S1" s="254"/>
      <c r="T1" s="254"/>
      <c r="U1" s="254"/>
      <c r="V1" s="254"/>
      <c r="W1" s="6"/>
      <c r="X1" s="255" t="s">
        <v>56</v>
      </c>
      <c r="Y1" s="255"/>
      <c r="Z1" s="255"/>
      <c r="AA1" s="255"/>
      <c r="AB1" s="6"/>
      <c r="AC1" s="256" t="s">
        <v>57</v>
      </c>
      <c r="AD1" s="256"/>
      <c r="AE1" s="256"/>
      <c r="AF1" s="256"/>
      <c r="AG1" s="256"/>
      <c r="AH1" s="256"/>
      <c r="AI1" s="256"/>
      <c r="AJ1" s="256"/>
      <c r="AK1" s="256"/>
      <c r="AL1" s="256"/>
      <c r="AM1" s="6"/>
    </row>
    <row r="2" spans="1:39" ht="15.75" customHeight="1" x14ac:dyDescent="0.3">
      <c r="A2" s="5"/>
      <c r="B2" s="5"/>
      <c r="C2" s="244" t="s">
        <v>693</v>
      </c>
      <c r="D2" s="244"/>
      <c r="E2" s="244"/>
      <c r="F2" s="5"/>
      <c r="G2" s="6"/>
      <c r="H2" s="257" t="s">
        <v>59</v>
      </c>
      <c r="I2" s="257"/>
      <c r="J2" s="257"/>
      <c r="K2" s="257"/>
      <c r="L2" s="257"/>
      <c r="M2" s="257"/>
      <c r="N2" s="257"/>
      <c r="O2" s="257"/>
      <c r="P2" s="6"/>
      <c r="Q2" s="11" t="s">
        <v>60</v>
      </c>
      <c r="R2" s="258" t="s">
        <v>61</v>
      </c>
      <c r="S2" s="258"/>
      <c r="T2" s="258" t="s">
        <v>62</v>
      </c>
      <c r="U2" s="258"/>
      <c r="V2" s="5"/>
      <c r="W2" s="6"/>
      <c r="X2" s="259" t="s">
        <v>63</v>
      </c>
      <c r="Y2" s="259"/>
      <c r="Z2" s="259"/>
      <c r="AA2" s="259"/>
      <c r="AB2" s="6"/>
      <c r="AC2" s="5"/>
      <c r="AD2" s="5"/>
      <c r="AE2" s="5"/>
      <c r="AF2" s="5"/>
      <c r="AG2" s="5"/>
      <c r="AH2" s="5"/>
      <c r="AI2" s="79" t="s">
        <v>120</v>
      </c>
      <c r="AJ2" s="47">
        <f>SUMIF($D$8:$D$995,AI2,$AJ$8:$AJ$995)</f>
        <v>444286.3981999997</v>
      </c>
      <c r="AK2" s="5"/>
      <c r="AL2" s="5"/>
      <c r="AM2" s="6"/>
    </row>
    <row r="3" spans="1:39" ht="15.75" customHeight="1" x14ac:dyDescent="0.3">
      <c r="A3" s="5"/>
      <c r="B3" s="5"/>
      <c r="C3" s="244"/>
      <c r="D3" s="244"/>
      <c r="E3" s="244"/>
      <c r="F3" s="5"/>
      <c r="G3" s="6"/>
      <c r="H3" s="257"/>
      <c r="I3" s="257"/>
      <c r="J3" s="257"/>
      <c r="K3" s="257"/>
      <c r="L3" s="257"/>
      <c r="M3" s="257"/>
      <c r="N3" s="257"/>
      <c r="O3" s="257"/>
      <c r="P3" s="6"/>
      <c r="Q3" s="1"/>
      <c r="R3" s="260" t="s">
        <v>90</v>
      </c>
      <c r="S3" s="260"/>
      <c r="T3" s="260" t="s">
        <v>91</v>
      </c>
      <c r="U3" s="260"/>
      <c r="V3" s="5"/>
      <c r="W3" s="6"/>
      <c r="X3" s="261"/>
      <c r="Y3" s="261"/>
      <c r="Z3" s="42"/>
      <c r="AA3" s="43"/>
      <c r="AB3" s="6"/>
      <c r="AC3" s="256" t="s">
        <v>65</v>
      </c>
      <c r="AD3" s="256"/>
      <c r="AE3" s="256"/>
      <c r="AF3" s="245" t="s">
        <v>115</v>
      </c>
      <c r="AG3" s="245"/>
      <c r="AI3" s="79" t="s">
        <v>49</v>
      </c>
      <c r="AJ3" s="47">
        <f>SUMIF($D$8:$D$995,AI3,$AJ$8:$AJ$995)</f>
        <v>763035.81349999993</v>
      </c>
      <c r="AK3" s="5"/>
      <c r="AL3" s="5"/>
      <c r="AM3" s="6"/>
    </row>
    <row r="4" spans="1:39" ht="17.399999999999999" x14ac:dyDescent="0.3">
      <c r="A4" s="13"/>
      <c r="B4" s="5"/>
      <c r="C4" s="5"/>
      <c r="D4" s="5"/>
      <c r="E4" s="7"/>
      <c r="F4" s="5"/>
      <c r="G4" s="6"/>
      <c r="H4" s="14"/>
      <c r="I4" s="14"/>
      <c r="J4" s="14"/>
      <c r="K4" s="14"/>
      <c r="L4" s="14"/>
      <c r="M4" s="15"/>
      <c r="N4" s="14"/>
      <c r="O4" s="15"/>
      <c r="P4" s="6"/>
      <c r="Q4" s="1" t="s">
        <v>0</v>
      </c>
      <c r="R4" s="262">
        <v>0.4</v>
      </c>
      <c r="S4" s="262"/>
      <c r="T4" s="262">
        <v>0.6</v>
      </c>
      <c r="U4" s="262"/>
      <c r="V4" s="5"/>
      <c r="W4" s="6"/>
      <c r="X4" s="1" t="s">
        <v>116</v>
      </c>
      <c r="Y4" s="5"/>
      <c r="Z4" s="44"/>
      <c r="AA4" s="45">
        <v>0.65</v>
      </c>
      <c r="AB4" s="6"/>
      <c r="AC4" s="1" t="s">
        <v>68</v>
      </c>
      <c r="AD4" s="1"/>
      <c r="AE4" s="46">
        <v>0.1</v>
      </c>
      <c r="AF4" s="245"/>
      <c r="AG4" s="245"/>
      <c r="AH4" s="64"/>
      <c r="AI4" s="64"/>
      <c r="AJ4" s="47">
        <f>SUBTOTAL(9,AJ8:AJ595)</f>
        <v>1207322.2116999996</v>
      </c>
      <c r="AK4" s="5"/>
      <c r="AL4" s="5"/>
      <c r="AM4" s="6"/>
    </row>
    <row r="5" spans="1:39" ht="17.399999999999999" x14ac:dyDescent="0.3">
      <c r="A5" s="19"/>
      <c r="B5" s="1"/>
      <c r="C5" s="1"/>
      <c r="D5" s="1"/>
      <c r="E5" s="2"/>
      <c r="F5" s="1"/>
      <c r="G5" s="20"/>
      <c r="H5" s="2"/>
      <c r="I5" s="2"/>
      <c r="J5" s="2"/>
      <c r="K5" s="2"/>
      <c r="L5" s="2"/>
      <c r="M5" s="21"/>
      <c r="N5" s="41"/>
      <c r="O5" s="21"/>
      <c r="P5" s="20"/>
      <c r="Q5" s="1"/>
      <c r="R5" s="1"/>
      <c r="S5" s="1"/>
      <c r="T5" s="1"/>
      <c r="U5" s="1"/>
      <c r="V5" s="1"/>
      <c r="W5" s="20"/>
      <c r="X5" s="18" t="s">
        <v>433</v>
      </c>
      <c r="Y5" s="1"/>
      <c r="Z5" s="48"/>
      <c r="AA5" s="1"/>
      <c r="AB5" s="20"/>
      <c r="AC5" s="1"/>
      <c r="AD5" s="1"/>
      <c r="AE5" s="1"/>
      <c r="AF5" s="1"/>
      <c r="AG5" s="1"/>
      <c r="AH5" s="77"/>
      <c r="AI5" s="77"/>
      <c r="AJ5" s="50"/>
      <c r="AK5" s="1"/>
      <c r="AL5" s="1"/>
      <c r="AM5" s="20"/>
    </row>
    <row r="6" spans="1:39" ht="47.25" customHeight="1" x14ac:dyDescent="0.25">
      <c r="A6" s="249" t="s">
        <v>69</v>
      </c>
      <c r="B6" s="249" t="s">
        <v>70</v>
      </c>
      <c r="C6" s="249" t="s">
        <v>733</v>
      </c>
      <c r="D6" s="249" t="s">
        <v>71</v>
      </c>
      <c r="E6" s="249" t="s">
        <v>72</v>
      </c>
      <c r="F6" s="249" t="s">
        <v>73</v>
      </c>
      <c r="G6" s="23"/>
      <c r="H6" s="83" t="s">
        <v>74</v>
      </c>
      <c r="I6" s="83" t="s">
        <v>75</v>
      </c>
      <c r="J6" s="83" t="s">
        <v>76</v>
      </c>
      <c r="K6" s="83" t="s">
        <v>77</v>
      </c>
      <c r="L6" s="83" t="s">
        <v>78</v>
      </c>
      <c r="M6" s="84" t="s">
        <v>79</v>
      </c>
      <c r="N6" s="251" t="s">
        <v>80</v>
      </c>
      <c r="O6" s="252" t="s">
        <v>81</v>
      </c>
      <c r="P6" s="23"/>
      <c r="Q6" s="253" t="s">
        <v>117</v>
      </c>
      <c r="R6" s="253"/>
      <c r="S6" s="253" t="s">
        <v>83</v>
      </c>
      <c r="T6" s="253"/>
      <c r="U6" s="253" t="s">
        <v>66</v>
      </c>
      <c r="V6" s="253"/>
      <c r="W6" s="23"/>
      <c r="X6" s="246" t="s">
        <v>84</v>
      </c>
      <c r="Y6" s="246" t="s">
        <v>85</v>
      </c>
      <c r="Z6" s="51" t="s">
        <v>118</v>
      </c>
      <c r="AA6" s="246" t="s">
        <v>86</v>
      </c>
      <c r="AB6" s="23"/>
      <c r="AC6" s="245" t="s">
        <v>87</v>
      </c>
      <c r="AD6" s="245" t="s">
        <v>119</v>
      </c>
      <c r="AE6" s="245" t="s">
        <v>89</v>
      </c>
      <c r="AF6" s="245" t="s">
        <v>90</v>
      </c>
      <c r="AG6" s="245" t="s">
        <v>91</v>
      </c>
      <c r="AH6" s="247"/>
      <c r="AI6" s="247"/>
      <c r="AJ6" s="248" t="s">
        <v>92</v>
      </c>
      <c r="AK6" s="245"/>
      <c r="AL6" s="245"/>
      <c r="AM6" s="23"/>
    </row>
    <row r="7" spans="1:39" ht="51.75" customHeight="1" x14ac:dyDescent="0.25">
      <c r="A7" s="250"/>
      <c r="B7" s="250"/>
      <c r="C7" s="250"/>
      <c r="D7" s="250"/>
      <c r="E7" s="249"/>
      <c r="F7" s="249"/>
      <c r="G7" s="23"/>
      <c r="H7" s="83" t="s">
        <v>93</v>
      </c>
      <c r="I7" s="83" t="s">
        <v>94</v>
      </c>
      <c r="J7" s="83" t="s">
        <v>95</v>
      </c>
      <c r="K7" s="83" t="s">
        <v>96</v>
      </c>
      <c r="L7" s="83" t="s">
        <v>97</v>
      </c>
      <c r="M7" s="84" t="s">
        <v>98</v>
      </c>
      <c r="N7" s="251"/>
      <c r="O7" s="252"/>
      <c r="P7" s="23"/>
      <c r="Q7" s="24" t="s">
        <v>99</v>
      </c>
      <c r="R7" s="82" t="s">
        <v>100</v>
      </c>
      <c r="S7" s="24" t="s">
        <v>99</v>
      </c>
      <c r="T7" s="82" t="s">
        <v>100</v>
      </c>
      <c r="U7" s="82" t="s">
        <v>101</v>
      </c>
      <c r="V7" s="82" t="s">
        <v>102</v>
      </c>
      <c r="W7" s="23"/>
      <c r="X7" s="246"/>
      <c r="Y7" s="246"/>
      <c r="Z7" s="51"/>
      <c r="AA7" s="246"/>
      <c r="AB7" s="23"/>
      <c r="AC7" s="245"/>
      <c r="AD7" s="245"/>
      <c r="AE7" s="245"/>
      <c r="AF7" s="245"/>
      <c r="AG7" s="245"/>
      <c r="AH7" s="247"/>
      <c r="AI7" s="247"/>
      <c r="AJ7" s="248"/>
      <c r="AK7" s="245"/>
      <c r="AL7" s="245"/>
      <c r="AM7" s="23"/>
    </row>
    <row r="8" spans="1:39" ht="15.6" x14ac:dyDescent="0.3">
      <c r="A8" s="64"/>
      <c r="B8" s="64"/>
      <c r="C8" s="5" t="s">
        <v>502</v>
      </c>
      <c r="D8" s="5" t="s">
        <v>120</v>
      </c>
      <c r="E8" s="7" t="s">
        <v>0</v>
      </c>
      <c r="F8" s="26"/>
      <c r="G8" s="27"/>
      <c r="H8" s="10">
        <v>176</v>
      </c>
      <c r="I8" s="10">
        <v>64</v>
      </c>
      <c r="J8" s="10">
        <v>47</v>
      </c>
      <c r="K8" s="10">
        <v>11</v>
      </c>
      <c r="L8" s="10">
        <v>12</v>
      </c>
      <c r="M8" s="61">
        <v>3</v>
      </c>
      <c r="N8" s="9" cm="1">
        <f t="array" ref="N8">SUM((H8:L8)/5)</f>
        <v>62</v>
      </c>
      <c r="O8" s="10">
        <v>50</v>
      </c>
      <c r="P8" s="27"/>
      <c r="Q8" s="30">
        <v>49.828000000000003</v>
      </c>
      <c r="R8" s="52">
        <v>63.256999999999998</v>
      </c>
      <c r="S8" s="7">
        <v>0.441</v>
      </c>
      <c r="T8" s="7">
        <v>0.441</v>
      </c>
      <c r="U8" s="30">
        <f>IF(E8="Gas",O8*R3,O8*$R$4)</f>
        <v>20</v>
      </c>
      <c r="V8" s="30">
        <f>IF(E8="Gas",O8*T3,O8*$T$4)</f>
        <v>30</v>
      </c>
      <c r="W8" s="27"/>
      <c r="X8" s="30">
        <v>15.061999999999999</v>
      </c>
      <c r="Y8" s="30">
        <v>26.482800000000001</v>
      </c>
      <c r="Z8" s="53">
        <v>26.482800000000001</v>
      </c>
      <c r="AA8" s="54">
        <f>SUM(Z8+Z8*$AA$4)</f>
        <v>43.696620000000003</v>
      </c>
      <c r="AB8" s="27"/>
      <c r="AC8" s="4">
        <v>365</v>
      </c>
      <c r="AD8" s="32">
        <f t="shared" ref="AD8" si="0">ROUND(R8*183,2)/100</f>
        <v>115.7603</v>
      </c>
      <c r="AE8" s="32">
        <f t="shared" ref="AE8" si="1">ROUND((R8+R8*$AE$4)*(365-183),2)/100</f>
        <v>126.64049999999999</v>
      </c>
      <c r="AF8" s="32">
        <f t="shared" ref="AF8:AG8" si="2">ROUND((U8*Z8)/100,2)</f>
        <v>5.3</v>
      </c>
      <c r="AG8" s="32">
        <f t="shared" si="2"/>
        <v>13.11</v>
      </c>
      <c r="AH8" s="78"/>
      <c r="AI8" s="78"/>
      <c r="AJ8" s="55">
        <f>SUM(AD8:AG8)</f>
        <v>260.81080000000003</v>
      </c>
      <c r="AK8" s="32"/>
      <c r="AL8" s="33"/>
      <c r="AM8" s="27"/>
    </row>
    <row r="9" spans="1:39" ht="15.6" x14ac:dyDescent="0.3">
      <c r="A9" s="64"/>
      <c r="B9" s="67"/>
      <c r="C9" s="5" t="s">
        <v>503</v>
      </c>
      <c r="D9" s="5" t="s">
        <v>120</v>
      </c>
      <c r="E9" s="7" t="s">
        <v>0</v>
      </c>
      <c r="F9" s="5"/>
      <c r="G9" s="23"/>
      <c r="H9" s="10">
        <v>481</v>
      </c>
      <c r="I9" s="10">
        <v>927</v>
      </c>
      <c r="J9" s="10">
        <v>996</v>
      </c>
      <c r="K9" s="10">
        <v>1034</v>
      </c>
      <c r="L9" s="10">
        <v>1030</v>
      </c>
      <c r="M9" s="10">
        <v>462</v>
      </c>
      <c r="N9" s="9" cm="1">
        <f t="array" ref="N9">SUM((H9:L9)/5)</f>
        <v>893.6</v>
      </c>
      <c r="O9" s="10">
        <v>1030</v>
      </c>
      <c r="P9" s="23"/>
      <c r="Q9" s="4">
        <v>49.828000000000003</v>
      </c>
      <c r="R9" s="4">
        <v>63.256999999999998</v>
      </c>
      <c r="S9" s="4">
        <v>0.441</v>
      </c>
      <c r="T9" s="4">
        <v>0.441</v>
      </c>
      <c r="U9" s="30">
        <f>IF(E9="Gas",O9*#REF!,O9*$R$4)</f>
        <v>412</v>
      </c>
      <c r="V9" s="30">
        <f>IF(E9="Gas",O9*#REF!,O9*$T$4)</f>
        <v>618</v>
      </c>
      <c r="W9" s="23"/>
      <c r="X9" s="30">
        <v>15.061999999999999</v>
      </c>
      <c r="Y9" s="30">
        <v>26.506509999999999</v>
      </c>
      <c r="Z9" s="53">
        <v>26.506509999999999</v>
      </c>
      <c r="AA9" s="54">
        <f t="shared" ref="AA9:AA72" si="3">SUM(Z9+Z9*$AA$4)</f>
        <v>43.735741500000003</v>
      </c>
      <c r="AB9" s="23"/>
      <c r="AC9" s="4">
        <v>365</v>
      </c>
      <c r="AD9" s="32">
        <f t="shared" ref="AD9:AD72" si="4">ROUND(R9*183,2)/100</f>
        <v>115.7603</v>
      </c>
      <c r="AE9" s="32">
        <f t="shared" ref="AE9:AE72" si="5">ROUND((R9+R9*$AE$4)*(365-183),2)/100</f>
        <v>126.64049999999999</v>
      </c>
      <c r="AF9" s="32">
        <f t="shared" ref="AF9:AG72" si="6">ROUND((U9*Z9)/100,2)</f>
        <v>109.21</v>
      </c>
      <c r="AG9" s="32">
        <f t="shared" si="6"/>
        <v>270.29000000000002</v>
      </c>
      <c r="AH9" s="78"/>
      <c r="AI9" s="78"/>
      <c r="AJ9" s="55">
        <f t="shared" ref="AJ9:AJ72" si="7">SUM(AD9:AG9)</f>
        <v>621.9008</v>
      </c>
      <c r="AK9" s="32"/>
      <c r="AL9" s="33"/>
      <c r="AM9" s="23"/>
    </row>
    <row r="10" spans="1:39" ht="45" x14ac:dyDescent="0.3">
      <c r="A10" s="64"/>
      <c r="B10" s="64"/>
      <c r="C10" s="5" t="s">
        <v>503</v>
      </c>
      <c r="D10" s="5" t="s">
        <v>120</v>
      </c>
      <c r="E10" s="7" t="s">
        <v>0</v>
      </c>
      <c r="F10" s="5"/>
      <c r="G10" s="23"/>
      <c r="H10" s="10">
        <v>633</v>
      </c>
      <c r="I10" s="10">
        <v>861</v>
      </c>
      <c r="J10" s="10">
        <v>985</v>
      </c>
      <c r="K10" s="10">
        <v>948</v>
      </c>
      <c r="L10" s="10">
        <v>952</v>
      </c>
      <c r="M10" s="10">
        <v>453</v>
      </c>
      <c r="N10" s="9" cm="1">
        <f t="array" ref="N10">SUM((H10:L10)/5)</f>
        <v>875.8</v>
      </c>
      <c r="O10" s="10">
        <v>875</v>
      </c>
      <c r="P10" s="23"/>
      <c r="Q10" s="4">
        <v>50.334000000000003</v>
      </c>
      <c r="R10" s="4">
        <v>63.256999999999998</v>
      </c>
      <c r="S10" s="4">
        <v>0.441</v>
      </c>
      <c r="T10" s="4">
        <v>0.441</v>
      </c>
      <c r="U10" s="30">
        <f>IF(E10="Gas",O10*#REF!,O10*$R$4)</f>
        <v>350</v>
      </c>
      <c r="V10" s="30">
        <f>IF(E10="Gas",O10*#REF!,O10*$T$4)</f>
        <v>525</v>
      </c>
      <c r="W10" s="23"/>
      <c r="X10" s="30" t="s">
        <v>121</v>
      </c>
      <c r="Y10" s="30" t="s">
        <v>122</v>
      </c>
      <c r="Z10" s="53">
        <f>SUM(27.44355+25.01265+25.33079)/3</f>
        <v>25.928996666666666</v>
      </c>
      <c r="AA10" s="54">
        <f t="shared" si="3"/>
        <v>42.782844499999996</v>
      </c>
      <c r="AB10" s="23"/>
      <c r="AC10" s="4">
        <v>365</v>
      </c>
      <c r="AD10" s="32">
        <f t="shared" si="4"/>
        <v>115.7603</v>
      </c>
      <c r="AE10" s="32">
        <f t="shared" si="5"/>
        <v>126.64049999999999</v>
      </c>
      <c r="AF10" s="32">
        <f t="shared" si="6"/>
        <v>90.75</v>
      </c>
      <c r="AG10" s="32">
        <f t="shared" si="6"/>
        <v>224.61</v>
      </c>
      <c r="AH10" s="78"/>
      <c r="AI10" s="78"/>
      <c r="AJ10" s="55">
        <f t="shared" si="7"/>
        <v>557.76080000000002</v>
      </c>
      <c r="AK10" s="32"/>
      <c r="AL10" s="33"/>
      <c r="AM10" s="23"/>
    </row>
    <row r="11" spans="1:39" ht="15.6" x14ac:dyDescent="0.3">
      <c r="A11" s="64"/>
      <c r="B11" s="64"/>
      <c r="C11" s="5" t="s">
        <v>504</v>
      </c>
      <c r="D11" s="5" t="s">
        <v>120</v>
      </c>
      <c r="E11" s="7" t="s">
        <v>0</v>
      </c>
      <c r="F11" s="5"/>
      <c r="G11" s="23"/>
      <c r="H11" s="10">
        <v>1318</v>
      </c>
      <c r="I11" s="10">
        <v>1175</v>
      </c>
      <c r="J11" s="10">
        <v>1109</v>
      </c>
      <c r="K11" s="10">
        <v>691</v>
      </c>
      <c r="L11" s="10">
        <v>833</v>
      </c>
      <c r="M11" s="10">
        <v>411</v>
      </c>
      <c r="N11" s="9" cm="1">
        <f t="array" ref="N11">SUM((H11:L11)/5)</f>
        <v>1025.2</v>
      </c>
      <c r="O11" s="10">
        <v>900</v>
      </c>
      <c r="P11" s="23"/>
      <c r="Q11" s="4">
        <v>49.828000000000003</v>
      </c>
      <c r="R11" s="4">
        <v>63.256999999999998</v>
      </c>
      <c r="S11" s="4">
        <v>0.441</v>
      </c>
      <c r="T11" s="4">
        <v>0.441</v>
      </c>
      <c r="U11" s="30">
        <f>IF(E11="Gas",O11*#REF!,O11*$R$4)</f>
        <v>360</v>
      </c>
      <c r="V11" s="30">
        <f>IF(E11="Gas",O11*#REF!,O11*$T$4)</f>
        <v>540</v>
      </c>
      <c r="W11" s="23"/>
      <c r="X11" s="30">
        <v>15.061999999999999</v>
      </c>
      <c r="Y11" s="30">
        <v>26.50657</v>
      </c>
      <c r="Z11" s="53">
        <v>26.50657</v>
      </c>
      <c r="AA11" s="54">
        <f t="shared" si="3"/>
        <v>43.735840500000002</v>
      </c>
      <c r="AB11" s="23"/>
      <c r="AC11" s="4">
        <v>365</v>
      </c>
      <c r="AD11" s="32">
        <f t="shared" si="4"/>
        <v>115.7603</v>
      </c>
      <c r="AE11" s="32">
        <f t="shared" si="5"/>
        <v>126.64049999999999</v>
      </c>
      <c r="AF11" s="32">
        <f t="shared" si="6"/>
        <v>95.42</v>
      </c>
      <c r="AG11" s="32">
        <f t="shared" si="6"/>
        <v>236.17</v>
      </c>
      <c r="AH11" s="78"/>
      <c r="AI11" s="78"/>
      <c r="AJ11" s="55">
        <f t="shared" si="7"/>
        <v>573.99080000000004</v>
      </c>
      <c r="AK11" s="32"/>
      <c r="AL11" s="33"/>
      <c r="AM11" s="23"/>
    </row>
    <row r="12" spans="1:39" ht="15.6" x14ac:dyDescent="0.3">
      <c r="A12" s="64"/>
      <c r="B12" s="66"/>
      <c r="C12" s="5" t="s">
        <v>491</v>
      </c>
      <c r="D12" s="5" t="s">
        <v>120</v>
      </c>
      <c r="E12" s="7" t="s">
        <v>0</v>
      </c>
      <c r="F12" s="5"/>
      <c r="G12" s="23"/>
      <c r="H12" s="10"/>
      <c r="I12" s="10"/>
      <c r="J12" s="10"/>
      <c r="K12" s="10"/>
      <c r="L12" s="10"/>
      <c r="M12" s="10"/>
      <c r="N12" s="9" cm="1">
        <f t="array" ref="N12">SUM((H12:L12)/5)</f>
        <v>0</v>
      </c>
      <c r="O12" s="10"/>
      <c r="P12" s="23"/>
      <c r="Q12" s="81"/>
      <c r="R12" s="81"/>
      <c r="S12" s="81"/>
      <c r="T12" s="81"/>
      <c r="U12" s="30">
        <f>IF(E12="Gas",O12*#REF!,O12*$R$4)</f>
        <v>0</v>
      </c>
      <c r="V12" s="30">
        <f>IF(E12="Gas",O12*#REF!,O12*$T$4)</f>
        <v>0</v>
      </c>
      <c r="W12" s="23"/>
      <c r="X12" s="30"/>
      <c r="Y12" s="30"/>
      <c r="Z12" s="53"/>
      <c r="AA12" s="54">
        <f t="shared" si="3"/>
        <v>0</v>
      </c>
      <c r="AB12" s="23"/>
      <c r="AC12" s="4">
        <v>365</v>
      </c>
      <c r="AD12" s="32">
        <f t="shared" si="4"/>
        <v>0</v>
      </c>
      <c r="AE12" s="32">
        <f t="shared" si="5"/>
        <v>0</v>
      </c>
      <c r="AF12" s="32">
        <f t="shared" si="6"/>
        <v>0</v>
      </c>
      <c r="AG12" s="32">
        <f t="shared" si="6"/>
        <v>0</v>
      </c>
      <c r="AH12" s="78"/>
      <c r="AI12" s="78"/>
      <c r="AJ12" s="55">
        <f t="shared" si="7"/>
        <v>0</v>
      </c>
      <c r="AK12" s="32"/>
      <c r="AL12" s="33"/>
      <c r="AM12" s="23"/>
    </row>
    <row r="13" spans="1:39" ht="45" x14ac:dyDescent="0.3">
      <c r="A13" s="64"/>
      <c r="B13" s="64"/>
      <c r="C13" s="5" t="s">
        <v>505</v>
      </c>
      <c r="D13" s="5" t="s">
        <v>120</v>
      </c>
      <c r="E13" s="7" t="s">
        <v>0</v>
      </c>
      <c r="F13" s="5"/>
      <c r="G13" s="23"/>
      <c r="H13" s="10">
        <v>480</v>
      </c>
      <c r="I13" s="10">
        <v>376</v>
      </c>
      <c r="J13" s="10">
        <v>568</v>
      </c>
      <c r="K13" s="10">
        <v>766</v>
      </c>
      <c r="L13" s="10">
        <v>693</v>
      </c>
      <c r="M13" s="10">
        <v>483</v>
      </c>
      <c r="N13" s="9" cm="1">
        <f t="array" ref="N13">SUM((H13:L13)/5)</f>
        <v>576.59999999999991</v>
      </c>
      <c r="O13" s="10">
        <v>700</v>
      </c>
      <c r="P13" s="23"/>
      <c r="Q13" s="4">
        <v>50.334000000000003</v>
      </c>
      <c r="R13" s="4">
        <v>63.256999999999998</v>
      </c>
      <c r="S13" s="4">
        <v>0.441</v>
      </c>
      <c r="T13" s="4">
        <v>0.441</v>
      </c>
      <c r="U13" s="30">
        <f>IF(E13="Gas",O13*#REF!,O13*$R$4)</f>
        <v>280</v>
      </c>
      <c r="V13" s="30">
        <f>IF(E13="Gas",O13*#REF!,O13*$T$4)</f>
        <v>420</v>
      </c>
      <c r="W13" s="23"/>
      <c r="X13" s="30" t="s">
        <v>123</v>
      </c>
      <c r="Y13" s="30" t="s">
        <v>124</v>
      </c>
      <c r="Z13" s="53">
        <f>SUM(27.45338+25.02322+25.3977)/3</f>
        <v>25.958100000000002</v>
      </c>
      <c r="AA13" s="54">
        <f t="shared" si="3"/>
        <v>42.830865000000003</v>
      </c>
      <c r="AB13" s="23"/>
      <c r="AC13" s="4">
        <v>365</v>
      </c>
      <c r="AD13" s="32">
        <f t="shared" si="4"/>
        <v>115.7603</v>
      </c>
      <c r="AE13" s="32">
        <f t="shared" si="5"/>
        <v>126.64049999999999</v>
      </c>
      <c r="AF13" s="32">
        <f t="shared" si="6"/>
        <v>72.680000000000007</v>
      </c>
      <c r="AG13" s="32">
        <f t="shared" si="6"/>
        <v>179.89</v>
      </c>
      <c r="AH13" s="78"/>
      <c r="AI13" s="78"/>
      <c r="AJ13" s="55">
        <f t="shared" si="7"/>
        <v>494.9708</v>
      </c>
      <c r="AK13" s="32"/>
      <c r="AL13" s="33"/>
      <c r="AM13" s="23"/>
    </row>
    <row r="14" spans="1:39" ht="15.6" x14ac:dyDescent="0.3">
      <c r="A14" s="64"/>
      <c r="B14" s="64"/>
      <c r="C14" s="5" t="s">
        <v>436</v>
      </c>
      <c r="D14" s="5" t="s">
        <v>120</v>
      </c>
      <c r="E14" s="7" t="s">
        <v>0</v>
      </c>
      <c r="F14" s="5"/>
      <c r="G14" s="23"/>
      <c r="H14" s="10">
        <v>293</v>
      </c>
      <c r="I14" s="10">
        <v>334</v>
      </c>
      <c r="J14" s="10">
        <v>332</v>
      </c>
      <c r="K14" s="10">
        <v>361</v>
      </c>
      <c r="L14" s="10">
        <v>357</v>
      </c>
      <c r="M14" s="10">
        <v>139</v>
      </c>
      <c r="N14" s="9" cm="1">
        <f t="array" ref="N14">SUM((H14:L14)/5)</f>
        <v>335.4</v>
      </c>
      <c r="O14" s="10">
        <v>350</v>
      </c>
      <c r="P14" s="23"/>
      <c r="Q14" s="4">
        <v>49.828000000000003</v>
      </c>
      <c r="R14" s="4"/>
      <c r="S14" s="4">
        <v>0.441</v>
      </c>
      <c r="T14" s="4"/>
      <c r="U14" s="30">
        <f t="shared" ref="U14:U72" si="8">IF(E14="Gas",O14*R9,O14*$R$4)</f>
        <v>140</v>
      </c>
      <c r="V14" s="30">
        <f t="shared" ref="V14:V72" si="9">IF(E14="Gas",O14*T9,O14*$T$4)</f>
        <v>210</v>
      </c>
      <c r="W14" s="23"/>
      <c r="X14" s="30">
        <v>15.061999999999999</v>
      </c>
      <c r="Y14" s="30"/>
      <c r="Z14" s="53"/>
      <c r="AA14" s="54">
        <f t="shared" si="3"/>
        <v>0</v>
      </c>
      <c r="AB14" s="23"/>
      <c r="AC14" s="4">
        <v>365</v>
      </c>
      <c r="AD14" s="32">
        <f t="shared" si="4"/>
        <v>0</v>
      </c>
      <c r="AE14" s="32">
        <f t="shared" si="5"/>
        <v>0</v>
      </c>
      <c r="AF14" s="32">
        <f t="shared" si="6"/>
        <v>0</v>
      </c>
      <c r="AG14" s="32">
        <f t="shared" si="6"/>
        <v>0</v>
      </c>
      <c r="AH14" s="78"/>
      <c r="AI14" s="78"/>
      <c r="AJ14" s="55">
        <f t="shared" si="7"/>
        <v>0</v>
      </c>
      <c r="AK14" s="32"/>
      <c r="AL14" s="33"/>
      <c r="AM14" s="23"/>
    </row>
    <row r="15" spans="1:39" ht="15.6" x14ac:dyDescent="0.3">
      <c r="A15" s="64"/>
      <c r="B15" s="67"/>
      <c r="C15" s="5" t="s">
        <v>506</v>
      </c>
      <c r="D15" s="5" t="s">
        <v>120</v>
      </c>
      <c r="E15" s="7" t="s">
        <v>0</v>
      </c>
      <c r="F15" s="5"/>
      <c r="G15" s="23"/>
      <c r="H15" s="10">
        <v>15</v>
      </c>
      <c r="I15" s="10">
        <v>12</v>
      </c>
      <c r="J15" s="10">
        <v>121</v>
      </c>
      <c r="K15" s="10">
        <v>31</v>
      </c>
      <c r="L15" s="10">
        <v>22</v>
      </c>
      <c r="M15" s="10">
        <v>15</v>
      </c>
      <c r="N15" s="9" cm="1">
        <f t="array" ref="N15">SUM((H15:L15)/5)</f>
        <v>40.200000000000003</v>
      </c>
      <c r="O15" s="10">
        <v>40</v>
      </c>
      <c r="P15" s="23"/>
      <c r="Q15" s="4">
        <v>49.828000000000003</v>
      </c>
      <c r="R15" s="4">
        <v>63.256999999999998</v>
      </c>
      <c r="S15" s="4">
        <v>0.441</v>
      </c>
      <c r="T15" s="4">
        <v>0.441</v>
      </c>
      <c r="U15" s="30">
        <f t="shared" si="8"/>
        <v>16</v>
      </c>
      <c r="V15" s="30">
        <f t="shared" si="9"/>
        <v>24</v>
      </c>
      <c r="W15" s="23"/>
      <c r="X15" s="30">
        <v>15.061999999999999</v>
      </c>
      <c r="Y15" s="30">
        <v>26.519559999999998</v>
      </c>
      <c r="Z15" s="53">
        <v>26.519559999999998</v>
      </c>
      <c r="AA15" s="54">
        <f t="shared" si="3"/>
        <v>43.757273999999995</v>
      </c>
      <c r="AB15" s="23"/>
      <c r="AC15" s="4">
        <v>365</v>
      </c>
      <c r="AD15" s="32">
        <f t="shared" si="4"/>
        <v>115.7603</v>
      </c>
      <c r="AE15" s="32">
        <f t="shared" si="5"/>
        <v>126.64049999999999</v>
      </c>
      <c r="AF15" s="32">
        <f t="shared" si="6"/>
        <v>4.24</v>
      </c>
      <c r="AG15" s="32">
        <f t="shared" si="6"/>
        <v>10.5</v>
      </c>
      <c r="AH15" s="78"/>
      <c r="AI15" s="78"/>
      <c r="AJ15" s="55">
        <f t="shared" si="7"/>
        <v>257.14080000000001</v>
      </c>
      <c r="AK15" s="32"/>
      <c r="AL15" s="33"/>
      <c r="AM15" s="23"/>
    </row>
    <row r="16" spans="1:39" ht="30" x14ac:dyDescent="0.3">
      <c r="A16" s="64"/>
      <c r="B16" s="64"/>
      <c r="C16" s="5" t="s">
        <v>507</v>
      </c>
      <c r="D16" s="5" t="s">
        <v>120</v>
      </c>
      <c r="E16" s="7" t="s">
        <v>0</v>
      </c>
      <c r="F16" s="5"/>
      <c r="G16" s="23"/>
      <c r="H16" s="10">
        <v>480</v>
      </c>
      <c r="I16" s="10">
        <v>478</v>
      </c>
      <c r="J16" s="10">
        <v>595</v>
      </c>
      <c r="K16" s="10">
        <v>502</v>
      </c>
      <c r="L16" s="10">
        <v>2165</v>
      </c>
      <c r="M16" s="10">
        <v>1223</v>
      </c>
      <c r="N16" s="9" cm="1">
        <f t="array" ref="N16">SUM((H16:L16)/5)</f>
        <v>844</v>
      </c>
      <c r="O16" s="10">
        <v>950</v>
      </c>
      <c r="P16" s="23"/>
      <c r="Q16" s="4">
        <v>49.325000000000003</v>
      </c>
      <c r="R16" s="4">
        <v>72.016000000000005</v>
      </c>
      <c r="S16" s="4">
        <v>0.441</v>
      </c>
      <c r="T16" s="4">
        <v>0.441</v>
      </c>
      <c r="U16" s="30">
        <f t="shared" si="8"/>
        <v>380</v>
      </c>
      <c r="V16" s="30">
        <f t="shared" si="9"/>
        <v>570</v>
      </c>
      <c r="W16" s="23"/>
      <c r="X16" s="30" t="s">
        <v>125</v>
      </c>
      <c r="Y16" s="30" t="s">
        <v>126</v>
      </c>
      <c r="Z16" s="53">
        <f>SUM(27.35077+25.22353)/2</f>
        <v>26.28715</v>
      </c>
      <c r="AA16" s="54">
        <f t="shared" si="3"/>
        <v>43.373797500000002</v>
      </c>
      <c r="AB16" s="23"/>
      <c r="AC16" s="4">
        <v>365</v>
      </c>
      <c r="AD16" s="32">
        <f t="shared" si="4"/>
        <v>131.7893</v>
      </c>
      <c r="AE16" s="32">
        <f t="shared" si="5"/>
        <v>144.17600000000002</v>
      </c>
      <c r="AF16" s="32">
        <f t="shared" si="6"/>
        <v>99.89</v>
      </c>
      <c r="AG16" s="32">
        <f t="shared" si="6"/>
        <v>247.23</v>
      </c>
      <c r="AH16" s="78"/>
      <c r="AI16" s="78"/>
      <c r="AJ16" s="55">
        <f t="shared" si="7"/>
        <v>623.08529999999996</v>
      </c>
      <c r="AK16" s="32"/>
      <c r="AL16" s="33"/>
      <c r="AM16" s="23"/>
    </row>
    <row r="17" spans="1:39" ht="15.6" x14ac:dyDescent="0.3">
      <c r="A17" s="64"/>
      <c r="B17" s="64"/>
      <c r="C17" s="5" t="s">
        <v>507</v>
      </c>
      <c r="D17" s="5" t="s">
        <v>120</v>
      </c>
      <c r="E17" s="7" t="s">
        <v>0</v>
      </c>
      <c r="F17" s="5"/>
      <c r="G17" s="23"/>
      <c r="H17" s="10">
        <v>8</v>
      </c>
      <c r="I17" s="10">
        <v>171</v>
      </c>
      <c r="J17" s="10">
        <v>134</v>
      </c>
      <c r="K17" s="10">
        <v>105</v>
      </c>
      <c r="L17" s="10">
        <v>137</v>
      </c>
      <c r="M17" s="10">
        <v>56</v>
      </c>
      <c r="N17" s="9" cm="1">
        <f t="array" ref="N17">SUM((H17:L17)/5)</f>
        <v>111</v>
      </c>
      <c r="O17" s="10">
        <v>110</v>
      </c>
      <c r="P17" s="23"/>
      <c r="Q17" s="4">
        <v>49.828000000000003</v>
      </c>
      <c r="R17" s="4">
        <v>63.256999999999998</v>
      </c>
      <c r="S17" s="4">
        <v>0.441</v>
      </c>
      <c r="T17" s="4">
        <v>0.441</v>
      </c>
      <c r="U17" s="30">
        <f t="shared" si="8"/>
        <v>44</v>
      </c>
      <c r="V17" s="30">
        <f t="shared" si="9"/>
        <v>66</v>
      </c>
      <c r="W17" s="23"/>
      <c r="X17" s="30">
        <v>15.061999999999999</v>
      </c>
      <c r="Y17" s="30">
        <v>26.507680000000001</v>
      </c>
      <c r="Z17" s="53">
        <v>26.507680000000001</v>
      </c>
      <c r="AA17" s="54">
        <f t="shared" si="3"/>
        <v>43.737672000000003</v>
      </c>
      <c r="AB17" s="23"/>
      <c r="AC17" s="4">
        <v>365</v>
      </c>
      <c r="AD17" s="32">
        <f t="shared" si="4"/>
        <v>115.7603</v>
      </c>
      <c r="AE17" s="32">
        <f t="shared" si="5"/>
        <v>126.64049999999999</v>
      </c>
      <c r="AF17" s="32">
        <f t="shared" si="6"/>
        <v>11.66</v>
      </c>
      <c r="AG17" s="32">
        <f t="shared" si="6"/>
        <v>28.87</v>
      </c>
      <c r="AH17" s="78"/>
      <c r="AI17" s="78"/>
      <c r="AJ17" s="55">
        <f t="shared" si="7"/>
        <v>282.93079999999998</v>
      </c>
      <c r="AK17" s="32"/>
      <c r="AL17" s="33"/>
      <c r="AM17" s="23"/>
    </row>
    <row r="18" spans="1:39" ht="15.6" x14ac:dyDescent="0.3">
      <c r="A18" s="64"/>
      <c r="B18" s="64"/>
      <c r="C18" s="5" t="s">
        <v>507</v>
      </c>
      <c r="D18" s="5" t="s">
        <v>120</v>
      </c>
      <c r="E18" s="7" t="s">
        <v>0</v>
      </c>
      <c r="F18" s="5"/>
      <c r="G18" s="23"/>
      <c r="H18" s="10">
        <v>21</v>
      </c>
      <c r="I18" s="10">
        <v>83</v>
      </c>
      <c r="J18" s="10">
        <v>39</v>
      </c>
      <c r="K18" s="10">
        <v>13</v>
      </c>
      <c r="L18" s="10">
        <v>18</v>
      </c>
      <c r="M18" s="10">
        <v>9</v>
      </c>
      <c r="N18" s="9" cm="1">
        <f t="array" ref="N18">SUM((H18:L18)/5)</f>
        <v>34.800000000000004</v>
      </c>
      <c r="O18" s="10">
        <v>35</v>
      </c>
      <c r="P18" s="23"/>
      <c r="Q18" s="4">
        <v>49.828000000000003</v>
      </c>
      <c r="R18" s="4">
        <v>63.256999999999998</v>
      </c>
      <c r="S18" s="4">
        <v>0.441</v>
      </c>
      <c r="T18" s="4">
        <v>0.441</v>
      </c>
      <c r="U18" s="30">
        <f t="shared" si="8"/>
        <v>14</v>
      </c>
      <c r="V18" s="30">
        <f t="shared" si="9"/>
        <v>21</v>
      </c>
      <c r="W18" s="23"/>
      <c r="X18" s="30">
        <v>15.061999999999999</v>
      </c>
      <c r="Y18" s="30">
        <v>26.503209999999999</v>
      </c>
      <c r="Z18" s="53">
        <v>26.503209999999999</v>
      </c>
      <c r="AA18" s="54">
        <f t="shared" si="3"/>
        <v>43.730296499999994</v>
      </c>
      <c r="AB18" s="23"/>
      <c r="AC18" s="4">
        <v>365</v>
      </c>
      <c r="AD18" s="32">
        <f t="shared" si="4"/>
        <v>115.7603</v>
      </c>
      <c r="AE18" s="32">
        <f t="shared" si="5"/>
        <v>126.64049999999999</v>
      </c>
      <c r="AF18" s="32">
        <f t="shared" si="6"/>
        <v>3.71</v>
      </c>
      <c r="AG18" s="32">
        <f t="shared" si="6"/>
        <v>9.18</v>
      </c>
      <c r="AH18" s="78"/>
      <c r="AI18" s="78"/>
      <c r="AJ18" s="55">
        <f t="shared" si="7"/>
        <v>255.29080000000002</v>
      </c>
      <c r="AK18" s="32"/>
      <c r="AL18" s="33"/>
      <c r="AM18" s="23"/>
    </row>
    <row r="19" spans="1:39" ht="15.6" x14ac:dyDescent="0.3">
      <c r="A19" s="64"/>
      <c r="B19" s="64"/>
      <c r="C19" s="5" t="s">
        <v>437</v>
      </c>
      <c r="D19" s="5" t="s">
        <v>120</v>
      </c>
      <c r="E19" s="7" t="s">
        <v>0</v>
      </c>
      <c r="F19" s="5"/>
      <c r="G19" s="23"/>
      <c r="H19" s="10">
        <v>0</v>
      </c>
      <c r="I19" s="10">
        <v>0</v>
      </c>
      <c r="J19" s="10">
        <v>28</v>
      </c>
      <c r="K19" s="10">
        <v>0</v>
      </c>
      <c r="L19" s="10">
        <v>0</v>
      </c>
      <c r="M19" s="10">
        <v>0</v>
      </c>
      <c r="N19" s="9" cm="1">
        <f t="array" ref="N19">SUM((H19:L19)/5)</f>
        <v>5.6</v>
      </c>
      <c r="O19" s="10">
        <v>10</v>
      </c>
      <c r="P19" s="23"/>
      <c r="Q19" s="4">
        <v>49.828000000000003</v>
      </c>
      <c r="R19" s="4">
        <v>63.256999999999998</v>
      </c>
      <c r="S19" s="4">
        <v>0.441</v>
      </c>
      <c r="T19" s="4">
        <v>0.441</v>
      </c>
      <c r="U19" s="30">
        <f t="shared" si="8"/>
        <v>4</v>
      </c>
      <c r="V19" s="30">
        <f t="shared" si="9"/>
        <v>6</v>
      </c>
      <c r="W19" s="23"/>
      <c r="X19" s="30">
        <v>15.061999999999999</v>
      </c>
      <c r="Y19" s="30">
        <v>25.870339999999999</v>
      </c>
      <c r="Z19" s="53">
        <v>25.870339999999999</v>
      </c>
      <c r="AA19" s="54">
        <f t="shared" si="3"/>
        <v>42.686060999999995</v>
      </c>
      <c r="AB19" s="23"/>
      <c r="AC19" s="4">
        <v>365</v>
      </c>
      <c r="AD19" s="32">
        <f t="shared" si="4"/>
        <v>115.7603</v>
      </c>
      <c r="AE19" s="32">
        <f t="shared" si="5"/>
        <v>126.64049999999999</v>
      </c>
      <c r="AF19" s="32">
        <f t="shared" si="6"/>
        <v>1.03</v>
      </c>
      <c r="AG19" s="32">
        <f t="shared" si="6"/>
        <v>2.56</v>
      </c>
      <c r="AH19" s="78"/>
      <c r="AI19" s="78"/>
      <c r="AJ19" s="55">
        <f t="shared" si="7"/>
        <v>245.99080000000001</v>
      </c>
      <c r="AK19" s="32"/>
      <c r="AL19" s="33"/>
      <c r="AM19" s="23"/>
    </row>
    <row r="20" spans="1:39" ht="15.6" x14ac:dyDescent="0.3">
      <c r="A20" s="64"/>
      <c r="B20" s="64"/>
      <c r="C20" s="5" t="s">
        <v>508</v>
      </c>
      <c r="D20" s="5" t="s">
        <v>120</v>
      </c>
      <c r="E20" s="7" t="s">
        <v>0</v>
      </c>
      <c r="F20" s="5"/>
      <c r="G20" s="23"/>
      <c r="H20" s="10">
        <v>161</v>
      </c>
      <c r="I20" s="10">
        <v>155</v>
      </c>
      <c r="J20" s="10">
        <v>160</v>
      </c>
      <c r="K20" s="10">
        <v>153</v>
      </c>
      <c r="L20" s="10">
        <v>156</v>
      </c>
      <c r="M20" s="10">
        <v>62</v>
      </c>
      <c r="N20" s="9" cm="1">
        <f t="array" ref="N20">SUM((H20:L20)/5)</f>
        <v>157</v>
      </c>
      <c r="O20" s="10">
        <v>155</v>
      </c>
      <c r="P20" s="23"/>
      <c r="Q20" s="81"/>
      <c r="R20" s="81"/>
      <c r="S20" s="81"/>
      <c r="T20" s="81"/>
      <c r="U20" s="30">
        <f t="shared" si="8"/>
        <v>62</v>
      </c>
      <c r="V20" s="30">
        <f t="shared" si="9"/>
        <v>93</v>
      </c>
      <c r="W20" s="23"/>
      <c r="X20" s="30"/>
      <c r="Y20" s="30"/>
      <c r="Z20" s="53"/>
      <c r="AA20" s="54">
        <f t="shared" si="3"/>
        <v>0</v>
      </c>
      <c r="AB20" s="23"/>
      <c r="AC20" s="4">
        <v>365</v>
      </c>
      <c r="AD20" s="32">
        <f t="shared" si="4"/>
        <v>0</v>
      </c>
      <c r="AE20" s="32">
        <f t="shared" si="5"/>
        <v>0</v>
      </c>
      <c r="AF20" s="32">
        <f t="shared" si="6"/>
        <v>0</v>
      </c>
      <c r="AG20" s="32">
        <f t="shared" si="6"/>
        <v>0</v>
      </c>
      <c r="AH20" s="78"/>
      <c r="AI20" s="78"/>
      <c r="AJ20" s="55">
        <f t="shared" si="7"/>
        <v>0</v>
      </c>
      <c r="AK20" s="32"/>
      <c r="AL20" s="33"/>
      <c r="AM20" s="23"/>
    </row>
    <row r="21" spans="1:39" ht="30" x14ac:dyDescent="0.3">
      <c r="A21" s="64"/>
      <c r="B21" s="64"/>
      <c r="C21" s="5" t="s">
        <v>509</v>
      </c>
      <c r="D21" s="5" t="s">
        <v>120</v>
      </c>
      <c r="E21" s="7" t="s">
        <v>0</v>
      </c>
      <c r="F21" s="5"/>
      <c r="G21" s="23"/>
      <c r="H21" s="10">
        <v>1670</v>
      </c>
      <c r="I21" s="10">
        <v>1657</v>
      </c>
      <c r="J21" s="10">
        <v>1675</v>
      </c>
      <c r="K21" s="10">
        <v>1680</v>
      </c>
      <c r="L21" s="10">
        <v>1747</v>
      </c>
      <c r="M21" s="10">
        <v>902</v>
      </c>
      <c r="N21" s="9" cm="1">
        <f t="array" ref="N21">SUM((H21:L21)/5)</f>
        <v>1685.8000000000002</v>
      </c>
      <c r="O21" s="10">
        <v>1700</v>
      </c>
      <c r="P21" s="23"/>
      <c r="Q21" s="4">
        <v>49.325000000000003</v>
      </c>
      <c r="R21" s="4">
        <v>72.016000000000005</v>
      </c>
      <c r="S21" s="4">
        <v>0.441</v>
      </c>
      <c r="T21" s="4">
        <v>0.441</v>
      </c>
      <c r="U21" s="30">
        <f t="shared" si="8"/>
        <v>680</v>
      </c>
      <c r="V21" s="30">
        <f t="shared" si="9"/>
        <v>1020</v>
      </c>
      <c r="W21" s="23"/>
      <c r="X21" s="30" t="s">
        <v>127</v>
      </c>
      <c r="Y21" s="30" t="s">
        <v>128</v>
      </c>
      <c r="Z21" s="53">
        <f>SUM(27.17209+25.04854)/2</f>
        <v>26.110315</v>
      </c>
      <c r="AA21" s="54">
        <f t="shared" si="3"/>
        <v>43.082019750000001</v>
      </c>
      <c r="AB21" s="23"/>
      <c r="AC21" s="4">
        <v>365</v>
      </c>
      <c r="AD21" s="32">
        <f t="shared" si="4"/>
        <v>131.7893</v>
      </c>
      <c r="AE21" s="32">
        <f t="shared" si="5"/>
        <v>144.17600000000002</v>
      </c>
      <c r="AF21" s="32">
        <f t="shared" si="6"/>
        <v>177.55</v>
      </c>
      <c r="AG21" s="32">
        <f t="shared" si="6"/>
        <v>439.44</v>
      </c>
      <c r="AH21" s="78"/>
      <c r="AI21" s="78"/>
      <c r="AJ21" s="55">
        <f t="shared" si="7"/>
        <v>892.95530000000008</v>
      </c>
      <c r="AK21" s="32"/>
      <c r="AL21" s="33"/>
      <c r="AM21" s="23"/>
    </row>
    <row r="22" spans="1:39" ht="30" x14ac:dyDescent="0.3">
      <c r="A22" s="64"/>
      <c r="B22" s="64"/>
      <c r="C22" s="5" t="s">
        <v>564</v>
      </c>
      <c r="D22" s="5" t="s">
        <v>120</v>
      </c>
      <c r="E22" s="7" t="s">
        <v>0</v>
      </c>
      <c r="F22" s="5"/>
      <c r="G22" s="23"/>
      <c r="H22" s="10">
        <v>2058</v>
      </c>
      <c r="I22" s="10">
        <v>2045</v>
      </c>
      <c r="J22" s="10">
        <v>2009</v>
      </c>
      <c r="K22" s="10">
        <v>2239</v>
      </c>
      <c r="L22" s="10">
        <v>1571</v>
      </c>
      <c r="M22" s="10">
        <v>1183</v>
      </c>
      <c r="N22" s="9" cm="1">
        <f t="array" ref="N22">SUM((H22:L22)/5)</f>
        <v>1984.4</v>
      </c>
      <c r="O22" s="10">
        <v>1980</v>
      </c>
      <c r="P22" s="23"/>
      <c r="Q22" s="4">
        <v>49.325000000000003</v>
      </c>
      <c r="R22" s="4">
        <v>72.016000000000005</v>
      </c>
      <c r="S22" s="4">
        <v>0.441</v>
      </c>
      <c r="T22" s="4">
        <v>0.441</v>
      </c>
      <c r="U22" s="30">
        <f t="shared" si="8"/>
        <v>792</v>
      </c>
      <c r="V22" s="30">
        <f t="shared" si="9"/>
        <v>1188</v>
      </c>
      <c r="W22" s="23"/>
      <c r="X22" s="30" t="s">
        <v>129</v>
      </c>
      <c r="Y22" s="30" t="s">
        <v>130</v>
      </c>
      <c r="Z22" s="53">
        <f>SUM(27.21369+25.09009)/2</f>
        <v>26.151890000000002</v>
      </c>
      <c r="AA22" s="54">
        <f t="shared" si="3"/>
        <v>43.150618500000007</v>
      </c>
      <c r="AB22" s="23"/>
      <c r="AC22" s="4">
        <v>365</v>
      </c>
      <c r="AD22" s="32">
        <f t="shared" si="4"/>
        <v>131.7893</v>
      </c>
      <c r="AE22" s="32">
        <f t="shared" si="5"/>
        <v>144.17600000000002</v>
      </c>
      <c r="AF22" s="32">
        <f t="shared" si="6"/>
        <v>207.12</v>
      </c>
      <c r="AG22" s="32">
        <f t="shared" si="6"/>
        <v>512.63</v>
      </c>
      <c r="AH22" s="78"/>
      <c r="AI22" s="78"/>
      <c r="AJ22" s="55">
        <f t="shared" si="7"/>
        <v>995.71530000000007</v>
      </c>
      <c r="AK22" s="32"/>
      <c r="AL22" s="33"/>
      <c r="AM22" s="23"/>
    </row>
    <row r="23" spans="1:39" ht="15.6" x14ac:dyDescent="0.3">
      <c r="A23" s="64"/>
      <c r="B23" s="68"/>
      <c r="C23" s="5" t="s">
        <v>510</v>
      </c>
      <c r="D23" s="5" t="s">
        <v>120</v>
      </c>
      <c r="E23" s="7" t="s">
        <v>0</v>
      </c>
      <c r="F23" s="5"/>
      <c r="G23" s="23"/>
      <c r="H23" s="10">
        <v>0</v>
      </c>
      <c r="I23" s="10">
        <v>29</v>
      </c>
      <c r="J23" s="10">
        <v>952</v>
      </c>
      <c r="K23" s="10">
        <v>433</v>
      </c>
      <c r="L23" s="10">
        <v>989</v>
      </c>
      <c r="M23" s="10">
        <v>333</v>
      </c>
      <c r="N23" s="9" cm="1">
        <f t="array" ref="N23">SUM((H23:L23)/5)</f>
        <v>480.6</v>
      </c>
      <c r="O23" s="10">
        <v>500</v>
      </c>
      <c r="P23" s="23"/>
      <c r="Q23" s="4">
        <v>48.128</v>
      </c>
      <c r="R23" s="81"/>
      <c r="S23" s="4">
        <v>0.441</v>
      </c>
      <c r="T23" s="81"/>
      <c r="U23" s="30">
        <f t="shared" si="8"/>
        <v>200</v>
      </c>
      <c r="V23" s="30">
        <f t="shared" si="9"/>
        <v>300</v>
      </c>
      <c r="W23" s="23"/>
      <c r="X23" s="30">
        <v>27.713999999999999</v>
      </c>
      <c r="Y23" s="56"/>
      <c r="Z23" s="53"/>
      <c r="AA23" s="54">
        <f t="shared" si="3"/>
        <v>0</v>
      </c>
      <c r="AB23" s="23"/>
      <c r="AC23" s="4">
        <v>365</v>
      </c>
      <c r="AD23" s="32">
        <f t="shared" si="4"/>
        <v>0</v>
      </c>
      <c r="AE23" s="32">
        <f t="shared" si="5"/>
        <v>0</v>
      </c>
      <c r="AF23" s="32">
        <f t="shared" si="6"/>
        <v>0</v>
      </c>
      <c r="AG23" s="32">
        <f t="shared" si="6"/>
        <v>0</v>
      </c>
      <c r="AH23" s="78"/>
      <c r="AI23" s="78"/>
      <c r="AJ23" s="55">
        <f t="shared" si="7"/>
        <v>0</v>
      </c>
      <c r="AK23" s="32"/>
      <c r="AL23" s="33"/>
      <c r="AM23" s="23"/>
    </row>
    <row r="24" spans="1:39" ht="30" x14ac:dyDescent="0.3">
      <c r="A24" s="64"/>
      <c r="B24" s="64"/>
      <c r="C24" s="5" t="s">
        <v>511</v>
      </c>
      <c r="D24" s="5" t="s">
        <v>120</v>
      </c>
      <c r="E24" s="7" t="s">
        <v>0</v>
      </c>
      <c r="F24" s="5"/>
      <c r="G24" s="23"/>
      <c r="H24" s="10">
        <v>202</v>
      </c>
      <c r="I24" s="10">
        <v>205</v>
      </c>
      <c r="J24" s="10">
        <v>192</v>
      </c>
      <c r="K24" s="10">
        <v>203</v>
      </c>
      <c r="L24" s="10">
        <v>195</v>
      </c>
      <c r="M24" s="10">
        <v>7</v>
      </c>
      <c r="N24" s="9" cm="1">
        <f t="array" ref="N24">SUM((H24:L24)/5)</f>
        <v>199.4</v>
      </c>
      <c r="O24" s="10">
        <v>200</v>
      </c>
      <c r="P24" s="23"/>
      <c r="Q24" s="4">
        <v>50.334000000000003</v>
      </c>
      <c r="R24" s="4">
        <v>63.256999999999998</v>
      </c>
      <c r="S24" s="4">
        <v>0.441</v>
      </c>
      <c r="T24" s="4">
        <v>0.441</v>
      </c>
      <c r="U24" s="30">
        <f t="shared" si="8"/>
        <v>80</v>
      </c>
      <c r="V24" s="30">
        <f t="shared" si="9"/>
        <v>120</v>
      </c>
      <c r="W24" s="23"/>
      <c r="X24" s="30" t="s">
        <v>131</v>
      </c>
      <c r="Y24" s="30" t="s">
        <v>132</v>
      </c>
      <c r="Z24" s="53">
        <f>SUM(26.59287+25.10823)/2</f>
        <v>25.850549999999998</v>
      </c>
      <c r="AA24" s="54">
        <f t="shared" si="3"/>
        <v>42.6534075</v>
      </c>
      <c r="AB24" s="23"/>
      <c r="AC24" s="4">
        <v>365</v>
      </c>
      <c r="AD24" s="32">
        <f t="shared" si="4"/>
        <v>115.7603</v>
      </c>
      <c r="AE24" s="32">
        <f t="shared" si="5"/>
        <v>126.64049999999999</v>
      </c>
      <c r="AF24" s="32">
        <f t="shared" si="6"/>
        <v>20.68</v>
      </c>
      <c r="AG24" s="32">
        <f t="shared" si="6"/>
        <v>51.18</v>
      </c>
      <c r="AH24" s="78"/>
      <c r="AI24" s="78"/>
      <c r="AJ24" s="55">
        <f t="shared" si="7"/>
        <v>314.26080000000002</v>
      </c>
      <c r="AK24" s="32"/>
      <c r="AL24" s="33"/>
      <c r="AM24" s="23"/>
    </row>
    <row r="25" spans="1:39" ht="30" x14ac:dyDescent="0.3">
      <c r="A25" s="64"/>
      <c r="B25" s="64"/>
      <c r="C25" s="5" t="s">
        <v>511</v>
      </c>
      <c r="D25" s="5" t="s">
        <v>120</v>
      </c>
      <c r="E25" s="7" t="s">
        <v>0</v>
      </c>
      <c r="F25" s="5"/>
      <c r="G25" s="23"/>
      <c r="H25" s="10">
        <v>400</v>
      </c>
      <c r="I25" s="10">
        <v>414</v>
      </c>
      <c r="J25" s="10">
        <v>406</v>
      </c>
      <c r="K25" s="10">
        <v>379</v>
      </c>
      <c r="L25" s="10">
        <v>239</v>
      </c>
      <c r="M25" s="10">
        <v>105</v>
      </c>
      <c r="N25" s="9" cm="1">
        <f t="array" ref="N25">SUM((H25:L25)/5)</f>
        <v>367.6</v>
      </c>
      <c r="O25" s="10">
        <v>350</v>
      </c>
      <c r="P25" s="23"/>
      <c r="Q25" s="4">
        <v>50.334000000000003</v>
      </c>
      <c r="R25" s="4">
        <v>63.256999999999998</v>
      </c>
      <c r="S25" s="4">
        <v>0.441</v>
      </c>
      <c r="T25" s="4">
        <v>0.441</v>
      </c>
      <c r="U25" s="30">
        <f t="shared" si="8"/>
        <v>140</v>
      </c>
      <c r="V25" s="30">
        <f t="shared" si="9"/>
        <v>210</v>
      </c>
      <c r="W25" s="23"/>
      <c r="X25" s="30" t="s">
        <v>133</v>
      </c>
      <c r="Y25" s="30" t="s">
        <v>134</v>
      </c>
      <c r="Z25" s="53">
        <f>SUM(26.62478+25.14164)/2</f>
        <v>25.883209999999998</v>
      </c>
      <c r="AA25" s="54">
        <f t="shared" si="3"/>
        <v>42.707296499999998</v>
      </c>
      <c r="AB25" s="23"/>
      <c r="AC25" s="4">
        <v>365</v>
      </c>
      <c r="AD25" s="32">
        <f t="shared" si="4"/>
        <v>115.7603</v>
      </c>
      <c r="AE25" s="32">
        <f t="shared" si="5"/>
        <v>126.64049999999999</v>
      </c>
      <c r="AF25" s="32">
        <f t="shared" si="6"/>
        <v>36.24</v>
      </c>
      <c r="AG25" s="32">
        <f t="shared" si="6"/>
        <v>89.69</v>
      </c>
      <c r="AH25" s="78"/>
      <c r="AI25" s="78"/>
      <c r="AJ25" s="55">
        <f t="shared" si="7"/>
        <v>368.33080000000001</v>
      </c>
      <c r="AK25" s="32"/>
      <c r="AL25" s="33"/>
      <c r="AM25" s="23"/>
    </row>
    <row r="26" spans="1:39" ht="30" x14ac:dyDescent="0.3">
      <c r="A26" s="64"/>
      <c r="B26" s="64"/>
      <c r="C26" s="5" t="s">
        <v>512</v>
      </c>
      <c r="D26" s="5" t="s">
        <v>120</v>
      </c>
      <c r="E26" s="7" t="s">
        <v>0</v>
      </c>
      <c r="F26" s="5"/>
      <c r="G26" s="23"/>
      <c r="H26" s="10">
        <v>1261</v>
      </c>
      <c r="I26" s="10">
        <v>1383</v>
      </c>
      <c r="J26" s="10">
        <v>1818</v>
      </c>
      <c r="K26" s="10">
        <v>2254</v>
      </c>
      <c r="L26" s="10">
        <v>2209</v>
      </c>
      <c r="M26" s="10">
        <v>1147</v>
      </c>
      <c r="N26" s="9" cm="1">
        <f t="array" ref="N26">SUM((H26:L26)/5)</f>
        <v>1785</v>
      </c>
      <c r="O26" s="10">
        <v>2200</v>
      </c>
      <c r="P26" s="23"/>
      <c r="Q26" s="4">
        <v>49.325000000000003</v>
      </c>
      <c r="R26" s="4">
        <v>72.016000000000005</v>
      </c>
      <c r="S26" s="4">
        <v>0.441</v>
      </c>
      <c r="T26" s="4">
        <v>0.441</v>
      </c>
      <c r="U26" s="30">
        <f t="shared" si="8"/>
        <v>880</v>
      </c>
      <c r="V26" s="30">
        <f t="shared" si="9"/>
        <v>1320</v>
      </c>
      <c r="W26" s="23"/>
      <c r="X26" s="30" t="s">
        <v>135</v>
      </c>
      <c r="Y26" s="30" t="s">
        <v>136</v>
      </c>
      <c r="Z26" s="53">
        <f>SUM(27.20667+25.08306)/2</f>
        <v>26.144864999999999</v>
      </c>
      <c r="AA26" s="54">
        <f t="shared" si="3"/>
        <v>43.139027249999998</v>
      </c>
      <c r="AB26" s="23"/>
      <c r="AC26" s="4">
        <v>365</v>
      </c>
      <c r="AD26" s="32">
        <f t="shared" si="4"/>
        <v>131.7893</v>
      </c>
      <c r="AE26" s="32">
        <f t="shared" si="5"/>
        <v>144.17600000000002</v>
      </c>
      <c r="AF26" s="32">
        <f t="shared" si="6"/>
        <v>230.07</v>
      </c>
      <c r="AG26" s="32">
        <f t="shared" si="6"/>
        <v>569.44000000000005</v>
      </c>
      <c r="AH26" s="78"/>
      <c r="AI26" s="78"/>
      <c r="AJ26" s="55">
        <f t="shared" si="7"/>
        <v>1075.4753000000001</v>
      </c>
      <c r="AK26" s="32"/>
      <c r="AL26" s="33"/>
      <c r="AM26" s="23"/>
    </row>
    <row r="27" spans="1:39" ht="15.6" x14ac:dyDescent="0.3">
      <c r="A27" s="64"/>
      <c r="B27" s="64"/>
      <c r="C27" s="5" t="s">
        <v>513</v>
      </c>
      <c r="D27" s="5" t="s">
        <v>120</v>
      </c>
      <c r="E27" s="7" t="s">
        <v>0</v>
      </c>
      <c r="F27" s="5"/>
      <c r="G27" s="23"/>
      <c r="H27" s="10">
        <v>1683</v>
      </c>
      <c r="I27" s="10">
        <v>941</v>
      </c>
      <c r="J27" s="10">
        <v>761</v>
      </c>
      <c r="K27" s="10">
        <v>1336</v>
      </c>
      <c r="L27" s="10">
        <v>1095</v>
      </c>
      <c r="M27" s="10">
        <v>573</v>
      </c>
      <c r="N27" s="9" cm="1">
        <f t="array" ref="N27">SUM((H27:L27)/5)</f>
        <v>1163.2</v>
      </c>
      <c r="O27" s="10">
        <v>1250</v>
      </c>
      <c r="P27" s="23"/>
      <c r="Q27" s="81"/>
      <c r="R27" s="81"/>
      <c r="S27" s="81"/>
      <c r="T27" s="81"/>
      <c r="U27" s="30">
        <f t="shared" si="8"/>
        <v>500</v>
      </c>
      <c r="V27" s="30">
        <f t="shared" si="9"/>
        <v>750</v>
      </c>
      <c r="W27" s="23"/>
      <c r="X27" s="30"/>
      <c r="Y27" s="30"/>
      <c r="Z27" s="53"/>
      <c r="AA27" s="54">
        <f t="shared" si="3"/>
        <v>0</v>
      </c>
      <c r="AB27" s="23"/>
      <c r="AC27" s="4">
        <v>365</v>
      </c>
      <c r="AD27" s="32">
        <f t="shared" si="4"/>
        <v>0</v>
      </c>
      <c r="AE27" s="32">
        <f t="shared" si="5"/>
        <v>0</v>
      </c>
      <c r="AF27" s="32">
        <f t="shared" si="6"/>
        <v>0</v>
      </c>
      <c r="AG27" s="32">
        <f t="shared" si="6"/>
        <v>0</v>
      </c>
      <c r="AH27" s="78"/>
      <c r="AI27" s="78"/>
      <c r="AJ27" s="55">
        <f t="shared" si="7"/>
        <v>0</v>
      </c>
      <c r="AK27" s="32"/>
      <c r="AL27" s="33"/>
      <c r="AM27" s="23"/>
    </row>
    <row r="28" spans="1:39" ht="15.6" x14ac:dyDescent="0.3">
      <c r="A28" s="64"/>
      <c r="B28" s="64"/>
      <c r="C28" s="5" t="s">
        <v>514</v>
      </c>
      <c r="D28" s="5" t="s">
        <v>120</v>
      </c>
      <c r="E28" s="7" t="s">
        <v>0</v>
      </c>
      <c r="F28" s="5"/>
      <c r="G28" s="23"/>
      <c r="H28" s="10">
        <v>34</v>
      </c>
      <c r="I28" s="10">
        <v>36</v>
      </c>
      <c r="J28" s="10">
        <v>35</v>
      </c>
      <c r="K28" s="10">
        <v>32</v>
      </c>
      <c r="L28" s="10">
        <v>23</v>
      </c>
      <c r="M28" s="10">
        <v>15</v>
      </c>
      <c r="N28" s="9" cm="1">
        <f t="array" ref="N28">SUM((H28:L28)/5)</f>
        <v>32</v>
      </c>
      <c r="O28" s="10">
        <v>35</v>
      </c>
      <c r="P28" s="23"/>
      <c r="Q28" s="4">
        <v>49.308</v>
      </c>
      <c r="R28" s="4">
        <v>72.016000000000005</v>
      </c>
      <c r="S28" s="4">
        <v>0.441</v>
      </c>
      <c r="T28" s="4">
        <v>0.441</v>
      </c>
      <c r="U28" s="30">
        <f t="shared" si="8"/>
        <v>14</v>
      </c>
      <c r="V28" s="30">
        <f t="shared" si="9"/>
        <v>21</v>
      </c>
      <c r="W28" s="23"/>
      <c r="X28" s="30">
        <v>15.868</v>
      </c>
      <c r="Y28" s="30">
        <v>27.097470000000001</v>
      </c>
      <c r="Z28" s="53">
        <v>27.097470000000001</v>
      </c>
      <c r="AA28" s="54">
        <f t="shared" si="3"/>
        <v>44.710825499999999</v>
      </c>
      <c r="AB28" s="23"/>
      <c r="AC28" s="4">
        <v>365</v>
      </c>
      <c r="AD28" s="32">
        <f t="shared" si="4"/>
        <v>131.7893</v>
      </c>
      <c r="AE28" s="32">
        <f t="shared" si="5"/>
        <v>144.17600000000002</v>
      </c>
      <c r="AF28" s="32">
        <f t="shared" si="6"/>
        <v>3.79</v>
      </c>
      <c r="AG28" s="32">
        <f t="shared" si="6"/>
        <v>9.39</v>
      </c>
      <c r="AH28" s="78"/>
      <c r="AI28" s="78"/>
      <c r="AJ28" s="55">
        <f t="shared" si="7"/>
        <v>289.14530000000002</v>
      </c>
      <c r="AK28" s="32"/>
      <c r="AL28" s="33"/>
      <c r="AM28" s="23"/>
    </row>
    <row r="29" spans="1:39" ht="30" x14ac:dyDescent="0.3">
      <c r="A29" s="64"/>
      <c r="B29" s="64"/>
      <c r="C29" s="5" t="s">
        <v>438</v>
      </c>
      <c r="D29" s="5" t="s">
        <v>120</v>
      </c>
      <c r="E29" s="7" t="s">
        <v>0</v>
      </c>
      <c r="F29" s="5"/>
      <c r="G29" s="23"/>
      <c r="H29" s="10">
        <v>1159</v>
      </c>
      <c r="I29" s="10">
        <v>1149</v>
      </c>
      <c r="J29" s="10">
        <v>1015</v>
      </c>
      <c r="K29" s="10">
        <v>1073</v>
      </c>
      <c r="L29" s="10">
        <v>1026</v>
      </c>
      <c r="M29" s="10">
        <v>762</v>
      </c>
      <c r="N29" s="9" cm="1">
        <f t="array" ref="N29">SUM((H29:L29)/5)</f>
        <v>1084.4000000000001</v>
      </c>
      <c r="O29" s="10">
        <v>1075</v>
      </c>
      <c r="P29" s="23"/>
      <c r="Q29" s="4">
        <v>49.325000000000003</v>
      </c>
      <c r="R29" s="4">
        <v>72.016000000000005</v>
      </c>
      <c r="S29" s="4">
        <v>0.441</v>
      </c>
      <c r="T29" s="4">
        <v>0.441</v>
      </c>
      <c r="U29" s="30">
        <f t="shared" si="8"/>
        <v>430</v>
      </c>
      <c r="V29" s="30">
        <f t="shared" si="9"/>
        <v>645</v>
      </c>
      <c r="W29" s="23"/>
      <c r="X29" s="30" t="s">
        <v>137</v>
      </c>
      <c r="Y29" s="30" t="s">
        <v>138</v>
      </c>
      <c r="Z29" s="53">
        <f>SUM(27.1918+25.2149)/2</f>
        <v>26.20335</v>
      </c>
      <c r="AA29" s="54">
        <f t="shared" si="3"/>
        <v>43.235527500000003</v>
      </c>
      <c r="AB29" s="23"/>
      <c r="AC29" s="4">
        <v>365</v>
      </c>
      <c r="AD29" s="32">
        <f t="shared" si="4"/>
        <v>131.7893</v>
      </c>
      <c r="AE29" s="32">
        <f t="shared" si="5"/>
        <v>144.17600000000002</v>
      </c>
      <c r="AF29" s="32">
        <f t="shared" si="6"/>
        <v>112.67</v>
      </c>
      <c r="AG29" s="32">
        <f t="shared" si="6"/>
        <v>278.87</v>
      </c>
      <c r="AH29" s="78"/>
      <c r="AI29" s="78"/>
      <c r="AJ29" s="55">
        <f t="shared" si="7"/>
        <v>667.50530000000003</v>
      </c>
      <c r="AK29" s="32"/>
      <c r="AL29" s="33"/>
      <c r="AM29" s="23"/>
    </row>
    <row r="30" spans="1:39" ht="15.6" x14ac:dyDescent="0.3">
      <c r="A30" s="64"/>
      <c r="B30" s="64"/>
      <c r="C30" s="5" t="s">
        <v>439</v>
      </c>
      <c r="D30" s="5" t="s">
        <v>120</v>
      </c>
      <c r="E30" s="7" t="s">
        <v>0</v>
      </c>
      <c r="F30" s="5"/>
      <c r="G30" s="23"/>
      <c r="H30" s="10">
        <v>1072</v>
      </c>
      <c r="I30" s="10">
        <v>1379</v>
      </c>
      <c r="J30" s="10">
        <v>1315</v>
      </c>
      <c r="K30" s="10">
        <v>1004</v>
      </c>
      <c r="L30" s="10">
        <v>1468</v>
      </c>
      <c r="M30" s="10">
        <v>991</v>
      </c>
      <c r="N30" s="9" cm="1">
        <f t="array" ref="N30">SUM((H30:L30)/5)</f>
        <v>1247.5999999999999</v>
      </c>
      <c r="O30" s="10">
        <v>1250</v>
      </c>
      <c r="P30" s="23"/>
      <c r="Q30" s="4">
        <v>49.828000000000003</v>
      </c>
      <c r="R30" s="4">
        <v>63.256999999999998</v>
      </c>
      <c r="S30" s="4">
        <v>0.441</v>
      </c>
      <c r="T30" s="4">
        <v>0.441</v>
      </c>
      <c r="U30" s="30">
        <f t="shared" si="8"/>
        <v>500</v>
      </c>
      <c r="V30" s="30">
        <f t="shared" si="9"/>
        <v>750</v>
      </c>
      <c r="W30" s="23"/>
      <c r="X30" s="30">
        <v>15.061999999999999</v>
      </c>
      <c r="Y30" s="30">
        <v>26.20599</v>
      </c>
      <c r="Z30" s="53">
        <v>26.20599</v>
      </c>
      <c r="AA30" s="54">
        <f t="shared" si="3"/>
        <v>43.239883500000005</v>
      </c>
      <c r="AB30" s="23"/>
      <c r="AC30" s="4">
        <v>365</v>
      </c>
      <c r="AD30" s="32">
        <f t="shared" si="4"/>
        <v>115.7603</v>
      </c>
      <c r="AE30" s="32">
        <f t="shared" si="5"/>
        <v>126.64049999999999</v>
      </c>
      <c r="AF30" s="32">
        <f t="shared" si="6"/>
        <v>131.03</v>
      </c>
      <c r="AG30" s="32">
        <f t="shared" si="6"/>
        <v>324.3</v>
      </c>
      <c r="AH30" s="78"/>
      <c r="AI30" s="78"/>
      <c r="AJ30" s="55">
        <f t="shared" si="7"/>
        <v>697.73080000000004</v>
      </c>
      <c r="AK30" s="32"/>
      <c r="AL30" s="33"/>
      <c r="AM30" s="23"/>
    </row>
    <row r="31" spans="1:39" ht="45" x14ac:dyDescent="0.3">
      <c r="A31" s="64"/>
      <c r="B31" s="64"/>
      <c r="C31" s="5" t="s">
        <v>440</v>
      </c>
      <c r="D31" s="5" t="s">
        <v>120</v>
      </c>
      <c r="E31" s="7" t="s">
        <v>0</v>
      </c>
      <c r="F31" s="5"/>
      <c r="G31" s="23"/>
      <c r="H31" s="10">
        <v>886</v>
      </c>
      <c r="I31" s="10">
        <v>879</v>
      </c>
      <c r="J31" s="10">
        <v>934</v>
      </c>
      <c r="K31" s="10">
        <v>892</v>
      </c>
      <c r="L31" s="10">
        <v>1076</v>
      </c>
      <c r="M31" s="10">
        <v>255</v>
      </c>
      <c r="N31" s="9" cm="1">
        <f t="array" ref="N31">SUM((H31:L31)/5)</f>
        <v>933.39999999999986</v>
      </c>
      <c r="O31" s="10">
        <v>940</v>
      </c>
      <c r="P31" s="23"/>
      <c r="Q31" s="4">
        <v>50.334000000000003</v>
      </c>
      <c r="R31" s="4">
        <v>63.256999999999998</v>
      </c>
      <c r="S31" s="4">
        <v>0.441</v>
      </c>
      <c r="T31" s="4">
        <v>0.441</v>
      </c>
      <c r="U31" s="30">
        <f t="shared" si="8"/>
        <v>376</v>
      </c>
      <c r="V31" s="30">
        <f t="shared" si="9"/>
        <v>564</v>
      </c>
      <c r="W31" s="23"/>
      <c r="X31" s="30" t="s">
        <v>139</v>
      </c>
      <c r="Y31" s="30" t="s">
        <v>140</v>
      </c>
      <c r="Z31" s="53">
        <f>SUM(27.40541+24.97251+25.34702)/3</f>
        <v>25.908313333333336</v>
      </c>
      <c r="AA31" s="54">
        <f t="shared" si="3"/>
        <v>42.748717000000006</v>
      </c>
      <c r="AB31" s="23"/>
      <c r="AC31" s="4">
        <v>365</v>
      </c>
      <c r="AD31" s="32">
        <f t="shared" si="4"/>
        <v>115.7603</v>
      </c>
      <c r="AE31" s="32">
        <f t="shared" si="5"/>
        <v>126.64049999999999</v>
      </c>
      <c r="AF31" s="32">
        <f t="shared" si="6"/>
        <v>97.42</v>
      </c>
      <c r="AG31" s="32">
        <f t="shared" si="6"/>
        <v>241.1</v>
      </c>
      <c r="AH31" s="78"/>
      <c r="AI31" s="78"/>
      <c r="AJ31" s="55">
        <f t="shared" si="7"/>
        <v>580.92079999999999</v>
      </c>
      <c r="AK31" s="32"/>
      <c r="AL31" s="33"/>
      <c r="AM31" s="23"/>
    </row>
    <row r="32" spans="1:39" ht="45" x14ac:dyDescent="0.3">
      <c r="A32" s="64"/>
      <c r="B32" s="64"/>
      <c r="C32" s="5" t="s">
        <v>440</v>
      </c>
      <c r="D32" s="5" t="s">
        <v>120</v>
      </c>
      <c r="E32" s="7" t="s">
        <v>0</v>
      </c>
      <c r="F32" s="5"/>
      <c r="G32" s="23"/>
      <c r="H32" s="10">
        <v>1315</v>
      </c>
      <c r="I32" s="10">
        <v>2051</v>
      </c>
      <c r="J32" s="10">
        <v>1536</v>
      </c>
      <c r="K32" s="10">
        <v>1631</v>
      </c>
      <c r="L32" s="10">
        <v>1304</v>
      </c>
      <c r="M32" s="10">
        <v>56</v>
      </c>
      <c r="N32" s="9" cm="1">
        <f t="array" ref="N32">SUM((H32:L32)/5)</f>
        <v>1567.4</v>
      </c>
      <c r="O32" s="10">
        <v>1560</v>
      </c>
      <c r="P32" s="23"/>
      <c r="Q32" s="4">
        <v>50.334000000000003</v>
      </c>
      <c r="R32" s="4">
        <v>63.256999999999998</v>
      </c>
      <c r="S32" s="4">
        <v>0.441</v>
      </c>
      <c r="T32" s="4">
        <v>0.441</v>
      </c>
      <c r="U32" s="30">
        <f t="shared" si="8"/>
        <v>624</v>
      </c>
      <c r="V32" s="30">
        <f t="shared" si="9"/>
        <v>936</v>
      </c>
      <c r="W32" s="23"/>
      <c r="X32" s="30" t="s">
        <v>141</v>
      </c>
      <c r="Y32" s="30" t="s">
        <v>142</v>
      </c>
      <c r="Z32" s="53">
        <f>SUM(27.40417+24.97211+25.34727)/3</f>
        <v>25.90785</v>
      </c>
      <c r="AA32" s="54">
        <f t="shared" si="3"/>
        <v>42.747952499999997</v>
      </c>
      <c r="AB32" s="23"/>
      <c r="AC32" s="4">
        <v>365</v>
      </c>
      <c r="AD32" s="32">
        <f t="shared" si="4"/>
        <v>115.7603</v>
      </c>
      <c r="AE32" s="32">
        <f t="shared" si="5"/>
        <v>126.64049999999999</v>
      </c>
      <c r="AF32" s="32">
        <f t="shared" si="6"/>
        <v>161.66</v>
      </c>
      <c r="AG32" s="32">
        <f t="shared" si="6"/>
        <v>400.12</v>
      </c>
      <c r="AH32" s="78"/>
      <c r="AI32" s="78"/>
      <c r="AJ32" s="55">
        <f t="shared" si="7"/>
        <v>804.18079999999998</v>
      </c>
      <c r="AK32" s="32"/>
      <c r="AL32" s="33"/>
      <c r="AM32" s="23"/>
    </row>
    <row r="33" spans="1:39" ht="45" x14ac:dyDescent="0.3">
      <c r="A33" s="64"/>
      <c r="B33" s="64"/>
      <c r="C33" s="5" t="s">
        <v>440</v>
      </c>
      <c r="D33" s="5" t="s">
        <v>120</v>
      </c>
      <c r="E33" s="7" t="s">
        <v>0</v>
      </c>
      <c r="F33" s="5"/>
      <c r="G33" s="23"/>
      <c r="H33" s="10">
        <v>1873</v>
      </c>
      <c r="I33" s="10">
        <v>1650</v>
      </c>
      <c r="J33" s="10">
        <v>1060</v>
      </c>
      <c r="K33" s="10">
        <v>1838</v>
      </c>
      <c r="L33" s="10">
        <v>1153</v>
      </c>
      <c r="M33" s="10">
        <v>539</v>
      </c>
      <c r="N33" s="9" cm="1">
        <f t="array" ref="N33">SUM((H33:L33)/5)</f>
        <v>1514.8</v>
      </c>
      <c r="O33" s="10">
        <v>1515</v>
      </c>
      <c r="P33" s="23"/>
      <c r="Q33" s="4">
        <v>50.334000000000003</v>
      </c>
      <c r="R33" s="4">
        <v>63.256999999999998</v>
      </c>
      <c r="S33" s="4">
        <v>0.441</v>
      </c>
      <c r="T33" s="4">
        <v>0.441</v>
      </c>
      <c r="U33" s="30">
        <f t="shared" si="8"/>
        <v>606</v>
      </c>
      <c r="V33" s="30">
        <f t="shared" si="9"/>
        <v>909</v>
      </c>
      <c r="W33" s="23"/>
      <c r="X33" s="30" t="s">
        <v>141</v>
      </c>
      <c r="Y33" s="30" t="s">
        <v>143</v>
      </c>
      <c r="Z33" s="53">
        <f>SUM(27.38514+24.95341+25.32806)/3</f>
        <v>25.888869999999997</v>
      </c>
      <c r="AA33" s="54">
        <f t="shared" si="3"/>
        <v>42.716635499999995</v>
      </c>
      <c r="AB33" s="23"/>
      <c r="AC33" s="4">
        <v>365</v>
      </c>
      <c r="AD33" s="32">
        <f t="shared" si="4"/>
        <v>115.7603</v>
      </c>
      <c r="AE33" s="32">
        <f t="shared" si="5"/>
        <v>126.64049999999999</v>
      </c>
      <c r="AF33" s="32">
        <f t="shared" si="6"/>
        <v>156.88999999999999</v>
      </c>
      <c r="AG33" s="32">
        <f t="shared" si="6"/>
        <v>388.29</v>
      </c>
      <c r="AH33" s="78"/>
      <c r="AI33" s="78"/>
      <c r="AJ33" s="55">
        <f t="shared" si="7"/>
        <v>787.58079999999995</v>
      </c>
      <c r="AK33" s="32"/>
      <c r="AL33" s="33"/>
      <c r="AM33" s="23"/>
    </row>
    <row r="34" spans="1:39" ht="45" x14ac:dyDescent="0.3">
      <c r="A34" s="64"/>
      <c r="B34" s="64"/>
      <c r="C34" s="5" t="s">
        <v>441</v>
      </c>
      <c r="D34" s="5" t="s">
        <v>120</v>
      </c>
      <c r="E34" s="7" t="s">
        <v>0</v>
      </c>
      <c r="F34" s="5"/>
      <c r="G34" s="23"/>
      <c r="H34" s="10">
        <v>1763</v>
      </c>
      <c r="I34" s="10">
        <v>2198</v>
      </c>
      <c r="J34" s="10">
        <v>1641</v>
      </c>
      <c r="K34" s="10">
        <v>1485</v>
      </c>
      <c r="L34" s="10">
        <v>1091</v>
      </c>
      <c r="M34" s="10">
        <v>638</v>
      </c>
      <c r="N34" s="9" cm="1">
        <f t="array" ref="N34">SUM((H34:L34)/5)</f>
        <v>1635.6000000000001</v>
      </c>
      <c r="O34" s="10">
        <v>1600</v>
      </c>
      <c r="P34" s="23"/>
      <c r="Q34" s="4">
        <v>50.334000000000003</v>
      </c>
      <c r="R34" s="4">
        <v>63.256999999999998</v>
      </c>
      <c r="S34" s="4">
        <v>0.441</v>
      </c>
      <c r="T34" s="4">
        <v>0.441</v>
      </c>
      <c r="U34" s="30">
        <f t="shared" si="8"/>
        <v>640</v>
      </c>
      <c r="V34" s="30">
        <f t="shared" si="9"/>
        <v>960</v>
      </c>
      <c r="W34" s="23"/>
      <c r="X34" s="30" t="s">
        <v>144</v>
      </c>
      <c r="Y34" s="30" t="s">
        <v>145</v>
      </c>
      <c r="Z34" s="53">
        <f>SUM(27.43758+25.00613+25.38018)/3</f>
        <v>25.941296666666663</v>
      </c>
      <c r="AA34" s="54">
        <f t="shared" si="3"/>
        <v>42.803139499999993</v>
      </c>
      <c r="AB34" s="23"/>
      <c r="AC34" s="4">
        <v>365</v>
      </c>
      <c r="AD34" s="32">
        <f t="shared" si="4"/>
        <v>115.7603</v>
      </c>
      <c r="AE34" s="32">
        <f t="shared" si="5"/>
        <v>126.64049999999999</v>
      </c>
      <c r="AF34" s="32">
        <f t="shared" si="6"/>
        <v>166.02</v>
      </c>
      <c r="AG34" s="32">
        <f t="shared" si="6"/>
        <v>410.91</v>
      </c>
      <c r="AH34" s="78"/>
      <c r="AI34" s="78"/>
      <c r="AJ34" s="55">
        <f t="shared" si="7"/>
        <v>819.33079999999995</v>
      </c>
      <c r="AK34" s="32"/>
      <c r="AL34" s="33"/>
      <c r="AM34" s="23"/>
    </row>
    <row r="35" spans="1:39" ht="15.6" x14ac:dyDescent="0.3">
      <c r="A35" s="64"/>
      <c r="B35" s="64"/>
      <c r="C35" s="5" t="s">
        <v>515</v>
      </c>
      <c r="D35" s="5" t="s">
        <v>120</v>
      </c>
      <c r="E35" s="7" t="s">
        <v>0</v>
      </c>
      <c r="F35" s="5"/>
      <c r="G35" s="23"/>
      <c r="H35" s="10">
        <v>1440</v>
      </c>
      <c r="I35" s="10">
        <v>1104</v>
      </c>
      <c r="J35" s="10">
        <v>1301</v>
      </c>
      <c r="K35" s="10">
        <v>1676</v>
      </c>
      <c r="L35" s="10">
        <v>1739</v>
      </c>
      <c r="M35" s="10">
        <v>789</v>
      </c>
      <c r="N35" s="9" cm="1">
        <f t="array" ref="N35">SUM((H35:L35)/5)</f>
        <v>1452</v>
      </c>
      <c r="O35" s="10">
        <v>1600</v>
      </c>
      <c r="P35" s="23"/>
      <c r="Q35" s="4">
        <v>49.308</v>
      </c>
      <c r="R35" s="4">
        <v>72.016000000000005</v>
      </c>
      <c r="S35" s="4">
        <v>0.441</v>
      </c>
      <c r="T35" s="4">
        <v>0.441</v>
      </c>
      <c r="U35" s="30">
        <f t="shared" si="8"/>
        <v>640</v>
      </c>
      <c r="V35" s="30">
        <f t="shared" si="9"/>
        <v>960</v>
      </c>
      <c r="W35" s="23"/>
      <c r="X35" s="30">
        <v>15.868</v>
      </c>
      <c r="Y35" s="30">
        <v>27.082940000000001</v>
      </c>
      <c r="Z35" s="53">
        <v>27.082940000000001</v>
      </c>
      <c r="AA35" s="54">
        <f t="shared" si="3"/>
        <v>44.686851000000004</v>
      </c>
      <c r="AB35" s="23"/>
      <c r="AC35" s="4">
        <v>365</v>
      </c>
      <c r="AD35" s="32">
        <f t="shared" si="4"/>
        <v>131.7893</v>
      </c>
      <c r="AE35" s="32">
        <f t="shared" si="5"/>
        <v>144.17600000000002</v>
      </c>
      <c r="AF35" s="32">
        <f t="shared" si="6"/>
        <v>173.33</v>
      </c>
      <c r="AG35" s="32">
        <f t="shared" si="6"/>
        <v>428.99</v>
      </c>
      <c r="AH35" s="78"/>
      <c r="AI35" s="78"/>
      <c r="AJ35" s="55">
        <f t="shared" si="7"/>
        <v>878.28530000000001</v>
      </c>
      <c r="AK35" s="32"/>
      <c r="AL35" s="33"/>
      <c r="AM35" s="23"/>
    </row>
    <row r="36" spans="1:39" ht="15.6" x14ac:dyDescent="0.3">
      <c r="A36" s="64"/>
      <c r="B36" s="64"/>
      <c r="C36" s="5" t="s">
        <v>515</v>
      </c>
      <c r="D36" s="5" t="s">
        <v>120</v>
      </c>
      <c r="E36" s="7" t="s">
        <v>0</v>
      </c>
      <c r="F36" s="5"/>
      <c r="G36" s="23"/>
      <c r="H36" s="10">
        <v>1916</v>
      </c>
      <c r="I36" s="10">
        <v>1623</v>
      </c>
      <c r="J36" s="10">
        <v>2136</v>
      </c>
      <c r="K36" s="10">
        <v>2252</v>
      </c>
      <c r="L36" s="10">
        <v>2624</v>
      </c>
      <c r="M36" s="10">
        <v>1025</v>
      </c>
      <c r="N36" s="9" cm="1">
        <f t="array" ref="N36">SUM((H36:L36)/5)</f>
        <v>2110.1999999999998</v>
      </c>
      <c r="O36" s="10">
        <v>2350</v>
      </c>
      <c r="P36" s="23"/>
      <c r="Q36" s="4">
        <v>49.308</v>
      </c>
      <c r="R36" s="4">
        <v>72.016000000000005</v>
      </c>
      <c r="S36" s="4">
        <v>0.441</v>
      </c>
      <c r="T36" s="4">
        <v>0.441</v>
      </c>
      <c r="U36" s="30">
        <f t="shared" si="8"/>
        <v>940</v>
      </c>
      <c r="V36" s="30">
        <f t="shared" si="9"/>
        <v>1410</v>
      </c>
      <c r="W36" s="23"/>
      <c r="X36" s="30">
        <v>15.868</v>
      </c>
      <c r="Y36" s="30">
        <v>27.08286</v>
      </c>
      <c r="Z36" s="53">
        <v>27.08286</v>
      </c>
      <c r="AA36" s="54">
        <f t="shared" si="3"/>
        <v>44.686718999999997</v>
      </c>
      <c r="AB36" s="23"/>
      <c r="AC36" s="4">
        <v>365</v>
      </c>
      <c r="AD36" s="32">
        <f t="shared" si="4"/>
        <v>131.7893</v>
      </c>
      <c r="AE36" s="32">
        <f t="shared" si="5"/>
        <v>144.17600000000002</v>
      </c>
      <c r="AF36" s="32">
        <f t="shared" si="6"/>
        <v>254.58</v>
      </c>
      <c r="AG36" s="32">
        <f t="shared" si="6"/>
        <v>630.08000000000004</v>
      </c>
      <c r="AH36" s="78"/>
      <c r="AI36" s="78"/>
      <c r="AJ36" s="55">
        <f t="shared" si="7"/>
        <v>1160.6253000000002</v>
      </c>
      <c r="AK36" s="32"/>
      <c r="AL36" s="33"/>
      <c r="AM36" s="23"/>
    </row>
    <row r="37" spans="1:39" ht="15.6" x14ac:dyDescent="0.3">
      <c r="A37" s="64"/>
      <c r="B37" s="64"/>
      <c r="C37" s="5" t="s">
        <v>516</v>
      </c>
      <c r="D37" s="5" t="s">
        <v>120</v>
      </c>
      <c r="E37" s="7" t="s">
        <v>0</v>
      </c>
      <c r="F37" s="5"/>
      <c r="G37" s="23"/>
      <c r="H37" s="10">
        <v>322</v>
      </c>
      <c r="I37" s="10">
        <v>435</v>
      </c>
      <c r="J37" s="10">
        <v>335</v>
      </c>
      <c r="K37" s="10">
        <v>156</v>
      </c>
      <c r="L37" s="10">
        <v>217</v>
      </c>
      <c r="M37" s="10">
        <v>54</v>
      </c>
      <c r="N37" s="9" cm="1">
        <f t="array" ref="N37">SUM((H37:L37)/5)</f>
        <v>293</v>
      </c>
      <c r="O37" s="10">
        <v>275</v>
      </c>
      <c r="P37" s="23"/>
      <c r="Q37" s="4">
        <v>49.308</v>
      </c>
      <c r="R37" s="4">
        <v>72.016000000000005</v>
      </c>
      <c r="S37" s="4">
        <v>0.441</v>
      </c>
      <c r="T37" s="4">
        <v>0.441</v>
      </c>
      <c r="U37" s="30">
        <f t="shared" si="8"/>
        <v>110</v>
      </c>
      <c r="V37" s="30">
        <f t="shared" si="9"/>
        <v>165</v>
      </c>
      <c r="W37" s="23"/>
      <c r="X37" s="30">
        <v>15.868</v>
      </c>
      <c r="Y37" s="30">
        <v>27.082380000000001</v>
      </c>
      <c r="Z37" s="53">
        <v>27.082380000000001</v>
      </c>
      <c r="AA37" s="54">
        <f t="shared" si="3"/>
        <v>44.685927000000007</v>
      </c>
      <c r="AB37" s="23"/>
      <c r="AC37" s="4">
        <v>365</v>
      </c>
      <c r="AD37" s="32">
        <f t="shared" si="4"/>
        <v>131.7893</v>
      </c>
      <c r="AE37" s="32">
        <f t="shared" si="5"/>
        <v>144.17600000000002</v>
      </c>
      <c r="AF37" s="32">
        <f t="shared" si="6"/>
        <v>29.79</v>
      </c>
      <c r="AG37" s="32">
        <f t="shared" si="6"/>
        <v>73.73</v>
      </c>
      <c r="AH37" s="78"/>
      <c r="AI37" s="78"/>
      <c r="AJ37" s="55">
        <f t="shared" si="7"/>
        <v>379.48530000000005</v>
      </c>
      <c r="AK37" s="32"/>
      <c r="AL37" s="33"/>
      <c r="AM37" s="23"/>
    </row>
    <row r="38" spans="1:39" ht="15.6" x14ac:dyDescent="0.3">
      <c r="A38" s="64"/>
      <c r="B38" s="64"/>
      <c r="C38" s="5" t="s">
        <v>517</v>
      </c>
      <c r="D38" s="5" t="s">
        <v>120</v>
      </c>
      <c r="E38" s="7" t="s">
        <v>0</v>
      </c>
      <c r="F38" s="5"/>
      <c r="G38" s="23"/>
      <c r="H38" s="10">
        <v>329</v>
      </c>
      <c r="I38" s="10">
        <v>296</v>
      </c>
      <c r="J38" s="10">
        <v>255</v>
      </c>
      <c r="K38" s="10">
        <v>248</v>
      </c>
      <c r="L38" s="10">
        <v>204</v>
      </c>
      <c r="M38" s="10">
        <v>11</v>
      </c>
      <c r="N38" s="9" cm="1">
        <f t="array" ref="N38">SUM((H38:L38)/5)</f>
        <v>266.39999999999998</v>
      </c>
      <c r="O38" s="10">
        <v>250</v>
      </c>
      <c r="P38" s="23"/>
      <c r="Q38" s="4">
        <v>49.308</v>
      </c>
      <c r="R38" s="4">
        <v>72.016000000000005</v>
      </c>
      <c r="S38" s="4">
        <v>0.441</v>
      </c>
      <c r="T38" s="4">
        <v>0.441</v>
      </c>
      <c r="U38" s="30">
        <f t="shared" si="8"/>
        <v>100</v>
      </c>
      <c r="V38" s="30">
        <f t="shared" si="9"/>
        <v>150</v>
      </c>
      <c r="W38" s="23"/>
      <c r="X38" s="30">
        <v>15.868</v>
      </c>
      <c r="Y38" s="30">
        <v>27.083259999999999</v>
      </c>
      <c r="Z38" s="53">
        <v>27.083259999999999</v>
      </c>
      <c r="AA38" s="54">
        <f t="shared" si="3"/>
        <v>44.687379</v>
      </c>
      <c r="AB38" s="23"/>
      <c r="AC38" s="4">
        <v>365</v>
      </c>
      <c r="AD38" s="32">
        <f t="shared" si="4"/>
        <v>131.7893</v>
      </c>
      <c r="AE38" s="32">
        <f t="shared" si="5"/>
        <v>144.17600000000002</v>
      </c>
      <c r="AF38" s="32">
        <f t="shared" si="6"/>
        <v>27.08</v>
      </c>
      <c r="AG38" s="32">
        <f t="shared" si="6"/>
        <v>67.03</v>
      </c>
      <c r="AH38" s="78"/>
      <c r="AI38" s="78"/>
      <c r="AJ38" s="55">
        <f t="shared" si="7"/>
        <v>370.07529999999997</v>
      </c>
      <c r="AK38" s="32"/>
      <c r="AL38" s="33"/>
      <c r="AM38" s="23"/>
    </row>
    <row r="39" spans="1:39" ht="15.6" x14ac:dyDescent="0.3">
      <c r="A39" s="64"/>
      <c r="B39" s="64"/>
      <c r="C39" s="5" t="s">
        <v>517</v>
      </c>
      <c r="D39" s="5" t="s">
        <v>120</v>
      </c>
      <c r="E39" s="7" t="s">
        <v>0</v>
      </c>
      <c r="F39" s="5"/>
      <c r="G39" s="23"/>
      <c r="H39" s="10">
        <v>714</v>
      </c>
      <c r="I39" s="10">
        <v>709</v>
      </c>
      <c r="J39" s="10">
        <v>697</v>
      </c>
      <c r="K39" s="10">
        <v>708</v>
      </c>
      <c r="L39" s="10">
        <v>525</v>
      </c>
      <c r="M39" s="10">
        <v>262</v>
      </c>
      <c r="N39" s="9" cm="1">
        <f t="array" ref="N39">SUM((H39:L39)/5)</f>
        <v>670.6</v>
      </c>
      <c r="O39" s="10">
        <v>650</v>
      </c>
      <c r="P39" s="23"/>
      <c r="Q39" s="4">
        <v>49.300800000000002</v>
      </c>
      <c r="R39" s="4">
        <v>72.016000000000005</v>
      </c>
      <c r="S39" s="4">
        <v>0.441</v>
      </c>
      <c r="T39" s="4">
        <v>0.441</v>
      </c>
      <c r="U39" s="30">
        <f t="shared" si="8"/>
        <v>260</v>
      </c>
      <c r="V39" s="30">
        <f t="shared" si="9"/>
        <v>390</v>
      </c>
      <c r="W39" s="23"/>
      <c r="X39" s="30">
        <v>15.868</v>
      </c>
      <c r="Y39" s="30">
        <v>27.082740000000001</v>
      </c>
      <c r="Z39" s="53">
        <v>27.082740000000001</v>
      </c>
      <c r="AA39" s="54">
        <f t="shared" si="3"/>
        <v>44.686520999999999</v>
      </c>
      <c r="AB39" s="23"/>
      <c r="AC39" s="4">
        <v>365</v>
      </c>
      <c r="AD39" s="32">
        <f t="shared" si="4"/>
        <v>131.7893</v>
      </c>
      <c r="AE39" s="32">
        <f t="shared" si="5"/>
        <v>144.17600000000002</v>
      </c>
      <c r="AF39" s="32">
        <f t="shared" si="6"/>
        <v>70.42</v>
      </c>
      <c r="AG39" s="32">
        <f t="shared" si="6"/>
        <v>174.28</v>
      </c>
      <c r="AH39" s="78"/>
      <c r="AI39" s="78"/>
      <c r="AJ39" s="55">
        <f t="shared" si="7"/>
        <v>520.6653</v>
      </c>
      <c r="AK39" s="32"/>
      <c r="AL39" s="33"/>
      <c r="AM39" s="23"/>
    </row>
    <row r="40" spans="1:39" ht="15.6" x14ac:dyDescent="0.3">
      <c r="A40" s="64"/>
      <c r="B40" s="64"/>
      <c r="C40" s="5" t="s">
        <v>518</v>
      </c>
      <c r="D40" s="5" t="s">
        <v>120</v>
      </c>
      <c r="E40" s="7" t="s">
        <v>0</v>
      </c>
      <c r="F40" s="5"/>
      <c r="G40" s="23"/>
      <c r="H40" s="10">
        <v>128</v>
      </c>
      <c r="I40" s="10">
        <v>118</v>
      </c>
      <c r="J40" s="10">
        <v>66</v>
      </c>
      <c r="K40" s="10">
        <v>80</v>
      </c>
      <c r="L40" s="10">
        <v>75</v>
      </c>
      <c r="M40" s="10">
        <v>42</v>
      </c>
      <c r="N40" s="9" cm="1">
        <f t="array" ref="N40">SUM((H40:L40)/5)</f>
        <v>93.4</v>
      </c>
      <c r="O40" s="10">
        <v>100</v>
      </c>
      <c r="P40" s="23"/>
      <c r="Q40" s="4">
        <v>49.308</v>
      </c>
      <c r="R40" s="4">
        <v>72.016000000000005</v>
      </c>
      <c r="S40" s="4">
        <v>0.441</v>
      </c>
      <c r="T40" s="4">
        <v>0.441</v>
      </c>
      <c r="U40" s="30">
        <f t="shared" si="8"/>
        <v>40</v>
      </c>
      <c r="V40" s="30">
        <f t="shared" si="9"/>
        <v>60</v>
      </c>
      <c r="W40" s="23"/>
      <c r="X40" s="30">
        <v>15.868</v>
      </c>
      <c r="Y40" s="30">
        <v>27.081309999999998</v>
      </c>
      <c r="Z40" s="53">
        <v>27.081309999999998</v>
      </c>
      <c r="AA40" s="54">
        <f t="shared" si="3"/>
        <v>44.684161500000002</v>
      </c>
      <c r="AB40" s="23"/>
      <c r="AC40" s="4">
        <v>365</v>
      </c>
      <c r="AD40" s="32">
        <f t="shared" si="4"/>
        <v>131.7893</v>
      </c>
      <c r="AE40" s="32">
        <f t="shared" si="5"/>
        <v>144.17600000000002</v>
      </c>
      <c r="AF40" s="32">
        <f t="shared" si="6"/>
        <v>10.83</v>
      </c>
      <c r="AG40" s="32">
        <f t="shared" si="6"/>
        <v>26.81</v>
      </c>
      <c r="AH40" s="78"/>
      <c r="AI40" s="78"/>
      <c r="AJ40" s="55">
        <f t="shared" si="7"/>
        <v>313.6053</v>
      </c>
      <c r="AK40" s="32"/>
      <c r="AL40" s="33"/>
      <c r="AM40" s="23"/>
    </row>
    <row r="41" spans="1:39" ht="15.6" x14ac:dyDescent="0.3">
      <c r="A41" s="64"/>
      <c r="B41" s="64"/>
      <c r="C41" s="5" t="s">
        <v>518</v>
      </c>
      <c r="D41" s="5" t="s">
        <v>120</v>
      </c>
      <c r="E41" s="7" t="s">
        <v>0</v>
      </c>
      <c r="F41" s="5"/>
      <c r="G41" s="23"/>
      <c r="H41" s="10">
        <v>296</v>
      </c>
      <c r="I41" s="10">
        <v>325</v>
      </c>
      <c r="J41" s="10">
        <v>323</v>
      </c>
      <c r="K41" s="10">
        <v>326</v>
      </c>
      <c r="L41" s="10">
        <v>279</v>
      </c>
      <c r="M41" s="10">
        <v>123</v>
      </c>
      <c r="N41" s="9" cm="1">
        <f t="array" ref="N41">SUM((H41:L41)/5)</f>
        <v>309.8</v>
      </c>
      <c r="O41" s="10">
        <v>310</v>
      </c>
      <c r="P41" s="23"/>
      <c r="Q41" s="4">
        <v>49.308</v>
      </c>
      <c r="R41" s="4">
        <v>72.016000000000005</v>
      </c>
      <c r="S41" s="4">
        <v>0.441</v>
      </c>
      <c r="T41" s="4">
        <v>0.441</v>
      </c>
      <c r="U41" s="30">
        <f t="shared" si="8"/>
        <v>124</v>
      </c>
      <c r="V41" s="30">
        <f t="shared" si="9"/>
        <v>186</v>
      </c>
      <c r="W41" s="23"/>
      <c r="X41" s="30">
        <v>15.868</v>
      </c>
      <c r="Y41" s="30">
        <v>27.08257</v>
      </c>
      <c r="Z41" s="53">
        <v>27.08257</v>
      </c>
      <c r="AA41" s="54">
        <f t="shared" si="3"/>
        <v>44.686240499999997</v>
      </c>
      <c r="AB41" s="23"/>
      <c r="AC41" s="4">
        <v>365</v>
      </c>
      <c r="AD41" s="32">
        <f t="shared" si="4"/>
        <v>131.7893</v>
      </c>
      <c r="AE41" s="32">
        <f t="shared" si="5"/>
        <v>144.17600000000002</v>
      </c>
      <c r="AF41" s="32">
        <f t="shared" si="6"/>
        <v>33.58</v>
      </c>
      <c r="AG41" s="32">
        <f t="shared" si="6"/>
        <v>83.12</v>
      </c>
      <c r="AH41" s="78"/>
      <c r="AI41" s="78"/>
      <c r="AJ41" s="55">
        <f t="shared" si="7"/>
        <v>392.6653</v>
      </c>
      <c r="AK41" s="32"/>
      <c r="AL41" s="33"/>
      <c r="AM41" s="23"/>
    </row>
    <row r="42" spans="1:39" ht="15.6" x14ac:dyDescent="0.3">
      <c r="A42" s="64"/>
      <c r="B42" s="64"/>
      <c r="C42" s="5" t="s">
        <v>518</v>
      </c>
      <c r="D42" s="5" t="s">
        <v>120</v>
      </c>
      <c r="E42" s="7" t="s">
        <v>0</v>
      </c>
      <c r="F42" s="5"/>
      <c r="G42" s="23"/>
      <c r="H42" s="10">
        <v>337</v>
      </c>
      <c r="I42" s="10">
        <v>338</v>
      </c>
      <c r="J42" s="10">
        <v>239</v>
      </c>
      <c r="K42" s="10">
        <v>292</v>
      </c>
      <c r="L42" s="10">
        <v>349</v>
      </c>
      <c r="M42" s="10">
        <v>169</v>
      </c>
      <c r="N42" s="9" cm="1">
        <f t="array" ref="N42">SUM((H42:L42)/5)</f>
        <v>311</v>
      </c>
      <c r="O42" s="10">
        <v>310</v>
      </c>
      <c r="P42" s="23"/>
      <c r="Q42" s="4">
        <v>49.308</v>
      </c>
      <c r="R42" s="4">
        <v>72.016000000000005</v>
      </c>
      <c r="S42" s="4">
        <v>0.441</v>
      </c>
      <c r="T42" s="4">
        <v>0.441</v>
      </c>
      <c r="U42" s="30">
        <f t="shared" si="8"/>
        <v>124</v>
      </c>
      <c r="V42" s="30">
        <f t="shared" si="9"/>
        <v>186</v>
      </c>
      <c r="W42" s="23"/>
      <c r="X42" s="30">
        <v>15.868</v>
      </c>
      <c r="Y42" s="30">
        <v>27.08334</v>
      </c>
      <c r="Z42" s="53">
        <v>27.08334</v>
      </c>
      <c r="AA42" s="54">
        <f t="shared" si="3"/>
        <v>44.687511000000001</v>
      </c>
      <c r="AB42" s="23"/>
      <c r="AC42" s="4">
        <v>365</v>
      </c>
      <c r="AD42" s="32">
        <f t="shared" si="4"/>
        <v>131.7893</v>
      </c>
      <c r="AE42" s="32">
        <f t="shared" si="5"/>
        <v>144.17600000000002</v>
      </c>
      <c r="AF42" s="32">
        <f t="shared" si="6"/>
        <v>33.58</v>
      </c>
      <c r="AG42" s="32">
        <f t="shared" si="6"/>
        <v>83.12</v>
      </c>
      <c r="AH42" s="78"/>
      <c r="AI42" s="78"/>
      <c r="AJ42" s="55">
        <f t="shared" si="7"/>
        <v>392.6653</v>
      </c>
      <c r="AK42" s="32"/>
      <c r="AL42" s="33"/>
      <c r="AM42" s="23"/>
    </row>
    <row r="43" spans="1:39" ht="15.6" x14ac:dyDescent="0.3">
      <c r="A43" s="64"/>
      <c r="B43" s="64"/>
      <c r="C43" s="5" t="s">
        <v>519</v>
      </c>
      <c r="D43" s="5" t="s">
        <v>120</v>
      </c>
      <c r="E43" s="7" t="s">
        <v>0</v>
      </c>
      <c r="F43" s="5"/>
      <c r="G43" s="23"/>
      <c r="H43" s="10">
        <v>2004</v>
      </c>
      <c r="I43" s="10">
        <v>2381</v>
      </c>
      <c r="J43" s="10">
        <v>1933</v>
      </c>
      <c r="K43" s="10">
        <v>1862</v>
      </c>
      <c r="L43" s="10">
        <v>2357</v>
      </c>
      <c r="M43" s="10">
        <v>821</v>
      </c>
      <c r="N43" s="9" cm="1">
        <f t="array" ref="N43">SUM((H43:L43)/5)</f>
        <v>2107.4</v>
      </c>
      <c r="O43" s="10">
        <v>2110</v>
      </c>
      <c r="P43" s="23"/>
      <c r="Q43" s="4">
        <v>49.308</v>
      </c>
      <c r="R43" s="4">
        <v>72.016000000000005</v>
      </c>
      <c r="S43" s="4">
        <v>0.441</v>
      </c>
      <c r="T43" s="4">
        <v>0.441</v>
      </c>
      <c r="U43" s="30">
        <f t="shared" si="8"/>
        <v>844</v>
      </c>
      <c r="V43" s="30">
        <f t="shared" si="9"/>
        <v>1266</v>
      </c>
      <c r="W43" s="23"/>
      <c r="X43" s="30">
        <v>15.868</v>
      </c>
      <c r="Y43" s="30">
        <v>27.08268</v>
      </c>
      <c r="Z43" s="53">
        <v>27.08268</v>
      </c>
      <c r="AA43" s="54">
        <f t="shared" si="3"/>
        <v>44.686422</v>
      </c>
      <c r="AB43" s="23"/>
      <c r="AC43" s="4">
        <v>365</v>
      </c>
      <c r="AD43" s="32">
        <f t="shared" si="4"/>
        <v>131.7893</v>
      </c>
      <c r="AE43" s="32">
        <f t="shared" si="5"/>
        <v>144.17600000000002</v>
      </c>
      <c r="AF43" s="32">
        <f t="shared" si="6"/>
        <v>228.58</v>
      </c>
      <c r="AG43" s="32">
        <f t="shared" si="6"/>
        <v>565.73</v>
      </c>
      <c r="AH43" s="78"/>
      <c r="AI43" s="78"/>
      <c r="AJ43" s="55">
        <f t="shared" si="7"/>
        <v>1070.2753</v>
      </c>
      <c r="AK43" s="32"/>
      <c r="AL43" s="33"/>
      <c r="AM43" s="23"/>
    </row>
    <row r="44" spans="1:39" ht="15.6" x14ac:dyDescent="0.3">
      <c r="A44" s="64"/>
      <c r="B44" s="64"/>
      <c r="C44" s="5" t="s">
        <v>520</v>
      </c>
      <c r="D44" s="5" t="s">
        <v>120</v>
      </c>
      <c r="E44" s="7" t="s">
        <v>0</v>
      </c>
      <c r="F44" s="5"/>
      <c r="G44" s="23"/>
      <c r="H44" s="10">
        <v>169</v>
      </c>
      <c r="I44" s="10">
        <v>172</v>
      </c>
      <c r="J44" s="10">
        <v>174</v>
      </c>
      <c r="K44" s="10">
        <v>171</v>
      </c>
      <c r="L44" s="10">
        <v>132</v>
      </c>
      <c r="M44" s="10">
        <v>92</v>
      </c>
      <c r="N44" s="9" cm="1">
        <f t="array" ref="N44">SUM((H44:L44)/5)</f>
        <v>163.6</v>
      </c>
      <c r="O44" s="10">
        <v>165</v>
      </c>
      <c r="P44" s="23"/>
      <c r="Q44" s="4">
        <v>49.828000000000003</v>
      </c>
      <c r="R44" s="4">
        <v>63.256999999999998</v>
      </c>
      <c r="S44" s="4">
        <v>0.441</v>
      </c>
      <c r="T44" s="4">
        <v>0.441</v>
      </c>
      <c r="U44" s="30">
        <f t="shared" si="8"/>
        <v>66</v>
      </c>
      <c r="V44" s="30">
        <f t="shared" si="9"/>
        <v>99</v>
      </c>
      <c r="W44" s="23"/>
      <c r="X44" s="30">
        <v>15.061999999999999</v>
      </c>
      <c r="Y44" s="30">
        <v>26.50544</v>
      </c>
      <c r="Z44" s="53">
        <v>26.50544</v>
      </c>
      <c r="AA44" s="54">
        <f t="shared" si="3"/>
        <v>43.733975999999998</v>
      </c>
      <c r="AB44" s="23"/>
      <c r="AC44" s="4">
        <v>365</v>
      </c>
      <c r="AD44" s="32">
        <f t="shared" si="4"/>
        <v>115.7603</v>
      </c>
      <c r="AE44" s="32">
        <f t="shared" si="5"/>
        <v>126.64049999999999</v>
      </c>
      <c r="AF44" s="32">
        <f t="shared" si="6"/>
        <v>17.489999999999998</v>
      </c>
      <c r="AG44" s="32">
        <f t="shared" si="6"/>
        <v>43.3</v>
      </c>
      <c r="AH44" s="78"/>
      <c r="AI44" s="78"/>
      <c r="AJ44" s="55">
        <f t="shared" si="7"/>
        <v>303.19080000000002</v>
      </c>
      <c r="AK44" s="32"/>
      <c r="AL44" s="33"/>
      <c r="AM44" s="23"/>
    </row>
    <row r="45" spans="1:39" ht="15.6" x14ac:dyDescent="0.3">
      <c r="A45" s="64"/>
      <c r="B45" s="64"/>
      <c r="C45" s="5" t="s">
        <v>520</v>
      </c>
      <c r="D45" s="5" t="s">
        <v>120</v>
      </c>
      <c r="E45" s="7" t="s">
        <v>0</v>
      </c>
      <c r="F45" s="5"/>
      <c r="G45" s="23"/>
      <c r="H45" s="10">
        <v>164</v>
      </c>
      <c r="I45" s="10">
        <v>167</v>
      </c>
      <c r="J45" s="10">
        <v>186</v>
      </c>
      <c r="K45" s="10">
        <v>174</v>
      </c>
      <c r="L45" s="10">
        <v>123</v>
      </c>
      <c r="M45" s="10">
        <v>89</v>
      </c>
      <c r="N45" s="9" cm="1">
        <f t="array" ref="N45">SUM((H45:L45)/5)</f>
        <v>162.79999999999998</v>
      </c>
      <c r="O45" s="10">
        <v>165</v>
      </c>
      <c r="P45" s="23"/>
      <c r="Q45" s="4">
        <v>49.828000000000003</v>
      </c>
      <c r="R45" s="4">
        <v>63.256999999999998</v>
      </c>
      <c r="S45" s="4">
        <v>0.441</v>
      </c>
      <c r="T45" s="4">
        <v>0.441</v>
      </c>
      <c r="U45" s="30">
        <f t="shared" si="8"/>
        <v>66</v>
      </c>
      <c r="V45" s="30">
        <f t="shared" si="9"/>
        <v>99</v>
      </c>
      <c r="W45" s="23"/>
      <c r="X45" s="30">
        <v>15.061999999999999</v>
      </c>
      <c r="Y45" s="30">
        <v>26.505800000000001</v>
      </c>
      <c r="Z45" s="53">
        <v>26.505800000000001</v>
      </c>
      <c r="AA45" s="54">
        <f t="shared" si="3"/>
        <v>43.734570000000005</v>
      </c>
      <c r="AB45" s="23"/>
      <c r="AC45" s="4">
        <v>365</v>
      </c>
      <c r="AD45" s="32">
        <f t="shared" si="4"/>
        <v>115.7603</v>
      </c>
      <c r="AE45" s="32">
        <f t="shared" si="5"/>
        <v>126.64049999999999</v>
      </c>
      <c r="AF45" s="32">
        <f t="shared" si="6"/>
        <v>17.489999999999998</v>
      </c>
      <c r="AG45" s="32">
        <f t="shared" si="6"/>
        <v>43.3</v>
      </c>
      <c r="AH45" s="78"/>
      <c r="AI45" s="78"/>
      <c r="AJ45" s="55">
        <f t="shared" si="7"/>
        <v>303.19080000000002</v>
      </c>
      <c r="AK45" s="32"/>
      <c r="AL45" s="33"/>
      <c r="AM45" s="23"/>
    </row>
    <row r="46" spans="1:39" ht="15.6" x14ac:dyDescent="0.3">
      <c r="A46" s="64"/>
      <c r="B46" s="64"/>
      <c r="C46" s="5" t="s">
        <v>521</v>
      </c>
      <c r="D46" s="5" t="s">
        <v>120</v>
      </c>
      <c r="E46" s="7" t="s">
        <v>0</v>
      </c>
      <c r="F46" s="5"/>
      <c r="G46" s="23"/>
      <c r="H46" s="10">
        <v>1827</v>
      </c>
      <c r="I46" s="10">
        <v>1414</v>
      </c>
      <c r="J46" s="10">
        <v>1262</v>
      </c>
      <c r="K46" s="10">
        <v>1589</v>
      </c>
      <c r="L46" s="10">
        <v>1480</v>
      </c>
      <c r="M46" s="10">
        <v>582</v>
      </c>
      <c r="N46" s="9" cm="1">
        <f t="array" ref="N46">SUM((H46:L46)/5)</f>
        <v>1514.4</v>
      </c>
      <c r="O46" s="10">
        <v>1520</v>
      </c>
      <c r="P46" s="23"/>
      <c r="Q46" s="4">
        <v>49.308</v>
      </c>
      <c r="R46" s="4">
        <v>72.016000000000005</v>
      </c>
      <c r="S46" s="4">
        <v>0.441</v>
      </c>
      <c r="T46" s="4">
        <v>0.441</v>
      </c>
      <c r="U46" s="30">
        <f t="shared" si="8"/>
        <v>608</v>
      </c>
      <c r="V46" s="30">
        <f t="shared" si="9"/>
        <v>912</v>
      </c>
      <c r="W46" s="23"/>
      <c r="X46" s="30">
        <v>15.868</v>
      </c>
      <c r="Y46" s="30">
        <v>27.08296</v>
      </c>
      <c r="Z46" s="53">
        <v>27.08296</v>
      </c>
      <c r="AA46" s="54">
        <f t="shared" si="3"/>
        <v>44.686883999999999</v>
      </c>
      <c r="AB46" s="23"/>
      <c r="AC46" s="4">
        <v>365</v>
      </c>
      <c r="AD46" s="32">
        <f t="shared" si="4"/>
        <v>131.7893</v>
      </c>
      <c r="AE46" s="32">
        <f t="shared" si="5"/>
        <v>144.17600000000002</v>
      </c>
      <c r="AF46" s="32">
        <f t="shared" si="6"/>
        <v>164.66</v>
      </c>
      <c r="AG46" s="32">
        <f t="shared" si="6"/>
        <v>407.54</v>
      </c>
      <c r="AH46" s="78"/>
      <c r="AI46" s="78"/>
      <c r="AJ46" s="55">
        <f t="shared" si="7"/>
        <v>848.16530000000012</v>
      </c>
      <c r="AK46" s="32"/>
      <c r="AL46" s="33"/>
      <c r="AM46" s="23"/>
    </row>
    <row r="47" spans="1:39" ht="15.6" x14ac:dyDescent="0.3">
      <c r="A47" s="64"/>
      <c r="B47" s="64"/>
      <c r="C47" s="5" t="s">
        <v>521</v>
      </c>
      <c r="D47" s="5" t="s">
        <v>120</v>
      </c>
      <c r="E47" s="7" t="s">
        <v>0</v>
      </c>
      <c r="F47" s="5"/>
      <c r="G47" s="23"/>
      <c r="H47" s="10">
        <v>1259</v>
      </c>
      <c r="I47" s="10">
        <v>1474</v>
      </c>
      <c r="J47" s="10">
        <v>1368</v>
      </c>
      <c r="K47" s="10">
        <v>1883</v>
      </c>
      <c r="L47" s="10">
        <v>2815</v>
      </c>
      <c r="M47" s="10">
        <v>1238</v>
      </c>
      <c r="N47" s="9" cm="1">
        <f t="array" ref="N47">SUM((H47:L47)/5)</f>
        <v>1759.8000000000002</v>
      </c>
      <c r="O47" s="10">
        <v>2250</v>
      </c>
      <c r="P47" s="23"/>
      <c r="Q47" s="4">
        <v>49.308</v>
      </c>
      <c r="R47" s="4">
        <v>72.016000000000005</v>
      </c>
      <c r="S47" s="4">
        <v>0.441</v>
      </c>
      <c r="T47" s="4">
        <v>0.441</v>
      </c>
      <c r="U47" s="30">
        <f t="shared" si="8"/>
        <v>900</v>
      </c>
      <c r="V47" s="30">
        <f t="shared" si="9"/>
        <v>1350</v>
      </c>
      <c r="W47" s="23"/>
      <c r="X47" s="30">
        <v>15.868</v>
      </c>
      <c r="Y47" s="30">
        <v>27.082730000000002</v>
      </c>
      <c r="Z47" s="53">
        <v>27.082730000000002</v>
      </c>
      <c r="AA47" s="54">
        <f t="shared" si="3"/>
        <v>44.686504499999998</v>
      </c>
      <c r="AB47" s="23"/>
      <c r="AC47" s="4">
        <v>365</v>
      </c>
      <c r="AD47" s="32">
        <f t="shared" si="4"/>
        <v>131.7893</v>
      </c>
      <c r="AE47" s="32">
        <f t="shared" si="5"/>
        <v>144.17600000000002</v>
      </c>
      <c r="AF47" s="32">
        <f t="shared" si="6"/>
        <v>243.74</v>
      </c>
      <c r="AG47" s="32">
        <f t="shared" si="6"/>
        <v>603.27</v>
      </c>
      <c r="AH47" s="78"/>
      <c r="AI47" s="78"/>
      <c r="AJ47" s="55">
        <f t="shared" si="7"/>
        <v>1122.9753000000001</v>
      </c>
      <c r="AK47" s="32"/>
      <c r="AL47" s="33"/>
      <c r="AM47" s="23"/>
    </row>
    <row r="48" spans="1:39" ht="15.6" x14ac:dyDescent="0.3">
      <c r="A48" s="64"/>
      <c r="B48" s="64"/>
      <c r="C48" s="5" t="s">
        <v>521</v>
      </c>
      <c r="D48" s="5" t="s">
        <v>120</v>
      </c>
      <c r="E48" s="7" t="s">
        <v>0</v>
      </c>
      <c r="F48" s="5"/>
      <c r="G48" s="23"/>
      <c r="H48" s="10">
        <v>2918</v>
      </c>
      <c r="I48" s="10">
        <v>2755</v>
      </c>
      <c r="J48" s="10">
        <v>2431</v>
      </c>
      <c r="K48" s="10">
        <v>2586</v>
      </c>
      <c r="L48" s="10">
        <v>2843</v>
      </c>
      <c r="M48" s="10">
        <v>1222</v>
      </c>
      <c r="N48" s="9" cm="1">
        <f t="array" ref="N48">SUM((H48:L48)/5)</f>
        <v>2706.6</v>
      </c>
      <c r="O48" s="10">
        <v>2700</v>
      </c>
      <c r="P48" s="23"/>
      <c r="Q48" s="4">
        <v>49.308</v>
      </c>
      <c r="R48" s="4">
        <v>72.016000000000005</v>
      </c>
      <c r="S48" s="4">
        <v>0.441</v>
      </c>
      <c r="T48" s="4">
        <v>0.441</v>
      </c>
      <c r="U48" s="30">
        <f t="shared" si="8"/>
        <v>1080</v>
      </c>
      <c r="V48" s="30">
        <f t="shared" si="9"/>
        <v>1620</v>
      </c>
      <c r="W48" s="23"/>
      <c r="X48" s="30">
        <v>15.868</v>
      </c>
      <c r="Y48" s="30">
        <v>27.082719999999998</v>
      </c>
      <c r="Z48" s="53">
        <v>27.082719999999998</v>
      </c>
      <c r="AA48" s="54">
        <f t="shared" si="3"/>
        <v>44.686487999999997</v>
      </c>
      <c r="AB48" s="23"/>
      <c r="AC48" s="4">
        <v>365</v>
      </c>
      <c r="AD48" s="32">
        <f t="shared" si="4"/>
        <v>131.7893</v>
      </c>
      <c r="AE48" s="32">
        <f t="shared" si="5"/>
        <v>144.17600000000002</v>
      </c>
      <c r="AF48" s="32">
        <f t="shared" si="6"/>
        <v>292.49</v>
      </c>
      <c r="AG48" s="32">
        <f t="shared" si="6"/>
        <v>723.92</v>
      </c>
      <c r="AH48" s="78"/>
      <c r="AI48" s="78"/>
      <c r="AJ48" s="55">
        <f t="shared" si="7"/>
        <v>1292.3753000000002</v>
      </c>
      <c r="AK48" s="32"/>
      <c r="AL48" s="33"/>
      <c r="AM48" s="23"/>
    </row>
    <row r="49" spans="1:39" ht="15.6" x14ac:dyDescent="0.3">
      <c r="A49" s="64"/>
      <c r="B49" s="64"/>
      <c r="C49" s="5" t="s">
        <v>521</v>
      </c>
      <c r="D49" s="5" t="s">
        <v>120</v>
      </c>
      <c r="E49" s="7" t="s">
        <v>0</v>
      </c>
      <c r="F49" s="5"/>
      <c r="G49" s="23"/>
      <c r="H49" s="10">
        <v>2957</v>
      </c>
      <c r="I49" s="10">
        <v>3065</v>
      </c>
      <c r="J49" s="10">
        <v>3077</v>
      </c>
      <c r="K49" s="10">
        <v>2945</v>
      </c>
      <c r="L49" s="10">
        <v>2575</v>
      </c>
      <c r="M49" s="10">
        <v>11</v>
      </c>
      <c r="N49" s="9" cm="1">
        <f t="array" ref="N49">SUM((H49:L49)/5)</f>
        <v>2923.8</v>
      </c>
      <c r="O49" s="10">
        <v>2910</v>
      </c>
      <c r="P49" s="23"/>
      <c r="Q49" s="4">
        <v>49.308</v>
      </c>
      <c r="R49" s="4">
        <v>72.016000000000005</v>
      </c>
      <c r="S49" s="4">
        <v>0.441</v>
      </c>
      <c r="T49" s="4">
        <v>0.441</v>
      </c>
      <c r="U49" s="30">
        <f t="shared" si="8"/>
        <v>1164</v>
      </c>
      <c r="V49" s="30">
        <f t="shared" si="9"/>
        <v>1746</v>
      </c>
      <c r="W49" s="23"/>
      <c r="X49" s="30">
        <v>15.868</v>
      </c>
      <c r="Y49" s="30">
        <v>27.082719999999998</v>
      </c>
      <c r="Z49" s="53">
        <v>27.082719999999998</v>
      </c>
      <c r="AA49" s="54">
        <f t="shared" si="3"/>
        <v>44.686487999999997</v>
      </c>
      <c r="AB49" s="23"/>
      <c r="AC49" s="4">
        <v>365</v>
      </c>
      <c r="AD49" s="32">
        <f t="shared" si="4"/>
        <v>131.7893</v>
      </c>
      <c r="AE49" s="32">
        <f t="shared" si="5"/>
        <v>144.17600000000002</v>
      </c>
      <c r="AF49" s="32">
        <f t="shared" si="6"/>
        <v>315.24</v>
      </c>
      <c r="AG49" s="32">
        <f t="shared" si="6"/>
        <v>780.23</v>
      </c>
      <c r="AH49" s="78"/>
      <c r="AI49" s="78"/>
      <c r="AJ49" s="55">
        <f t="shared" si="7"/>
        <v>1371.4353000000001</v>
      </c>
      <c r="AK49" s="32"/>
      <c r="AL49" s="33"/>
      <c r="AM49" s="23"/>
    </row>
    <row r="50" spans="1:39" ht="60" x14ac:dyDescent="0.3">
      <c r="A50" s="64"/>
      <c r="B50" s="64"/>
      <c r="C50" s="5" t="s">
        <v>521</v>
      </c>
      <c r="D50" s="5" t="s">
        <v>120</v>
      </c>
      <c r="E50" s="7" t="s">
        <v>0</v>
      </c>
      <c r="F50" s="5"/>
      <c r="G50" s="23"/>
      <c r="H50" s="10">
        <v>1622</v>
      </c>
      <c r="I50" s="10">
        <v>1691</v>
      </c>
      <c r="J50" s="10">
        <v>1968</v>
      </c>
      <c r="K50" s="10">
        <v>2212</v>
      </c>
      <c r="L50" s="10">
        <v>1821</v>
      </c>
      <c r="M50" s="10">
        <v>908</v>
      </c>
      <c r="N50" s="9" cm="1">
        <f t="array" ref="N50">SUM((H50:L50)/5)</f>
        <v>1862.8</v>
      </c>
      <c r="O50" s="10">
        <v>1870</v>
      </c>
      <c r="P50" s="23"/>
      <c r="Q50" s="4">
        <v>50.334000000000003</v>
      </c>
      <c r="R50" s="4">
        <v>63.256999999999998</v>
      </c>
      <c r="S50" s="4">
        <v>0.441</v>
      </c>
      <c r="T50" s="4">
        <v>0.441</v>
      </c>
      <c r="U50" s="30">
        <f t="shared" si="8"/>
        <v>748</v>
      </c>
      <c r="V50" s="30">
        <f t="shared" si="9"/>
        <v>1122</v>
      </c>
      <c r="W50" s="23"/>
      <c r="X50" s="30" t="s">
        <v>146</v>
      </c>
      <c r="Y50" s="30" t="s">
        <v>147</v>
      </c>
      <c r="Z50" s="53">
        <f>SUM(27.42068+24.996+25.3102)/3</f>
        <v>25.908959999999997</v>
      </c>
      <c r="AA50" s="54">
        <f t="shared" si="3"/>
        <v>42.749783999999991</v>
      </c>
      <c r="AB50" s="23"/>
      <c r="AC50" s="4">
        <v>365</v>
      </c>
      <c r="AD50" s="32">
        <f t="shared" si="4"/>
        <v>115.7603</v>
      </c>
      <c r="AE50" s="32">
        <f t="shared" si="5"/>
        <v>126.64049999999999</v>
      </c>
      <c r="AF50" s="32">
        <f t="shared" si="6"/>
        <v>193.8</v>
      </c>
      <c r="AG50" s="32">
        <f t="shared" si="6"/>
        <v>479.65</v>
      </c>
      <c r="AH50" s="78"/>
      <c r="AI50" s="78"/>
      <c r="AJ50" s="55">
        <f t="shared" si="7"/>
        <v>915.85079999999994</v>
      </c>
      <c r="AK50" s="32"/>
      <c r="AL50" s="33"/>
      <c r="AM50" s="23"/>
    </row>
    <row r="51" spans="1:39" ht="15.6" x14ac:dyDescent="0.3">
      <c r="A51" s="64"/>
      <c r="B51" s="64"/>
      <c r="C51" s="5" t="s">
        <v>522</v>
      </c>
      <c r="D51" s="5" t="s">
        <v>120</v>
      </c>
      <c r="E51" s="7" t="s">
        <v>0</v>
      </c>
      <c r="F51" s="5"/>
      <c r="G51" s="23"/>
      <c r="H51" s="10">
        <v>1327</v>
      </c>
      <c r="I51" s="10">
        <v>1556</v>
      </c>
      <c r="J51" s="10">
        <v>1651</v>
      </c>
      <c r="K51" s="10">
        <v>1805</v>
      </c>
      <c r="L51" s="10">
        <v>1745</v>
      </c>
      <c r="M51" s="10">
        <v>89</v>
      </c>
      <c r="N51" s="9" cm="1">
        <f t="array" ref="N51">SUM((H51:L51)/5)</f>
        <v>1616.8</v>
      </c>
      <c r="O51" s="10">
        <v>1620</v>
      </c>
      <c r="P51" s="23"/>
      <c r="Q51" s="4">
        <v>49.308</v>
      </c>
      <c r="R51" s="4">
        <v>72.016000000000005</v>
      </c>
      <c r="S51" s="4">
        <v>0.441</v>
      </c>
      <c r="T51" s="4">
        <v>0.441</v>
      </c>
      <c r="U51" s="30">
        <f t="shared" si="8"/>
        <v>648</v>
      </c>
      <c r="V51" s="30">
        <f t="shared" si="9"/>
        <v>972</v>
      </c>
      <c r="W51" s="23"/>
      <c r="X51" s="30">
        <v>15.868</v>
      </c>
      <c r="Y51" s="30">
        <v>27.082889999999999</v>
      </c>
      <c r="Z51" s="53">
        <v>27.082889999999999</v>
      </c>
      <c r="AA51" s="54">
        <f t="shared" si="3"/>
        <v>44.686768499999999</v>
      </c>
      <c r="AB51" s="23"/>
      <c r="AC51" s="4">
        <v>365</v>
      </c>
      <c r="AD51" s="32">
        <f t="shared" si="4"/>
        <v>131.7893</v>
      </c>
      <c r="AE51" s="32">
        <f t="shared" si="5"/>
        <v>144.17600000000002</v>
      </c>
      <c r="AF51" s="32">
        <f t="shared" si="6"/>
        <v>175.5</v>
      </c>
      <c r="AG51" s="32">
        <f t="shared" si="6"/>
        <v>434.36</v>
      </c>
      <c r="AH51" s="78"/>
      <c r="AI51" s="78"/>
      <c r="AJ51" s="55">
        <f t="shared" si="7"/>
        <v>885.82529999999997</v>
      </c>
      <c r="AK51" s="32"/>
      <c r="AL51" s="33"/>
      <c r="AM51" s="23"/>
    </row>
    <row r="52" spans="1:39" ht="30" x14ac:dyDescent="0.3">
      <c r="A52" s="64"/>
      <c r="B52" s="64"/>
      <c r="C52" s="5" t="s">
        <v>442</v>
      </c>
      <c r="D52" s="5" t="s">
        <v>120</v>
      </c>
      <c r="E52" s="7" t="s">
        <v>0</v>
      </c>
      <c r="F52" s="5"/>
      <c r="G52" s="23"/>
      <c r="H52" s="10">
        <v>1497</v>
      </c>
      <c r="I52" s="10">
        <v>1367</v>
      </c>
      <c r="J52" s="10">
        <v>807</v>
      </c>
      <c r="K52" s="10">
        <v>452</v>
      </c>
      <c r="L52" s="10">
        <v>463</v>
      </c>
      <c r="M52" s="10">
        <v>306</v>
      </c>
      <c r="N52" s="9" cm="1">
        <f t="array" ref="N52">SUM((H52:L52)/5)</f>
        <v>917.19999999999993</v>
      </c>
      <c r="O52" s="10">
        <v>920</v>
      </c>
      <c r="P52" s="23"/>
      <c r="Q52" s="4">
        <v>50.334000000000003</v>
      </c>
      <c r="R52" s="4">
        <v>63.256999999999998</v>
      </c>
      <c r="S52" s="4">
        <v>0.441</v>
      </c>
      <c r="T52" s="4">
        <v>0.441</v>
      </c>
      <c r="U52" s="30">
        <f t="shared" si="8"/>
        <v>368</v>
      </c>
      <c r="V52" s="30">
        <f t="shared" si="9"/>
        <v>552</v>
      </c>
      <c r="W52" s="23"/>
      <c r="X52" s="30" t="s">
        <v>131</v>
      </c>
      <c r="Y52" s="30" t="s">
        <v>148</v>
      </c>
      <c r="Z52" s="53">
        <f>SUM(26.64323+25.16313)/2</f>
        <v>25.903179999999999</v>
      </c>
      <c r="AA52" s="54">
        <f t="shared" si="3"/>
        <v>42.740246999999997</v>
      </c>
      <c r="AB52" s="23"/>
      <c r="AC52" s="4">
        <v>365</v>
      </c>
      <c r="AD52" s="32">
        <f t="shared" si="4"/>
        <v>115.7603</v>
      </c>
      <c r="AE52" s="32">
        <f t="shared" si="5"/>
        <v>126.64049999999999</v>
      </c>
      <c r="AF52" s="32">
        <f t="shared" si="6"/>
        <v>95.32</v>
      </c>
      <c r="AG52" s="32">
        <f t="shared" si="6"/>
        <v>235.93</v>
      </c>
      <c r="AH52" s="78"/>
      <c r="AI52" s="78"/>
      <c r="AJ52" s="55">
        <f t="shared" si="7"/>
        <v>573.6508</v>
      </c>
      <c r="AK52" s="32"/>
      <c r="AL52" s="33"/>
      <c r="AM52" s="23"/>
    </row>
    <row r="53" spans="1:39" ht="30" x14ac:dyDescent="0.3">
      <c r="A53" s="64"/>
      <c r="B53" s="64"/>
      <c r="C53" s="5" t="s">
        <v>442</v>
      </c>
      <c r="D53" s="5" t="s">
        <v>120</v>
      </c>
      <c r="E53" s="7" t="s">
        <v>0</v>
      </c>
      <c r="F53" s="5"/>
      <c r="G53" s="23"/>
      <c r="H53" s="10">
        <v>280</v>
      </c>
      <c r="I53" s="10">
        <v>284</v>
      </c>
      <c r="J53" s="10">
        <v>255</v>
      </c>
      <c r="K53" s="10">
        <v>129</v>
      </c>
      <c r="L53" s="10">
        <v>147</v>
      </c>
      <c r="M53" s="10">
        <v>25</v>
      </c>
      <c r="N53" s="9" cm="1">
        <f t="array" ref="N53">SUM((H53:L53)/5)</f>
        <v>219.00000000000003</v>
      </c>
      <c r="O53" s="10">
        <v>220</v>
      </c>
      <c r="P53" s="23"/>
      <c r="Q53" s="4">
        <v>50.334000000000003</v>
      </c>
      <c r="R53" s="4">
        <v>63.256999999999998</v>
      </c>
      <c r="S53" s="4">
        <v>0.441</v>
      </c>
      <c r="T53" s="4">
        <v>0.441</v>
      </c>
      <c r="U53" s="30">
        <f t="shared" si="8"/>
        <v>88</v>
      </c>
      <c r="V53" s="30">
        <f t="shared" si="9"/>
        <v>132</v>
      </c>
      <c r="W53" s="23"/>
      <c r="X53" s="30" t="s">
        <v>133</v>
      </c>
      <c r="Y53" s="30" t="s">
        <v>149</v>
      </c>
      <c r="Z53" s="53">
        <f>SUM(26.63+25.14077)/2</f>
        <v>25.885384999999999</v>
      </c>
      <c r="AA53" s="54">
        <f t="shared" si="3"/>
        <v>42.710885250000004</v>
      </c>
      <c r="AB53" s="23"/>
      <c r="AC53" s="4">
        <v>365</v>
      </c>
      <c r="AD53" s="32">
        <f t="shared" si="4"/>
        <v>115.7603</v>
      </c>
      <c r="AE53" s="32">
        <f t="shared" si="5"/>
        <v>126.64049999999999</v>
      </c>
      <c r="AF53" s="32">
        <f t="shared" si="6"/>
        <v>22.78</v>
      </c>
      <c r="AG53" s="32">
        <f t="shared" si="6"/>
        <v>56.38</v>
      </c>
      <c r="AH53" s="78"/>
      <c r="AI53" s="78"/>
      <c r="AJ53" s="55">
        <f t="shared" si="7"/>
        <v>321.56079999999997</v>
      </c>
      <c r="AK53" s="32"/>
      <c r="AL53" s="33"/>
      <c r="AM53" s="23"/>
    </row>
    <row r="54" spans="1:39" ht="30" x14ac:dyDescent="0.3">
      <c r="A54" s="64"/>
      <c r="B54" s="64"/>
      <c r="C54" s="5" t="s">
        <v>523</v>
      </c>
      <c r="D54" s="5" t="s">
        <v>120</v>
      </c>
      <c r="E54" s="7" t="s">
        <v>0</v>
      </c>
      <c r="F54" s="5"/>
      <c r="G54" s="23"/>
      <c r="H54" s="10">
        <v>1171</v>
      </c>
      <c r="I54" s="10">
        <v>1139</v>
      </c>
      <c r="J54" s="10">
        <v>944</v>
      </c>
      <c r="K54" s="10">
        <v>955</v>
      </c>
      <c r="L54" s="10">
        <v>1057</v>
      </c>
      <c r="M54" s="10">
        <v>383</v>
      </c>
      <c r="N54" s="9" cm="1">
        <f t="array" ref="N54">SUM((H54:L54)/5)</f>
        <v>1053.2</v>
      </c>
      <c r="O54" s="10">
        <v>1050</v>
      </c>
      <c r="P54" s="23"/>
      <c r="Q54" s="4">
        <v>49.325000000000003</v>
      </c>
      <c r="R54" s="4">
        <v>72.016000000000005</v>
      </c>
      <c r="S54" s="4">
        <v>0.441</v>
      </c>
      <c r="T54" s="4">
        <v>0.441</v>
      </c>
      <c r="U54" s="30">
        <f t="shared" si="8"/>
        <v>420</v>
      </c>
      <c r="V54" s="30">
        <f t="shared" si="9"/>
        <v>630</v>
      </c>
      <c r="W54" s="23"/>
      <c r="X54" s="30" t="s">
        <v>127</v>
      </c>
      <c r="Y54" s="30" t="s">
        <v>150</v>
      </c>
      <c r="Z54" s="53">
        <f>SUM(27.15839+25.03475)/2</f>
        <v>26.09657</v>
      </c>
      <c r="AA54" s="54">
        <f t="shared" si="3"/>
        <v>43.059340500000005</v>
      </c>
      <c r="AB54" s="23"/>
      <c r="AC54" s="4">
        <v>365</v>
      </c>
      <c r="AD54" s="32">
        <f t="shared" si="4"/>
        <v>131.7893</v>
      </c>
      <c r="AE54" s="32">
        <f t="shared" si="5"/>
        <v>144.17600000000002</v>
      </c>
      <c r="AF54" s="32">
        <f t="shared" si="6"/>
        <v>109.61</v>
      </c>
      <c r="AG54" s="32">
        <f t="shared" si="6"/>
        <v>271.27</v>
      </c>
      <c r="AH54" s="78"/>
      <c r="AI54" s="78"/>
      <c r="AJ54" s="55">
        <f t="shared" si="7"/>
        <v>656.84529999999995</v>
      </c>
      <c r="AK54" s="32"/>
      <c r="AL54" s="33"/>
      <c r="AM54" s="23"/>
    </row>
    <row r="55" spans="1:39" ht="45" x14ac:dyDescent="0.3">
      <c r="A55" s="64"/>
      <c r="B55" s="64"/>
      <c r="C55" s="5" t="s">
        <v>524</v>
      </c>
      <c r="D55" s="5" t="s">
        <v>120</v>
      </c>
      <c r="E55" s="7" t="s">
        <v>0</v>
      </c>
      <c r="F55" s="5"/>
      <c r="G55" s="23"/>
      <c r="H55" s="10">
        <v>389</v>
      </c>
      <c r="I55" s="10">
        <v>383</v>
      </c>
      <c r="J55" s="10">
        <v>763</v>
      </c>
      <c r="K55" s="10">
        <v>898</v>
      </c>
      <c r="L55" s="10">
        <v>779</v>
      </c>
      <c r="M55" s="10">
        <v>215</v>
      </c>
      <c r="N55" s="9" cm="1">
        <f t="array" ref="N55">SUM((H55:L55)/5)</f>
        <v>642.40000000000009</v>
      </c>
      <c r="O55" s="10">
        <v>780</v>
      </c>
      <c r="P55" s="23"/>
      <c r="Q55" s="4">
        <v>75.238</v>
      </c>
      <c r="R55" s="4">
        <v>135.40899999999999</v>
      </c>
      <c r="S55" s="4">
        <v>0.441</v>
      </c>
      <c r="T55" s="4">
        <v>0.441</v>
      </c>
      <c r="U55" s="30">
        <f t="shared" si="8"/>
        <v>312</v>
      </c>
      <c r="V55" s="30">
        <f t="shared" si="9"/>
        <v>468</v>
      </c>
      <c r="W55" s="23"/>
      <c r="X55" s="30" t="s">
        <v>151</v>
      </c>
      <c r="Y55" s="30" t="s">
        <v>152</v>
      </c>
      <c r="Z55" s="53">
        <f>SUM(27.31694+24.88929+25.20888)/3</f>
        <v>25.805036666666666</v>
      </c>
      <c r="AA55" s="54">
        <f t="shared" si="3"/>
        <v>42.578310500000001</v>
      </c>
      <c r="AB55" s="23"/>
      <c r="AC55" s="4">
        <v>365</v>
      </c>
      <c r="AD55" s="32">
        <f t="shared" si="4"/>
        <v>247.79849999999999</v>
      </c>
      <c r="AE55" s="32">
        <f t="shared" si="5"/>
        <v>271.08879999999999</v>
      </c>
      <c r="AF55" s="32">
        <f t="shared" si="6"/>
        <v>80.510000000000005</v>
      </c>
      <c r="AG55" s="32">
        <f t="shared" si="6"/>
        <v>199.27</v>
      </c>
      <c r="AH55" s="78"/>
      <c r="AI55" s="78"/>
      <c r="AJ55" s="55">
        <f t="shared" si="7"/>
        <v>798.66729999999995</v>
      </c>
      <c r="AK55" s="32"/>
      <c r="AL55" s="33"/>
      <c r="AM55" s="23"/>
    </row>
    <row r="56" spans="1:39" ht="15.6" x14ac:dyDescent="0.3">
      <c r="A56" s="64"/>
      <c r="B56" s="64"/>
      <c r="C56" s="5" t="s">
        <v>525</v>
      </c>
      <c r="D56" s="5" t="s">
        <v>120</v>
      </c>
      <c r="E56" s="7" t="s">
        <v>0</v>
      </c>
      <c r="F56" s="5"/>
      <c r="G56" s="23"/>
      <c r="H56" s="10">
        <v>1455</v>
      </c>
      <c r="I56" s="10">
        <v>1146</v>
      </c>
      <c r="J56" s="10">
        <v>1015</v>
      </c>
      <c r="K56" s="10">
        <v>1100</v>
      </c>
      <c r="L56" s="10">
        <v>1132</v>
      </c>
      <c r="M56" s="10">
        <v>463</v>
      </c>
      <c r="N56" s="9" cm="1">
        <f t="array" ref="N56">SUM((H56:L56)/5)</f>
        <v>1169.6000000000001</v>
      </c>
      <c r="O56" s="10">
        <v>1100</v>
      </c>
      <c r="P56" s="23"/>
      <c r="Q56" s="4">
        <v>49.828000000000003</v>
      </c>
      <c r="R56" s="4">
        <v>63.256999999999998</v>
      </c>
      <c r="S56" s="4">
        <v>0.441</v>
      </c>
      <c r="T56" s="4">
        <v>0.441</v>
      </c>
      <c r="U56" s="30">
        <f t="shared" si="8"/>
        <v>440</v>
      </c>
      <c r="V56" s="30">
        <f t="shared" si="9"/>
        <v>660</v>
      </c>
      <c r="W56" s="23"/>
      <c r="X56" s="30">
        <v>15.061999999999999</v>
      </c>
      <c r="Y56" s="30">
        <v>26.506730000000001</v>
      </c>
      <c r="Z56" s="53">
        <v>26.506730000000001</v>
      </c>
      <c r="AA56" s="54">
        <f t="shared" si="3"/>
        <v>43.736104500000003</v>
      </c>
      <c r="AB56" s="23"/>
      <c r="AC56" s="4">
        <v>365</v>
      </c>
      <c r="AD56" s="32">
        <f t="shared" si="4"/>
        <v>115.7603</v>
      </c>
      <c r="AE56" s="32">
        <f t="shared" si="5"/>
        <v>126.64049999999999</v>
      </c>
      <c r="AF56" s="32">
        <f t="shared" si="6"/>
        <v>116.63</v>
      </c>
      <c r="AG56" s="32">
        <f t="shared" si="6"/>
        <v>288.66000000000003</v>
      </c>
      <c r="AH56" s="78"/>
      <c r="AI56" s="78"/>
      <c r="AJ56" s="55">
        <f t="shared" si="7"/>
        <v>647.69080000000008</v>
      </c>
      <c r="AK56" s="32"/>
      <c r="AL56" s="33"/>
      <c r="AM56" s="23"/>
    </row>
    <row r="57" spans="1:39" ht="45" x14ac:dyDescent="0.3">
      <c r="A57" s="64"/>
      <c r="B57" s="64"/>
      <c r="C57" s="5" t="s">
        <v>525</v>
      </c>
      <c r="D57" s="5" t="s">
        <v>120</v>
      </c>
      <c r="E57" s="7" t="s">
        <v>0</v>
      </c>
      <c r="F57" s="5"/>
      <c r="G57" s="23"/>
      <c r="H57" s="10">
        <v>1512</v>
      </c>
      <c r="I57" s="10">
        <v>1565</v>
      </c>
      <c r="J57" s="10">
        <v>1317</v>
      </c>
      <c r="K57" s="10">
        <v>624</v>
      </c>
      <c r="L57" s="10">
        <v>990</v>
      </c>
      <c r="M57" s="10">
        <v>4</v>
      </c>
      <c r="N57" s="9" cm="1">
        <f t="array" ref="N57">SUM((H57:L57)/5)</f>
        <v>1201.5999999999999</v>
      </c>
      <c r="O57" s="10">
        <v>1200</v>
      </c>
      <c r="P57" s="23"/>
      <c r="Q57" s="4">
        <v>50.334000000000003</v>
      </c>
      <c r="R57" s="4">
        <v>63.256999999999998</v>
      </c>
      <c r="S57" s="4">
        <v>0.441</v>
      </c>
      <c r="T57" s="4">
        <v>0.441</v>
      </c>
      <c r="U57" s="30">
        <f t="shared" si="8"/>
        <v>480</v>
      </c>
      <c r="V57" s="30">
        <f t="shared" si="9"/>
        <v>720</v>
      </c>
      <c r="W57" s="23"/>
      <c r="X57" s="30" t="s">
        <v>153</v>
      </c>
      <c r="Y57" s="30" t="s">
        <v>154</v>
      </c>
      <c r="Z57" s="53">
        <f>SUM(27.40433+24.97352+25.29345)/3</f>
        <v>25.890433333333334</v>
      </c>
      <c r="AA57" s="54">
        <f t="shared" si="3"/>
        <v>42.719215000000005</v>
      </c>
      <c r="AB57" s="23"/>
      <c r="AC57" s="4">
        <v>365</v>
      </c>
      <c r="AD57" s="32">
        <f t="shared" si="4"/>
        <v>115.7603</v>
      </c>
      <c r="AE57" s="32">
        <f t="shared" si="5"/>
        <v>126.64049999999999</v>
      </c>
      <c r="AF57" s="32">
        <f t="shared" si="6"/>
        <v>124.27</v>
      </c>
      <c r="AG57" s="32">
        <f t="shared" si="6"/>
        <v>307.58</v>
      </c>
      <c r="AH57" s="78"/>
      <c r="AI57" s="78"/>
      <c r="AJ57" s="55">
        <f t="shared" si="7"/>
        <v>674.25080000000003</v>
      </c>
      <c r="AK57" s="32"/>
      <c r="AL57" s="33"/>
      <c r="AM57" s="23"/>
    </row>
    <row r="58" spans="1:39" ht="45" x14ac:dyDescent="0.3">
      <c r="A58" s="64"/>
      <c r="B58" s="64"/>
      <c r="C58" s="5" t="s">
        <v>525</v>
      </c>
      <c r="D58" s="5" t="s">
        <v>120</v>
      </c>
      <c r="E58" s="7" t="s">
        <v>0</v>
      </c>
      <c r="F58" s="5"/>
      <c r="G58" s="23"/>
      <c r="H58" s="10">
        <v>2735</v>
      </c>
      <c r="I58" s="10">
        <v>2594</v>
      </c>
      <c r="J58" s="10">
        <v>2622</v>
      </c>
      <c r="K58" s="10">
        <v>2469</v>
      </c>
      <c r="L58" s="10">
        <v>2391</v>
      </c>
      <c r="M58" s="10">
        <v>1136</v>
      </c>
      <c r="N58" s="9" cm="1">
        <f t="array" ref="N58">SUM((H58:L58)/5)</f>
        <v>2562.1999999999998</v>
      </c>
      <c r="O58" s="10">
        <v>2550</v>
      </c>
      <c r="P58" s="23"/>
      <c r="Q58" s="4">
        <v>50.33</v>
      </c>
      <c r="R58" s="4">
        <v>63.256999999999998</v>
      </c>
      <c r="S58" s="4">
        <v>0.441</v>
      </c>
      <c r="T58" s="4">
        <v>0.441</v>
      </c>
      <c r="U58" s="30">
        <f t="shared" si="8"/>
        <v>1020</v>
      </c>
      <c r="V58" s="30">
        <f t="shared" si="9"/>
        <v>1530</v>
      </c>
      <c r="W58" s="23"/>
      <c r="X58" s="30" t="s">
        <v>153</v>
      </c>
      <c r="Y58" s="30" t="s">
        <v>155</v>
      </c>
      <c r="Z58" s="53">
        <f>SUM(27.48165+25.05208+25.37169)/3</f>
        <v>25.968473333333332</v>
      </c>
      <c r="AA58" s="54">
        <f t="shared" si="3"/>
        <v>42.847980999999997</v>
      </c>
      <c r="AB58" s="23"/>
      <c r="AC58" s="4">
        <v>365</v>
      </c>
      <c r="AD58" s="32">
        <f t="shared" si="4"/>
        <v>115.7603</v>
      </c>
      <c r="AE58" s="32">
        <f t="shared" si="5"/>
        <v>126.64049999999999</v>
      </c>
      <c r="AF58" s="32">
        <f t="shared" si="6"/>
        <v>264.88</v>
      </c>
      <c r="AG58" s="32">
        <f t="shared" si="6"/>
        <v>655.57</v>
      </c>
      <c r="AH58" s="78"/>
      <c r="AI58" s="78"/>
      <c r="AJ58" s="55">
        <f t="shared" si="7"/>
        <v>1162.8508000000002</v>
      </c>
      <c r="AK58" s="32"/>
      <c r="AL58" s="33"/>
      <c r="AM58" s="23"/>
    </row>
    <row r="59" spans="1:39" ht="15.6" x14ac:dyDescent="0.3">
      <c r="A59" s="64"/>
      <c r="B59" s="64"/>
      <c r="C59" s="5" t="s">
        <v>492</v>
      </c>
      <c r="D59" s="5" t="s">
        <v>120</v>
      </c>
      <c r="E59" s="7" t="s">
        <v>0</v>
      </c>
      <c r="F59" s="5"/>
      <c r="G59" s="23"/>
      <c r="H59" s="10">
        <v>3992</v>
      </c>
      <c r="I59" s="10">
        <v>3988</v>
      </c>
      <c r="J59" s="10">
        <v>3998</v>
      </c>
      <c r="K59" s="10">
        <v>3987</v>
      </c>
      <c r="L59" s="10">
        <v>3989</v>
      </c>
      <c r="M59" s="10">
        <v>1669</v>
      </c>
      <c r="N59" s="9" cm="1">
        <f t="array" ref="N59">SUM((H59:L59)/5)</f>
        <v>3990.8</v>
      </c>
      <c r="O59" s="10">
        <v>3990</v>
      </c>
      <c r="P59" s="23"/>
      <c r="Q59" s="4">
        <v>49.308</v>
      </c>
      <c r="R59" s="4">
        <v>72.016000000000005</v>
      </c>
      <c r="S59" s="4">
        <v>0.441</v>
      </c>
      <c r="T59" s="4">
        <v>0.441</v>
      </c>
      <c r="U59" s="30">
        <f t="shared" si="8"/>
        <v>1596</v>
      </c>
      <c r="V59" s="30">
        <f t="shared" si="9"/>
        <v>2394</v>
      </c>
      <c r="W59" s="23"/>
      <c r="X59" s="30">
        <v>15.868</v>
      </c>
      <c r="Y59" s="30">
        <v>27.08276</v>
      </c>
      <c r="Z59" s="53">
        <v>27.08276</v>
      </c>
      <c r="AA59" s="54">
        <f t="shared" si="3"/>
        <v>44.686554000000001</v>
      </c>
      <c r="AB59" s="23"/>
      <c r="AC59" s="4">
        <v>365</v>
      </c>
      <c r="AD59" s="32">
        <f t="shared" si="4"/>
        <v>131.7893</v>
      </c>
      <c r="AE59" s="32">
        <f t="shared" si="5"/>
        <v>144.17600000000002</v>
      </c>
      <c r="AF59" s="32">
        <f t="shared" si="6"/>
        <v>432.24</v>
      </c>
      <c r="AG59" s="32">
        <f t="shared" si="6"/>
        <v>1069.8</v>
      </c>
      <c r="AH59" s="78"/>
      <c r="AI59" s="78"/>
      <c r="AJ59" s="55">
        <f t="shared" si="7"/>
        <v>1778.0053</v>
      </c>
      <c r="AK59" s="32"/>
      <c r="AL59" s="33"/>
      <c r="AM59" s="23"/>
    </row>
    <row r="60" spans="1:39" ht="15.6" x14ac:dyDescent="0.3">
      <c r="A60" s="64"/>
      <c r="B60" s="64"/>
      <c r="C60" s="5" t="s">
        <v>565</v>
      </c>
      <c r="D60" s="5" t="s">
        <v>120</v>
      </c>
      <c r="E60" s="7" t="s">
        <v>0</v>
      </c>
      <c r="F60" s="5"/>
      <c r="G60" s="23"/>
      <c r="H60" s="10">
        <v>55</v>
      </c>
      <c r="I60" s="10">
        <v>100</v>
      </c>
      <c r="J60" s="10">
        <v>124</v>
      </c>
      <c r="K60" s="10">
        <v>115</v>
      </c>
      <c r="L60" s="10">
        <v>2237</v>
      </c>
      <c r="M60" s="10">
        <v>1487</v>
      </c>
      <c r="N60" s="9" cm="1">
        <f t="array" ref="N60">SUM((H60:L60)/5)</f>
        <v>526.19999999999993</v>
      </c>
      <c r="O60" s="10">
        <v>1850</v>
      </c>
      <c r="P60" s="23"/>
      <c r="Q60" s="4">
        <v>49.308</v>
      </c>
      <c r="R60" s="4">
        <v>72.016000000000005</v>
      </c>
      <c r="S60" s="4">
        <v>0.441</v>
      </c>
      <c r="T60" s="4">
        <v>0.441</v>
      </c>
      <c r="U60" s="30">
        <f t="shared" si="8"/>
        <v>740</v>
      </c>
      <c r="V60" s="30">
        <f t="shared" si="9"/>
        <v>1110</v>
      </c>
      <c r="W60" s="23"/>
      <c r="X60" s="30">
        <v>15.868</v>
      </c>
      <c r="Y60" s="30">
        <v>27.082789999999999</v>
      </c>
      <c r="Z60" s="53">
        <v>27.082789999999999</v>
      </c>
      <c r="AA60" s="54">
        <f t="shared" si="3"/>
        <v>44.686603500000004</v>
      </c>
      <c r="AB60" s="23"/>
      <c r="AC60" s="4">
        <v>365</v>
      </c>
      <c r="AD60" s="32">
        <f t="shared" si="4"/>
        <v>131.7893</v>
      </c>
      <c r="AE60" s="32">
        <f t="shared" si="5"/>
        <v>144.17600000000002</v>
      </c>
      <c r="AF60" s="32">
        <f t="shared" si="6"/>
        <v>200.41</v>
      </c>
      <c r="AG60" s="32">
        <f t="shared" si="6"/>
        <v>496.02</v>
      </c>
      <c r="AH60" s="78"/>
      <c r="AI60" s="78"/>
      <c r="AJ60" s="55">
        <f t="shared" si="7"/>
        <v>972.39530000000002</v>
      </c>
      <c r="AK60" s="32"/>
      <c r="AL60" s="33"/>
      <c r="AM60" s="23"/>
    </row>
    <row r="61" spans="1:39" ht="15.6" x14ac:dyDescent="0.3">
      <c r="A61" s="64"/>
      <c r="B61" s="64"/>
      <c r="C61" s="5" t="s">
        <v>493</v>
      </c>
      <c r="D61" s="5" t="s">
        <v>120</v>
      </c>
      <c r="E61" s="7" t="s">
        <v>0</v>
      </c>
      <c r="F61" s="5"/>
      <c r="G61" s="23"/>
      <c r="H61" s="10">
        <v>457</v>
      </c>
      <c r="I61" s="10">
        <v>454</v>
      </c>
      <c r="J61" s="10">
        <v>453</v>
      </c>
      <c r="K61" s="10">
        <v>432</v>
      </c>
      <c r="L61" s="10">
        <v>2378</v>
      </c>
      <c r="M61" s="10">
        <v>1487</v>
      </c>
      <c r="N61" s="9" cm="1">
        <f t="array" ref="N61">SUM((H61:L61)/5)</f>
        <v>834.8</v>
      </c>
      <c r="O61" s="10">
        <v>1850</v>
      </c>
      <c r="P61" s="23"/>
      <c r="Q61" s="4">
        <v>49.308</v>
      </c>
      <c r="R61" s="4">
        <v>72.016000000000005</v>
      </c>
      <c r="S61" s="4">
        <v>0.441</v>
      </c>
      <c r="T61" s="4">
        <v>0.441</v>
      </c>
      <c r="U61" s="30">
        <f t="shared" si="8"/>
        <v>740</v>
      </c>
      <c r="V61" s="30">
        <f t="shared" si="9"/>
        <v>1110</v>
      </c>
      <c r="W61" s="23"/>
      <c r="X61" s="30">
        <v>15.868</v>
      </c>
      <c r="Y61" s="30">
        <v>27.082789999999999</v>
      </c>
      <c r="Z61" s="53">
        <v>27.082789999999999</v>
      </c>
      <c r="AA61" s="54">
        <f t="shared" si="3"/>
        <v>44.686603500000004</v>
      </c>
      <c r="AB61" s="23"/>
      <c r="AC61" s="4">
        <v>365</v>
      </c>
      <c r="AD61" s="32">
        <f t="shared" si="4"/>
        <v>131.7893</v>
      </c>
      <c r="AE61" s="32">
        <f t="shared" si="5"/>
        <v>144.17600000000002</v>
      </c>
      <c r="AF61" s="32">
        <f t="shared" si="6"/>
        <v>200.41</v>
      </c>
      <c r="AG61" s="32">
        <f t="shared" si="6"/>
        <v>496.02</v>
      </c>
      <c r="AH61" s="78"/>
      <c r="AI61" s="78"/>
      <c r="AJ61" s="55">
        <f t="shared" si="7"/>
        <v>972.39530000000002</v>
      </c>
      <c r="AK61" s="32"/>
      <c r="AL61" s="33"/>
      <c r="AM61" s="23"/>
    </row>
    <row r="62" spans="1:39" ht="15.6" x14ac:dyDescent="0.3">
      <c r="A62" s="64"/>
      <c r="B62" s="64"/>
      <c r="C62" s="5" t="s">
        <v>565</v>
      </c>
      <c r="D62" s="5" t="s">
        <v>120</v>
      </c>
      <c r="E62" s="7" t="s">
        <v>0</v>
      </c>
      <c r="F62" s="5"/>
      <c r="G62" s="23"/>
      <c r="H62" s="10">
        <v>126</v>
      </c>
      <c r="I62" s="10">
        <v>285</v>
      </c>
      <c r="J62" s="10">
        <v>256</v>
      </c>
      <c r="K62" s="10">
        <v>144</v>
      </c>
      <c r="L62" s="10">
        <v>145</v>
      </c>
      <c r="M62" s="10">
        <v>61</v>
      </c>
      <c r="N62" s="9" cm="1">
        <f t="array" ref="N62">SUM((H62:L62)/5)</f>
        <v>191.20000000000002</v>
      </c>
      <c r="O62" s="10">
        <v>140</v>
      </c>
      <c r="P62" s="23"/>
      <c r="Q62" s="4">
        <v>49.308</v>
      </c>
      <c r="R62" s="4">
        <v>72.016000000000005</v>
      </c>
      <c r="S62" s="4">
        <v>0.441</v>
      </c>
      <c r="T62" s="4">
        <v>0.441</v>
      </c>
      <c r="U62" s="30">
        <f t="shared" si="8"/>
        <v>56</v>
      </c>
      <c r="V62" s="30">
        <f t="shared" si="9"/>
        <v>84</v>
      </c>
      <c r="W62" s="23"/>
      <c r="X62" s="30">
        <v>15.868</v>
      </c>
      <c r="Y62" s="30">
        <v>27.084890000000001</v>
      </c>
      <c r="Z62" s="53">
        <v>27.084890000000001</v>
      </c>
      <c r="AA62" s="54">
        <f t="shared" si="3"/>
        <v>44.690068500000002</v>
      </c>
      <c r="AB62" s="23"/>
      <c r="AC62" s="4">
        <v>365</v>
      </c>
      <c r="AD62" s="32">
        <f t="shared" si="4"/>
        <v>131.7893</v>
      </c>
      <c r="AE62" s="32">
        <f t="shared" si="5"/>
        <v>144.17600000000002</v>
      </c>
      <c r="AF62" s="32">
        <f t="shared" si="6"/>
        <v>15.17</v>
      </c>
      <c r="AG62" s="32">
        <f t="shared" si="6"/>
        <v>37.54</v>
      </c>
      <c r="AH62" s="78"/>
      <c r="AI62" s="78"/>
      <c r="AJ62" s="55">
        <f t="shared" si="7"/>
        <v>328.67530000000005</v>
      </c>
      <c r="AK62" s="32"/>
      <c r="AL62" s="33"/>
      <c r="AM62" s="23"/>
    </row>
    <row r="63" spans="1:39" ht="15.6" x14ac:dyDescent="0.3">
      <c r="A63" s="64"/>
      <c r="B63" s="64"/>
      <c r="C63" s="5" t="s">
        <v>565</v>
      </c>
      <c r="D63" s="5" t="s">
        <v>120</v>
      </c>
      <c r="E63" s="7" t="s">
        <v>0</v>
      </c>
      <c r="F63" s="5"/>
      <c r="G63" s="23"/>
      <c r="H63" s="10">
        <v>196</v>
      </c>
      <c r="I63" s="10">
        <v>170</v>
      </c>
      <c r="J63" s="10">
        <v>170</v>
      </c>
      <c r="K63" s="10">
        <v>160</v>
      </c>
      <c r="L63" s="10">
        <v>133</v>
      </c>
      <c r="M63" s="10">
        <v>73</v>
      </c>
      <c r="N63" s="9" cm="1">
        <f t="array" ref="N63">SUM((H63:L63)/5)</f>
        <v>165.79999999999998</v>
      </c>
      <c r="O63" s="10">
        <v>145</v>
      </c>
      <c r="P63" s="23"/>
      <c r="Q63" s="4">
        <v>49.308</v>
      </c>
      <c r="R63" s="4">
        <v>72.016000000000005</v>
      </c>
      <c r="S63" s="4">
        <v>0.441</v>
      </c>
      <c r="T63" s="4">
        <v>0.441</v>
      </c>
      <c r="U63" s="30">
        <f t="shared" si="8"/>
        <v>58</v>
      </c>
      <c r="V63" s="30">
        <f t="shared" si="9"/>
        <v>87</v>
      </c>
      <c r="W63" s="23"/>
      <c r="X63" s="30">
        <v>15.868</v>
      </c>
      <c r="Y63" s="30">
        <v>27.082380000000001</v>
      </c>
      <c r="Z63" s="53">
        <v>27.082380000000001</v>
      </c>
      <c r="AA63" s="54">
        <f t="shared" si="3"/>
        <v>44.685927000000007</v>
      </c>
      <c r="AB63" s="23"/>
      <c r="AC63" s="4">
        <v>365</v>
      </c>
      <c r="AD63" s="32">
        <f t="shared" si="4"/>
        <v>131.7893</v>
      </c>
      <c r="AE63" s="32">
        <f t="shared" si="5"/>
        <v>144.17600000000002</v>
      </c>
      <c r="AF63" s="32">
        <f t="shared" si="6"/>
        <v>15.71</v>
      </c>
      <c r="AG63" s="32">
        <f t="shared" si="6"/>
        <v>38.880000000000003</v>
      </c>
      <c r="AH63" s="78"/>
      <c r="AI63" s="78"/>
      <c r="AJ63" s="55">
        <f t="shared" si="7"/>
        <v>330.55529999999999</v>
      </c>
      <c r="AK63" s="32"/>
      <c r="AL63" s="33"/>
      <c r="AM63" s="23"/>
    </row>
    <row r="64" spans="1:39" ht="45" x14ac:dyDescent="0.3">
      <c r="A64" s="64"/>
      <c r="B64" s="64"/>
      <c r="C64" s="5" t="s">
        <v>443</v>
      </c>
      <c r="D64" s="5" t="s">
        <v>120</v>
      </c>
      <c r="E64" s="7" t="s">
        <v>0</v>
      </c>
      <c r="F64" s="5"/>
      <c r="G64" s="23"/>
      <c r="H64" s="10">
        <v>1880</v>
      </c>
      <c r="I64" s="10">
        <v>2214</v>
      </c>
      <c r="J64" s="10">
        <v>1543</v>
      </c>
      <c r="K64" s="10">
        <v>1486</v>
      </c>
      <c r="L64" s="10">
        <v>1205</v>
      </c>
      <c r="M64" s="10">
        <v>489</v>
      </c>
      <c r="N64" s="9" cm="1">
        <f t="array" ref="N64">SUM((H64:L64)/5)</f>
        <v>1665.6000000000001</v>
      </c>
      <c r="O64" s="10">
        <v>1600</v>
      </c>
      <c r="P64" s="23"/>
      <c r="Q64" s="4">
        <v>50.334000000000003</v>
      </c>
      <c r="R64" s="4">
        <v>63.256999999999998</v>
      </c>
      <c r="S64" s="4">
        <v>0.441</v>
      </c>
      <c r="T64" s="4">
        <v>0.441</v>
      </c>
      <c r="U64" s="30">
        <f t="shared" si="8"/>
        <v>640</v>
      </c>
      <c r="V64" s="30">
        <f t="shared" si="9"/>
        <v>960</v>
      </c>
      <c r="W64" s="23"/>
      <c r="X64" s="30" t="s">
        <v>141</v>
      </c>
      <c r="Y64" s="30" t="s">
        <v>156</v>
      </c>
      <c r="Z64" s="53">
        <f>SUM(27.40875+24.9778+25.35245)/3</f>
        <v>25.913</v>
      </c>
      <c r="AA64" s="54">
        <f t="shared" si="3"/>
        <v>42.756450000000001</v>
      </c>
      <c r="AB64" s="23"/>
      <c r="AC64" s="4">
        <v>365</v>
      </c>
      <c r="AD64" s="32">
        <f t="shared" si="4"/>
        <v>115.7603</v>
      </c>
      <c r="AE64" s="32">
        <f t="shared" si="5"/>
        <v>126.64049999999999</v>
      </c>
      <c r="AF64" s="32">
        <f t="shared" si="6"/>
        <v>165.84</v>
      </c>
      <c r="AG64" s="32">
        <f t="shared" si="6"/>
        <v>410.46</v>
      </c>
      <c r="AH64" s="78"/>
      <c r="AI64" s="78"/>
      <c r="AJ64" s="55">
        <f t="shared" si="7"/>
        <v>818.70080000000007</v>
      </c>
      <c r="AK64" s="32"/>
      <c r="AL64" s="33"/>
      <c r="AM64" s="23"/>
    </row>
    <row r="65" spans="1:39" ht="15.6" x14ac:dyDescent="0.3">
      <c r="A65" s="64"/>
      <c r="B65" s="64"/>
      <c r="C65" s="5" t="s">
        <v>566</v>
      </c>
      <c r="D65" s="5" t="s">
        <v>120</v>
      </c>
      <c r="E65" s="7" t="s">
        <v>0</v>
      </c>
      <c r="F65" s="5"/>
      <c r="G65" s="23"/>
      <c r="H65" s="10">
        <v>404</v>
      </c>
      <c r="I65" s="10">
        <v>537</v>
      </c>
      <c r="J65" s="10">
        <v>356</v>
      </c>
      <c r="K65" s="10">
        <v>229</v>
      </c>
      <c r="L65" s="10">
        <v>140</v>
      </c>
      <c r="M65" s="10">
        <v>97</v>
      </c>
      <c r="N65" s="9" cm="1">
        <f t="array" ref="N65">SUM((H65:L65)/5)</f>
        <v>333.2</v>
      </c>
      <c r="O65" s="10">
        <v>300</v>
      </c>
      <c r="P65" s="23"/>
      <c r="Q65" s="4">
        <v>49.308</v>
      </c>
      <c r="R65" s="4">
        <v>72.016000000000005</v>
      </c>
      <c r="S65" s="4">
        <v>0.441</v>
      </c>
      <c r="T65" s="4">
        <v>0.441</v>
      </c>
      <c r="U65" s="30">
        <f t="shared" si="8"/>
        <v>120</v>
      </c>
      <c r="V65" s="30">
        <f t="shared" si="9"/>
        <v>180</v>
      </c>
      <c r="W65" s="23"/>
      <c r="X65" s="30">
        <v>15.868</v>
      </c>
      <c r="Y65" s="30">
        <v>27.081289999999999</v>
      </c>
      <c r="Z65" s="53">
        <v>27.081289999999999</v>
      </c>
      <c r="AA65" s="54">
        <f t="shared" si="3"/>
        <v>44.6841285</v>
      </c>
      <c r="AB65" s="23"/>
      <c r="AC65" s="4">
        <v>365</v>
      </c>
      <c r="AD65" s="32">
        <f t="shared" si="4"/>
        <v>131.7893</v>
      </c>
      <c r="AE65" s="32">
        <f t="shared" si="5"/>
        <v>144.17600000000002</v>
      </c>
      <c r="AF65" s="32">
        <f t="shared" si="6"/>
        <v>32.5</v>
      </c>
      <c r="AG65" s="32">
        <f t="shared" si="6"/>
        <v>80.430000000000007</v>
      </c>
      <c r="AH65" s="78"/>
      <c r="AI65" s="78"/>
      <c r="AJ65" s="55">
        <f t="shared" si="7"/>
        <v>388.89530000000002</v>
      </c>
      <c r="AK65" s="32"/>
      <c r="AL65" s="33"/>
      <c r="AM65" s="23"/>
    </row>
    <row r="66" spans="1:39" ht="15.6" x14ac:dyDescent="0.3">
      <c r="A66" s="64"/>
      <c r="B66" s="64"/>
      <c r="C66" s="5" t="s">
        <v>567</v>
      </c>
      <c r="D66" s="5" t="s">
        <v>120</v>
      </c>
      <c r="E66" s="7" t="s">
        <v>0</v>
      </c>
      <c r="F66" s="5"/>
      <c r="G66" s="23"/>
      <c r="H66" s="10">
        <v>217</v>
      </c>
      <c r="I66" s="10">
        <v>161</v>
      </c>
      <c r="J66" s="10">
        <v>100</v>
      </c>
      <c r="K66" s="10">
        <v>56</v>
      </c>
      <c r="L66" s="10">
        <v>117</v>
      </c>
      <c r="M66" s="10">
        <v>52</v>
      </c>
      <c r="N66" s="9" cm="1">
        <f t="array" ref="N66">SUM((H66:L66)/5)</f>
        <v>130.19999999999999</v>
      </c>
      <c r="O66" s="10">
        <v>130</v>
      </c>
      <c r="P66" s="23"/>
      <c r="Q66" s="4">
        <v>49.308</v>
      </c>
      <c r="R66" s="4">
        <v>72.016000000000005</v>
      </c>
      <c r="S66" s="4">
        <v>0.441</v>
      </c>
      <c r="T66" s="4">
        <v>0.441</v>
      </c>
      <c r="U66" s="30">
        <f t="shared" si="8"/>
        <v>52</v>
      </c>
      <c r="V66" s="30">
        <f t="shared" si="9"/>
        <v>78</v>
      </c>
      <c r="W66" s="23"/>
      <c r="X66" s="30">
        <v>15.868</v>
      </c>
      <c r="Y66" s="30">
        <v>27.084230000000002</v>
      </c>
      <c r="Z66" s="53">
        <v>27.084230000000002</v>
      </c>
      <c r="AA66" s="54">
        <f t="shared" si="3"/>
        <v>44.688979500000002</v>
      </c>
      <c r="AB66" s="23"/>
      <c r="AC66" s="4">
        <v>365</v>
      </c>
      <c r="AD66" s="32">
        <f t="shared" si="4"/>
        <v>131.7893</v>
      </c>
      <c r="AE66" s="32">
        <f t="shared" si="5"/>
        <v>144.17600000000002</v>
      </c>
      <c r="AF66" s="32">
        <f t="shared" si="6"/>
        <v>14.08</v>
      </c>
      <c r="AG66" s="32">
        <f t="shared" si="6"/>
        <v>34.86</v>
      </c>
      <c r="AH66" s="78"/>
      <c r="AI66" s="78"/>
      <c r="AJ66" s="55">
        <f t="shared" si="7"/>
        <v>324.90530000000001</v>
      </c>
      <c r="AK66" s="32"/>
      <c r="AL66" s="33"/>
      <c r="AM66" s="23"/>
    </row>
    <row r="67" spans="1:39" ht="45" x14ac:dyDescent="0.3">
      <c r="A67" s="64"/>
      <c r="B67" s="64"/>
      <c r="C67" s="5" t="s">
        <v>444</v>
      </c>
      <c r="D67" s="5" t="s">
        <v>120</v>
      </c>
      <c r="E67" s="7" t="s">
        <v>0</v>
      </c>
      <c r="F67" s="5"/>
      <c r="G67" s="23"/>
      <c r="H67" s="10">
        <v>1292</v>
      </c>
      <c r="I67" s="10">
        <v>1164</v>
      </c>
      <c r="J67" s="10">
        <v>1023</v>
      </c>
      <c r="K67" s="10">
        <v>964</v>
      </c>
      <c r="L67" s="10">
        <v>863</v>
      </c>
      <c r="M67" s="10">
        <v>305</v>
      </c>
      <c r="N67" s="9" cm="1">
        <f t="array" ref="N67">SUM((H67:L67)/5)</f>
        <v>1061.1999999999998</v>
      </c>
      <c r="O67" s="10">
        <v>1060</v>
      </c>
      <c r="P67" s="23"/>
      <c r="Q67" s="4">
        <v>50.334000000000003</v>
      </c>
      <c r="R67" s="4">
        <v>63.256999999999998</v>
      </c>
      <c r="S67" s="4">
        <v>0.441</v>
      </c>
      <c r="T67" s="4">
        <v>0.441</v>
      </c>
      <c r="U67" s="30">
        <f t="shared" si="8"/>
        <v>424</v>
      </c>
      <c r="V67" s="30">
        <f t="shared" si="9"/>
        <v>636</v>
      </c>
      <c r="W67" s="23"/>
      <c r="X67" s="30" t="s">
        <v>141</v>
      </c>
      <c r="Y67" s="30" t="s">
        <v>157</v>
      </c>
      <c r="Z67" s="53">
        <f>SUM(27.33331+24.90246+25.27685)/3</f>
        <v>25.837540000000001</v>
      </c>
      <c r="AA67" s="54">
        <f t="shared" si="3"/>
        <v>42.631940999999998</v>
      </c>
      <c r="AB67" s="23"/>
      <c r="AC67" s="4">
        <v>365</v>
      </c>
      <c r="AD67" s="32">
        <f t="shared" si="4"/>
        <v>115.7603</v>
      </c>
      <c r="AE67" s="32">
        <f t="shared" si="5"/>
        <v>126.64049999999999</v>
      </c>
      <c r="AF67" s="32">
        <f t="shared" si="6"/>
        <v>109.55</v>
      </c>
      <c r="AG67" s="32">
        <f t="shared" si="6"/>
        <v>271.14</v>
      </c>
      <c r="AH67" s="78"/>
      <c r="AI67" s="78"/>
      <c r="AJ67" s="55">
        <f t="shared" si="7"/>
        <v>623.09079999999994</v>
      </c>
      <c r="AK67" s="32"/>
      <c r="AL67" s="33"/>
      <c r="AM67" s="23"/>
    </row>
    <row r="68" spans="1:39" ht="15.6" x14ac:dyDescent="0.3">
      <c r="A68" s="64"/>
      <c r="B68" s="64"/>
      <c r="C68" s="5" t="s">
        <v>568</v>
      </c>
      <c r="D68" s="5" t="s">
        <v>120</v>
      </c>
      <c r="E68" s="7" t="s">
        <v>0</v>
      </c>
      <c r="F68" s="5"/>
      <c r="G68" s="23"/>
      <c r="H68" s="10">
        <v>1043</v>
      </c>
      <c r="I68" s="10">
        <v>606</v>
      </c>
      <c r="J68" s="10">
        <v>451</v>
      </c>
      <c r="K68" s="10">
        <v>413</v>
      </c>
      <c r="L68" s="10">
        <v>432</v>
      </c>
      <c r="M68" s="10">
        <v>195</v>
      </c>
      <c r="N68" s="9" cm="1">
        <f t="array" ref="N68">SUM((H68:L68)/5)</f>
        <v>589</v>
      </c>
      <c r="O68" s="10">
        <v>590</v>
      </c>
      <c r="P68" s="23"/>
      <c r="Q68" s="4">
        <v>49.308</v>
      </c>
      <c r="R68" s="4">
        <v>72.016000000000005</v>
      </c>
      <c r="S68" s="4">
        <v>0.441</v>
      </c>
      <c r="T68" s="4">
        <v>0.441</v>
      </c>
      <c r="U68" s="30">
        <f t="shared" si="8"/>
        <v>236</v>
      </c>
      <c r="V68" s="30">
        <f t="shared" si="9"/>
        <v>354</v>
      </c>
      <c r="W68" s="23"/>
      <c r="X68" s="30">
        <v>15.868</v>
      </c>
      <c r="Y68" s="30">
        <v>27.083400000000001</v>
      </c>
      <c r="Z68" s="53">
        <v>27.083400000000001</v>
      </c>
      <c r="AA68" s="54">
        <f t="shared" si="3"/>
        <v>44.687610000000006</v>
      </c>
      <c r="AB68" s="23"/>
      <c r="AC68" s="4">
        <v>365</v>
      </c>
      <c r="AD68" s="32">
        <f t="shared" si="4"/>
        <v>131.7893</v>
      </c>
      <c r="AE68" s="32">
        <f t="shared" si="5"/>
        <v>144.17600000000002</v>
      </c>
      <c r="AF68" s="32">
        <f t="shared" si="6"/>
        <v>63.92</v>
      </c>
      <c r="AG68" s="32">
        <f t="shared" si="6"/>
        <v>158.19</v>
      </c>
      <c r="AH68" s="78"/>
      <c r="AI68" s="78"/>
      <c r="AJ68" s="55">
        <f t="shared" si="7"/>
        <v>498.07530000000003</v>
      </c>
      <c r="AK68" s="32"/>
      <c r="AL68" s="33"/>
      <c r="AM68" s="23"/>
    </row>
    <row r="69" spans="1:39" ht="15.6" x14ac:dyDescent="0.3">
      <c r="A69" s="64"/>
      <c r="B69" s="64"/>
      <c r="C69" s="5" t="s">
        <v>569</v>
      </c>
      <c r="D69" s="5" t="s">
        <v>120</v>
      </c>
      <c r="E69" s="7" t="s">
        <v>0</v>
      </c>
      <c r="F69" s="5"/>
      <c r="G69" s="23"/>
      <c r="H69" s="10">
        <v>340</v>
      </c>
      <c r="I69" s="10">
        <v>634</v>
      </c>
      <c r="J69" s="10">
        <v>454</v>
      </c>
      <c r="K69" s="10">
        <v>442</v>
      </c>
      <c r="L69" s="10">
        <v>481</v>
      </c>
      <c r="M69" s="10">
        <v>19</v>
      </c>
      <c r="N69" s="9" cm="1">
        <f t="array" ref="N69">SUM((H69:L69)/5)</f>
        <v>470.2</v>
      </c>
      <c r="O69" s="10">
        <v>470</v>
      </c>
      <c r="P69" s="23"/>
      <c r="Q69" s="4">
        <v>49.308</v>
      </c>
      <c r="R69" s="4">
        <v>72.016000000000005</v>
      </c>
      <c r="S69" s="4">
        <v>0.441</v>
      </c>
      <c r="T69" s="4">
        <v>0.441</v>
      </c>
      <c r="U69" s="30">
        <f t="shared" si="8"/>
        <v>188</v>
      </c>
      <c r="V69" s="30">
        <f t="shared" si="9"/>
        <v>282</v>
      </c>
      <c r="W69" s="23"/>
      <c r="X69" s="30">
        <v>15.868</v>
      </c>
      <c r="Y69" s="30">
        <v>27.082139999999999</v>
      </c>
      <c r="Z69" s="53">
        <v>27.082139999999999</v>
      </c>
      <c r="AA69" s="54">
        <f t="shared" si="3"/>
        <v>44.685530999999997</v>
      </c>
      <c r="AB69" s="23"/>
      <c r="AC69" s="4">
        <v>365</v>
      </c>
      <c r="AD69" s="32">
        <f t="shared" si="4"/>
        <v>131.7893</v>
      </c>
      <c r="AE69" s="32">
        <f t="shared" si="5"/>
        <v>144.17600000000002</v>
      </c>
      <c r="AF69" s="32">
        <f t="shared" si="6"/>
        <v>50.91</v>
      </c>
      <c r="AG69" s="32">
        <f t="shared" si="6"/>
        <v>126.01</v>
      </c>
      <c r="AH69" s="78"/>
      <c r="AI69" s="78"/>
      <c r="AJ69" s="55">
        <f t="shared" si="7"/>
        <v>452.88530000000003</v>
      </c>
      <c r="AK69" s="32"/>
      <c r="AL69" s="33"/>
      <c r="AM69" s="23"/>
    </row>
    <row r="70" spans="1:39" ht="15.6" x14ac:dyDescent="0.3">
      <c r="A70" s="64"/>
      <c r="B70" s="64"/>
      <c r="C70" s="5" t="s">
        <v>569</v>
      </c>
      <c r="D70" s="5" t="s">
        <v>120</v>
      </c>
      <c r="E70" s="7" t="s">
        <v>0</v>
      </c>
      <c r="F70" s="5"/>
      <c r="G70" s="23"/>
      <c r="H70" s="10">
        <v>805</v>
      </c>
      <c r="I70" s="10">
        <v>746</v>
      </c>
      <c r="J70" s="10">
        <v>756</v>
      </c>
      <c r="K70" s="10">
        <v>753</v>
      </c>
      <c r="L70" s="10">
        <v>732</v>
      </c>
      <c r="M70" s="10">
        <v>302</v>
      </c>
      <c r="N70" s="9" cm="1">
        <f t="array" ref="N70">SUM((H70:L70)/5)</f>
        <v>758.4</v>
      </c>
      <c r="O70" s="10">
        <v>760</v>
      </c>
      <c r="P70" s="23"/>
      <c r="Q70" s="4">
        <v>49.308</v>
      </c>
      <c r="R70" s="4">
        <v>72.016000000000005</v>
      </c>
      <c r="S70" s="4">
        <v>0.441</v>
      </c>
      <c r="T70" s="4">
        <v>0.441</v>
      </c>
      <c r="U70" s="30">
        <f t="shared" si="8"/>
        <v>304</v>
      </c>
      <c r="V70" s="30">
        <f t="shared" si="9"/>
        <v>456</v>
      </c>
      <c r="W70" s="23"/>
      <c r="X70" s="30">
        <v>15.868</v>
      </c>
      <c r="Y70" s="30">
        <v>27.083369999999999</v>
      </c>
      <c r="Z70" s="53">
        <v>27.083369999999999</v>
      </c>
      <c r="AA70" s="54">
        <f t="shared" si="3"/>
        <v>44.687560500000004</v>
      </c>
      <c r="AB70" s="23"/>
      <c r="AC70" s="4">
        <v>365</v>
      </c>
      <c r="AD70" s="32">
        <f t="shared" si="4"/>
        <v>131.7893</v>
      </c>
      <c r="AE70" s="32">
        <f t="shared" si="5"/>
        <v>144.17600000000002</v>
      </c>
      <c r="AF70" s="32">
        <f t="shared" si="6"/>
        <v>82.33</v>
      </c>
      <c r="AG70" s="32">
        <f t="shared" si="6"/>
        <v>203.78</v>
      </c>
      <c r="AH70" s="78"/>
      <c r="AI70" s="78"/>
      <c r="AJ70" s="55">
        <f t="shared" si="7"/>
        <v>562.07529999999997</v>
      </c>
      <c r="AK70" s="32"/>
      <c r="AL70" s="33"/>
      <c r="AM70" s="23"/>
    </row>
    <row r="71" spans="1:39" ht="15.6" x14ac:dyDescent="0.3">
      <c r="A71" s="64"/>
      <c r="B71" s="64"/>
      <c r="C71" s="5" t="s">
        <v>569</v>
      </c>
      <c r="D71" s="5" t="s">
        <v>120</v>
      </c>
      <c r="E71" s="7" t="s">
        <v>0</v>
      </c>
      <c r="F71" s="5"/>
      <c r="G71" s="23"/>
      <c r="H71" s="10">
        <v>396</v>
      </c>
      <c r="I71" s="10">
        <v>453</v>
      </c>
      <c r="J71" s="10">
        <v>464</v>
      </c>
      <c r="K71" s="10">
        <v>340</v>
      </c>
      <c r="L71" s="10">
        <v>361</v>
      </c>
      <c r="M71" s="10">
        <v>273</v>
      </c>
      <c r="N71" s="9" cm="1">
        <f t="array" ref="N71">SUM((H71:L71)/5)</f>
        <v>402.8</v>
      </c>
      <c r="O71" s="10">
        <v>400</v>
      </c>
      <c r="P71" s="23"/>
      <c r="Q71" s="4">
        <v>49.308</v>
      </c>
      <c r="R71" s="4">
        <v>72.016000000000005</v>
      </c>
      <c r="S71" s="4">
        <v>0.441</v>
      </c>
      <c r="T71" s="4">
        <v>0.441</v>
      </c>
      <c r="U71" s="30">
        <f t="shared" si="8"/>
        <v>160</v>
      </c>
      <c r="V71" s="30">
        <f t="shared" si="9"/>
        <v>240</v>
      </c>
      <c r="W71" s="23"/>
      <c r="X71" s="30">
        <v>15.868</v>
      </c>
      <c r="Y71" s="30">
        <v>27.081980000000001</v>
      </c>
      <c r="Z71" s="53">
        <v>27.081980000000001</v>
      </c>
      <c r="AA71" s="54">
        <f t="shared" si="3"/>
        <v>44.685267000000003</v>
      </c>
      <c r="AB71" s="23"/>
      <c r="AC71" s="4">
        <v>365</v>
      </c>
      <c r="AD71" s="32">
        <f t="shared" si="4"/>
        <v>131.7893</v>
      </c>
      <c r="AE71" s="32">
        <f t="shared" si="5"/>
        <v>144.17600000000002</v>
      </c>
      <c r="AF71" s="32">
        <f t="shared" si="6"/>
        <v>43.33</v>
      </c>
      <c r="AG71" s="32">
        <f t="shared" si="6"/>
        <v>107.24</v>
      </c>
      <c r="AH71" s="78"/>
      <c r="AI71" s="78"/>
      <c r="AJ71" s="55">
        <f t="shared" si="7"/>
        <v>426.53530000000001</v>
      </c>
      <c r="AK71" s="32"/>
      <c r="AL71" s="33"/>
      <c r="AM71" s="23"/>
    </row>
    <row r="72" spans="1:39" ht="15.6" x14ac:dyDescent="0.3">
      <c r="A72" s="64"/>
      <c r="B72" s="64"/>
      <c r="C72" s="5" t="s">
        <v>569</v>
      </c>
      <c r="D72" s="5" t="s">
        <v>120</v>
      </c>
      <c r="E72" s="7" t="s">
        <v>0</v>
      </c>
      <c r="F72" s="5"/>
      <c r="G72" s="23"/>
      <c r="H72" s="10">
        <v>1095</v>
      </c>
      <c r="I72" s="10">
        <v>1064</v>
      </c>
      <c r="J72" s="10">
        <v>964</v>
      </c>
      <c r="K72" s="10">
        <v>1012</v>
      </c>
      <c r="L72" s="10">
        <v>1069</v>
      </c>
      <c r="M72" s="10">
        <v>432</v>
      </c>
      <c r="N72" s="9" cm="1">
        <f t="array" ref="N72">SUM((H72:L72)/5)</f>
        <v>1040.8</v>
      </c>
      <c r="O72" s="10">
        <v>1050</v>
      </c>
      <c r="P72" s="23"/>
      <c r="Q72" s="4">
        <v>49.308</v>
      </c>
      <c r="R72" s="4">
        <v>72.016000000000005</v>
      </c>
      <c r="S72" s="4">
        <v>0.441</v>
      </c>
      <c r="T72" s="4">
        <v>0.441</v>
      </c>
      <c r="U72" s="30">
        <f t="shared" si="8"/>
        <v>420</v>
      </c>
      <c r="V72" s="30">
        <f t="shared" si="9"/>
        <v>630</v>
      </c>
      <c r="W72" s="23"/>
      <c r="X72" s="30">
        <v>15.868</v>
      </c>
      <c r="Y72" s="30">
        <v>27.082979999999999</v>
      </c>
      <c r="Z72" s="53">
        <v>27.082979999999999</v>
      </c>
      <c r="AA72" s="54">
        <f t="shared" si="3"/>
        <v>44.686916999999994</v>
      </c>
      <c r="AB72" s="23"/>
      <c r="AC72" s="4">
        <v>365</v>
      </c>
      <c r="AD72" s="32">
        <f t="shared" si="4"/>
        <v>131.7893</v>
      </c>
      <c r="AE72" s="32">
        <f t="shared" si="5"/>
        <v>144.17600000000002</v>
      </c>
      <c r="AF72" s="32">
        <f t="shared" si="6"/>
        <v>113.75</v>
      </c>
      <c r="AG72" s="32">
        <f t="shared" si="6"/>
        <v>281.52999999999997</v>
      </c>
      <c r="AH72" s="78"/>
      <c r="AI72" s="78"/>
      <c r="AJ72" s="55">
        <f t="shared" si="7"/>
        <v>671.24530000000004</v>
      </c>
      <c r="AK72" s="32"/>
      <c r="AL72" s="33"/>
      <c r="AM72" s="23"/>
    </row>
    <row r="73" spans="1:39" ht="30" x14ac:dyDescent="0.3">
      <c r="A73" s="64"/>
      <c r="B73" s="64"/>
      <c r="C73" s="5" t="s">
        <v>574</v>
      </c>
      <c r="D73" s="5" t="s">
        <v>120</v>
      </c>
      <c r="E73" s="7" t="s">
        <v>0</v>
      </c>
      <c r="F73" s="5"/>
      <c r="G73" s="23"/>
      <c r="H73" s="10">
        <v>1041</v>
      </c>
      <c r="I73" s="10">
        <v>587</v>
      </c>
      <c r="J73" s="10">
        <v>613</v>
      </c>
      <c r="K73" s="10">
        <v>462</v>
      </c>
      <c r="L73" s="10">
        <v>443</v>
      </c>
      <c r="M73" s="10">
        <v>217</v>
      </c>
      <c r="N73" s="9" cm="1">
        <f t="array" ref="N73">SUM((H73:L73)/5)</f>
        <v>629.20000000000005</v>
      </c>
      <c r="O73" s="10">
        <v>620</v>
      </c>
      <c r="P73" s="23"/>
      <c r="Q73" s="4">
        <v>50.334000000000003</v>
      </c>
      <c r="R73" s="4">
        <v>63.256999999999998</v>
      </c>
      <c r="S73" s="4">
        <v>0.441</v>
      </c>
      <c r="T73" s="4">
        <v>0.441</v>
      </c>
      <c r="U73" s="30">
        <f t="shared" ref="U73:U136" si="10">IF(E73="Gas",O73*R68,O73*$R$4)</f>
        <v>248</v>
      </c>
      <c r="V73" s="30">
        <f t="shared" ref="V73:V136" si="11">IF(E73="Gas",O73*T68,O73*$T$4)</f>
        <v>372</v>
      </c>
      <c r="W73" s="23"/>
      <c r="X73" s="30" t="s">
        <v>158</v>
      </c>
      <c r="Y73" s="30" t="s">
        <v>159</v>
      </c>
      <c r="Z73" s="53">
        <f>SUM(26.73014+25.09986)/2</f>
        <v>25.914999999999999</v>
      </c>
      <c r="AA73" s="54">
        <f t="shared" ref="AA73:AA136" si="12">SUM(Z73+Z73*$AA$4)</f>
        <v>42.759749999999997</v>
      </c>
      <c r="AB73" s="23"/>
      <c r="AC73" s="4">
        <v>365</v>
      </c>
      <c r="AD73" s="32">
        <f t="shared" ref="AD73:AD136" si="13">ROUND(R73*183,2)/100</f>
        <v>115.7603</v>
      </c>
      <c r="AE73" s="32">
        <f t="shared" ref="AE73:AE136" si="14">ROUND((R73+R73*$AE$4)*(365-183),2)/100</f>
        <v>126.64049999999999</v>
      </c>
      <c r="AF73" s="32">
        <f t="shared" ref="AF73:AG136" si="15">ROUND((U73*Z73)/100,2)</f>
        <v>64.27</v>
      </c>
      <c r="AG73" s="32">
        <f t="shared" si="15"/>
        <v>159.07</v>
      </c>
      <c r="AH73" s="78"/>
      <c r="AI73" s="78"/>
      <c r="AJ73" s="55">
        <f t="shared" ref="AJ73:AJ136" si="16">SUM(AD73:AG73)</f>
        <v>465.74079999999998</v>
      </c>
      <c r="AK73" s="32"/>
      <c r="AL73" s="33"/>
      <c r="AM73" s="23"/>
    </row>
    <row r="74" spans="1:39" ht="30" x14ac:dyDescent="0.3">
      <c r="A74" s="64"/>
      <c r="B74" s="64"/>
      <c r="C74" s="5" t="s">
        <v>574</v>
      </c>
      <c r="D74" s="5" t="s">
        <v>120</v>
      </c>
      <c r="E74" s="7" t="s">
        <v>0</v>
      </c>
      <c r="F74" s="5"/>
      <c r="G74" s="23"/>
      <c r="H74" s="10">
        <v>35</v>
      </c>
      <c r="I74" s="10">
        <v>117</v>
      </c>
      <c r="J74" s="10">
        <v>46</v>
      </c>
      <c r="K74" s="10">
        <v>388</v>
      </c>
      <c r="L74" s="10">
        <v>693</v>
      </c>
      <c r="M74" s="10">
        <v>441</v>
      </c>
      <c r="N74" s="9" cm="1">
        <f t="array" ref="N74">SUM((H74:L74)/5)</f>
        <v>255.79999999999998</v>
      </c>
      <c r="O74" s="10">
        <v>500</v>
      </c>
      <c r="P74" s="23"/>
      <c r="Q74" s="4">
        <v>50.334000000000003</v>
      </c>
      <c r="R74" s="4">
        <v>63.256999999999998</v>
      </c>
      <c r="S74" s="4">
        <v>0.441</v>
      </c>
      <c r="T74" s="4">
        <v>0.441</v>
      </c>
      <c r="U74" s="30">
        <f t="shared" si="10"/>
        <v>200</v>
      </c>
      <c r="V74" s="30">
        <f t="shared" si="11"/>
        <v>300</v>
      </c>
      <c r="W74" s="23"/>
      <c r="X74" s="30" t="s">
        <v>158</v>
      </c>
      <c r="Y74" s="30" t="s">
        <v>160</v>
      </c>
      <c r="Z74" s="53">
        <f>SUM(26.85771+25.18882)/2</f>
        <v>26.023265000000002</v>
      </c>
      <c r="AA74" s="54">
        <f t="shared" si="12"/>
        <v>42.938387250000005</v>
      </c>
      <c r="AB74" s="23"/>
      <c r="AC74" s="4">
        <v>365</v>
      </c>
      <c r="AD74" s="32">
        <f t="shared" si="13"/>
        <v>115.7603</v>
      </c>
      <c r="AE74" s="32">
        <f t="shared" si="14"/>
        <v>126.64049999999999</v>
      </c>
      <c r="AF74" s="32">
        <f t="shared" si="15"/>
        <v>52.05</v>
      </c>
      <c r="AG74" s="32">
        <f t="shared" si="15"/>
        <v>128.82</v>
      </c>
      <c r="AH74" s="78"/>
      <c r="AI74" s="78"/>
      <c r="AJ74" s="55">
        <f t="shared" si="16"/>
        <v>423.27080000000001</v>
      </c>
      <c r="AK74" s="32"/>
      <c r="AL74" s="33"/>
      <c r="AM74" s="23"/>
    </row>
    <row r="75" spans="1:39" ht="15.6" x14ac:dyDescent="0.3">
      <c r="A75" s="64"/>
      <c r="B75" s="64"/>
      <c r="C75" s="5" t="s">
        <v>575</v>
      </c>
      <c r="D75" s="5" t="s">
        <v>120</v>
      </c>
      <c r="E75" s="7" t="s">
        <v>0</v>
      </c>
      <c r="F75" s="5"/>
      <c r="G75" s="23"/>
      <c r="H75" s="10">
        <v>507</v>
      </c>
      <c r="I75" s="10">
        <v>6</v>
      </c>
      <c r="J75" s="10">
        <v>196</v>
      </c>
      <c r="K75" s="10">
        <v>190</v>
      </c>
      <c r="L75" s="10">
        <v>197</v>
      </c>
      <c r="M75" s="10">
        <v>42</v>
      </c>
      <c r="N75" s="9" cm="1">
        <f t="array" ref="N75">SUM((H75:L75)/5)</f>
        <v>219.20000000000002</v>
      </c>
      <c r="O75" s="10">
        <v>220</v>
      </c>
      <c r="P75" s="23"/>
      <c r="Q75" s="4">
        <v>49.308</v>
      </c>
      <c r="R75" s="4">
        <v>72.016000000000005</v>
      </c>
      <c r="S75" s="4">
        <v>0.441</v>
      </c>
      <c r="T75" s="4">
        <v>0.441</v>
      </c>
      <c r="U75" s="30">
        <f t="shared" si="10"/>
        <v>88</v>
      </c>
      <c r="V75" s="30">
        <f t="shared" si="11"/>
        <v>132</v>
      </c>
      <c r="W75" s="23"/>
      <c r="X75" s="30">
        <v>15.868</v>
      </c>
      <c r="Y75" s="30">
        <v>27.081009999999999</v>
      </c>
      <c r="Z75" s="53">
        <v>27.081009999999999</v>
      </c>
      <c r="AA75" s="54">
        <f t="shared" si="12"/>
        <v>44.683666500000001</v>
      </c>
      <c r="AB75" s="23"/>
      <c r="AC75" s="4">
        <v>365</v>
      </c>
      <c r="AD75" s="32">
        <f t="shared" si="13"/>
        <v>131.7893</v>
      </c>
      <c r="AE75" s="32">
        <f t="shared" si="14"/>
        <v>144.17600000000002</v>
      </c>
      <c r="AF75" s="32">
        <f t="shared" si="15"/>
        <v>23.83</v>
      </c>
      <c r="AG75" s="32">
        <f t="shared" si="15"/>
        <v>58.98</v>
      </c>
      <c r="AH75" s="78"/>
      <c r="AI75" s="78"/>
      <c r="AJ75" s="55">
        <f t="shared" si="16"/>
        <v>358.77530000000002</v>
      </c>
      <c r="AK75" s="32"/>
      <c r="AL75" s="33"/>
      <c r="AM75" s="23"/>
    </row>
    <row r="76" spans="1:39" ht="30" x14ac:dyDescent="0.3">
      <c r="A76" s="64"/>
      <c r="B76" s="64"/>
      <c r="C76" s="5" t="s">
        <v>576</v>
      </c>
      <c r="D76" s="5" t="s">
        <v>120</v>
      </c>
      <c r="E76" s="7" t="s">
        <v>0</v>
      </c>
      <c r="F76" s="5"/>
      <c r="G76" s="23"/>
      <c r="H76" s="10">
        <v>909</v>
      </c>
      <c r="I76" s="10">
        <v>1017</v>
      </c>
      <c r="J76" s="10">
        <v>956</v>
      </c>
      <c r="K76" s="10">
        <v>623</v>
      </c>
      <c r="L76" s="10">
        <v>525</v>
      </c>
      <c r="M76" s="10">
        <v>28</v>
      </c>
      <c r="N76" s="9" cm="1">
        <f t="array" ref="N76">SUM((H76:L76)/5)</f>
        <v>806.00000000000011</v>
      </c>
      <c r="O76" s="10">
        <v>800</v>
      </c>
      <c r="P76" s="23"/>
      <c r="Q76" s="4">
        <v>49.325000000000003</v>
      </c>
      <c r="R76" s="4">
        <v>72.016000000000005</v>
      </c>
      <c r="S76" s="4">
        <v>0.441</v>
      </c>
      <c r="T76" s="4">
        <v>0.441</v>
      </c>
      <c r="U76" s="30">
        <f t="shared" si="10"/>
        <v>320</v>
      </c>
      <c r="V76" s="30">
        <f t="shared" si="11"/>
        <v>480</v>
      </c>
      <c r="W76" s="23"/>
      <c r="X76" s="30" t="s">
        <v>161</v>
      </c>
      <c r="Y76" s="30" t="s">
        <v>162</v>
      </c>
      <c r="Z76" s="53">
        <f>SUM(27.1637+25.04057)/2</f>
        <v>26.102134999999997</v>
      </c>
      <c r="AA76" s="54">
        <f t="shared" si="12"/>
        <v>43.06852275</v>
      </c>
      <c r="AB76" s="23"/>
      <c r="AC76" s="4">
        <v>365</v>
      </c>
      <c r="AD76" s="32">
        <f t="shared" si="13"/>
        <v>131.7893</v>
      </c>
      <c r="AE76" s="32">
        <f t="shared" si="14"/>
        <v>144.17600000000002</v>
      </c>
      <c r="AF76" s="32">
        <f t="shared" si="15"/>
        <v>83.53</v>
      </c>
      <c r="AG76" s="32">
        <f t="shared" si="15"/>
        <v>206.73</v>
      </c>
      <c r="AH76" s="78"/>
      <c r="AI76" s="78"/>
      <c r="AJ76" s="55">
        <f t="shared" si="16"/>
        <v>566.22530000000006</v>
      </c>
      <c r="AK76" s="32"/>
      <c r="AL76" s="33"/>
      <c r="AM76" s="23"/>
    </row>
    <row r="77" spans="1:39" ht="30" x14ac:dyDescent="0.3">
      <c r="A77" s="64"/>
      <c r="B77" s="64"/>
      <c r="C77" s="5" t="s">
        <v>576</v>
      </c>
      <c r="D77" s="5" t="s">
        <v>120</v>
      </c>
      <c r="E77" s="7" t="s">
        <v>0</v>
      </c>
      <c r="F77" s="5"/>
      <c r="G77" s="23"/>
      <c r="H77" s="10">
        <v>734</v>
      </c>
      <c r="I77" s="10">
        <v>695</v>
      </c>
      <c r="J77" s="10">
        <v>655</v>
      </c>
      <c r="K77" s="10">
        <v>897</v>
      </c>
      <c r="L77" s="10">
        <v>773</v>
      </c>
      <c r="M77" s="10">
        <v>351</v>
      </c>
      <c r="N77" s="9" cm="1">
        <f t="array" ref="N77">SUM((H77:L77)/5)</f>
        <v>750.80000000000007</v>
      </c>
      <c r="O77" s="10">
        <v>750</v>
      </c>
      <c r="P77" s="23"/>
      <c r="Q77" s="4">
        <v>49.325000000000003</v>
      </c>
      <c r="R77" s="4">
        <v>72.016000000000005</v>
      </c>
      <c r="S77" s="4">
        <v>0.441</v>
      </c>
      <c r="T77" s="4">
        <v>0.441</v>
      </c>
      <c r="U77" s="30">
        <f t="shared" si="10"/>
        <v>300</v>
      </c>
      <c r="V77" s="30">
        <f t="shared" si="11"/>
        <v>450</v>
      </c>
      <c r="W77" s="23"/>
      <c r="X77" s="30" t="s">
        <v>163</v>
      </c>
      <c r="Y77" s="30" t="s">
        <v>164</v>
      </c>
      <c r="Z77" s="53">
        <f>SUM(27.13226+25.00908)/2</f>
        <v>26.07067</v>
      </c>
      <c r="AA77" s="54">
        <f t="shared" si="12"/>
        <v>43.016605499999997</v>
      </c>
      <c r="AB77" s="23"/>
      <c r="AC77" s="4">
        <v>365</v>
      </c>
      <c r="AD77" s="32">
        <f t="shared" si="13"/>
        <v>131.7893</v>
      </c>
      <c r="AE77" s="32">
        <f t="shared" si="14"/>
        <v>144.17600000000002</v>
      </c>
      <c r="AF77" s="32">
        <f t="shared" si="15"/>
        <v>78.209999999999994</v>
      </c>
      <c r="AG77" s="32">
        <f t="shared" si="15"/>
        <v>193.57</v>
      </c>
      <c r="AH77" s="78"/>
      <c r="AI77" s="78"/>
      <c r="AJ77" s="55">
        <f t="shared" si="16"/>
        <v>547.74530000000004</v>
      </c>
      <c r="AK77" s="32"/>
      <c r="AL77" s="33"/>
      <c r="AM77" s="23"/>
    </row>
    <row r="78" spans="1:39" ht="30" x14ac:dyDescent="0.3">
      <c r="A78" s="64"/>
      <c r="B78" s="64"/>
      <c r="C78" s="5" t="s">
        <v>576</v>
      </c>
      <c r="D78" s="5" t="s">
        <v>120</v>
      </c>
      <c r="E78" s="7" t="s">
        <v>0</v>
      </c>
      <c r="F78" s="5"/>
      <c r="G78" s="23"/>
      <c r="H78" s="10">
        <v>708</v>
      </c>
      <c r="I78" s="10">
        <v>716</v>
      </c>
      <c r="J78" s="10">
        <v>727</v>
      </c>
      <c r="K78" s="10">
        <v>802</v>
      </c>
      <c r="L78" s="10">
        <v>584</v>
      </c>
      <c r="M78" s="10">
        <v>322</v>
      </c>
      <c r="N78" s="9" cm="1">
        <f t="array" ref="N78">SUM((H78:L78)/5)</f>
        <v>707.39999999999986</v>
      </c>
      <c r="O78" s="10">
        <v>700</v>
      </c>
      <c r="P78" s="23"/>
      <c r="Q78" s="4">
        <v>49.325000000000003</v>
      </c>
      <c r="R78" s="4">
        <v>72.016000000000005</v>
      </c>
      <c r="S78" s="4">
        <v>0.441</v>
      </c>
      <c r="T78" s="4">
        <v>0.441</v>
      </c>
      <c r="U78" s="30">
        <f t="shared" si="10"/>
        <v>280</v>
      </c>
      <c r="V78" s="30">
        <f t="shared" si="11"/>
        <v>420</v>
      </c>
      <c r="W78" s="23"/>
      <c r="X78" s="30" t="s">
        <v>163</v>
      </c>
      <c r="Y78" s="30" t="s">
        <v>165</v>
      </c>
      <c r="Z78" s="53">
        <f>SUM(27.15107+25.02671)/2</f>
        <v>26.088889999999999</v>
      </c>
      <c r="AA78" s="54">
        <f t="shared" si="12"/>
        <v>43.046668499999996</v>
      </c>
      <c r="AB78" s="23"/>
      <c r="AC78" s="4">
        <v>365</v>
      </c>
      <c r="AD78" s="32">
        <f t="shared" si="13"/>
        <v>131.7893</v>
      </c>
      <c r="AE78" s="32">
        <f t="shared" si="14"/>
        <v>144.17600000000002</v>
      </c>
      <c r="AF78" s="32">
        <f t="shared" si="15"/>
        <v>73.05</v>
      </c>
      <c r="AG78" s="32">
        <f t="shared" si="15"/>
        <v>180.8</v>
      </c>
      <c r="AH78" s="78"/>
      <c r="AI78" s="78"/>
      <c r="AJ78" s="55">
        <f t="shared" si="16"/>
        <v>529.81529999999998</v>
      </c>
      <c r="AK78" s="32"/>
      <c r="AL78" s="33"/>
      <c r="AM78" s="23"/>
    </row>
    <row r="79" spans="1:39" ht="30" x14ac:dyDescent="0.3">
      <c r="A79" s="64"/>
      <c r="B79" s="64"/>
      <c r="C79" s="5" t="s">
        <v>577</v>
      </c>
      <c r="D79" s="5" t="s">
        <v>120</v>
      </c>
      <c r="E79" s="7" t="s">
        <v>0</v>
      </c>
      <c r="F79" s="5"/>
      <c r="G79" s="23"/>
      <c r="H79" s="10">
        <v>1406</v>
      </c>
      <c r="I79" s="10">
        <v>1663</v>
      </c>
      <c r="J79" s="10">
        <v>2106</v>
      </c>
      <c r="K79" s="10">
        <v>1996</v>
      </c>
      <c r="L79" s="10">
        <v>1276</v>
      </c>
      <c r="M79" s="10">
        <v>409</v>
      </c>
      <c r="N79" s="9" cm="1">
        <f t="array" ref="N79">SUM((H79:L79)/5)</f>
        <v>1689.4</v>
      </c>
      <c r="O79" s="10">
        <v>1700</v>
      </c>
      <c r="P79" s="23"/>
      <c r="Q79" s="4">
        <v>49.325000000000003</v>
      </c>
      <c r="R79" s="4">
        <v>72.016000000000005</v>
      </c>
      <c r="S79" s="4">
        <v>0.441</v>
      </c>
      <c r="T79" s="4">
        <v>0.441</v>
      </c>
      <c r="U79" s="30">
        <f t="shared" si="10"/>
        <v>680</v>
      </c>
      <c r="V79" s="30">
        <f t="shared" si="11"/>
        <v>1020</v>
      </c>
      <c r="W79" s="23"/>
      <c r="X79" s="30" t="s">
        <v>163</v>
      </c>
      <c r="Y79" s="30" t="s">
        <v>166</v>
      </c>
      <c r="Z79" s="53">
        <f>SUM(27.35586+25.18882)/2</f>
        <v>26.27234</v>
      </c>
      <c r="AA79" s="54">
        <f t="shared" si="12"/>
        <v>43.349361000000002</v>
      </c>
      <c r="AB79" s="23"/>
      <c r="AC79" s="4">
        <v>365</v>
      </c>
      <c r="AD79" s="32">
        <f t="shared" si="13"/>
        <v>131.7893</v>
      </c>
      <c r="AE79" s="32">
        <f t="shared" si="14"/>
        <v>144.17600000000002</v>
      </c>
      <c r="AF79" s="32">
        <f t="shared" si="15"/>
        <v>178.65</v>
      </c>
      <c r="AG79" s="32">
        <f t="shared" si="15"/>
        <v>442.16</v>
      </c>
      <c r="AH79" s="78"/>
      <c r="AI79" s="78"/>
      <c r="AJ79" s="55">
        <f t="shared" si="16"/>
        <v>896.77530000000002</v>
      </c>
      <c r="AK79" s="32"/>
      <c r="AL79" s="33"/>
      <c r="AM79" s="23"/>
    </row>
    <row r="80" spans="1:39" ht="15.6" x14ac:dyDescent="0.3">
      <c r="A80" s="64"/>
      <c r="B80" s="64"/>
      <c r="C80" s="5" t="s">
        <v>578</v>
      </c>
      <c r="D80" s="5" t="s">
        <v>120</v>
      </c>
      <c r="E80" s="7" t="s">
        <v>0</v>
      </c>
      <c r="F80" s="5"/>
      <c r="G80" s="23"/>
      <c r="H80" s="10">
        <v>465</v>
      </c>
      <c r="I80" s="10">
        <v>444</v>
      </c>
      <c r="J80" s="10">
        <v>349</v>
      </c>
      <c r="K80" s="10">
        <v>434</v>
      </c>
      <c r="L80" s="10">
        <v>485</v>
      </c>
      <c r="M80" s="10">
        <v>281</v>
      </c>
      <c r="N80" s="9" cm="1">
        <f t="array" ref="N80">SUM((H80:L80)/5)</f>
        <v>435.40000000000003</v>
      </c>
      <c r="O80" s="10">
        <v>435</v>
      </c>
      <c r="P80" s="23"/>
      <c r="Q80" s="4">
        <v>49.308</v>
      </c>
      <c r="R80" s="4">
        <v>72.016000000000005</v>
      </c>
      <c r="S80" s="4">
        <v>0.441</v>
      </c>
      <c r="T80" s="4">
        <v>0.441</v>
      </c>
      <c r="U80" s="30">
        <f t="shared" si="10"/>
        <v>174</v>
      </c>
      <c r="V80" s="30">
        <f t="shared" si="11"/>
        <v>261</v>
      </c>
      <c r="W80" s="23"/>
      <c r="X80" s="30">
        <v>15.868</v>
      </c>
      <c r="Y80" s="30">
        <v>27.081980000000001</v>
      </c>
      <c r="Z80" s="53">
        <v>27.081980000000001</v>
      </c>
      <c r="AA80" s="54">
        <f t="shared" si="12"/>
        <v>44.685267000000003</v>
      </c>
      <c r="AB80" s="23"/>
      <c r="AC80" s="4">
        <v>365</v>
      </c>
      <c r="AD80" s="32">
        <f t="shared" si="13"/>
        <v>131.7893</v>
      </c>
      <c r="AE80" s="32">
        <f t="shared" si="14"/>
        <v>144.17600000000002</v>
      </c>
      <c r="AF80" s="32">
        <f t="shared" si="15"/>
        <v>47.12</v>
      </c>
      <c r="AG80" s="32">
        <f t="shared" si="15"/>
        <v>116.63</v>
      </c>
      <c r="AH80" s="78"/>
      <c r="AI80" s="78"/>
      <c r="AJ80" s="55">
        <f t="shared" si="16"/>
        <v>439.71530000000001</v>
      </c>
      <c r="AK80" s="32"/>
      <c r="AL80" s="33"/>
      <c r="AM80" s="23"/>
    </row>
    <row r="81" spans="1:39" ht="15.6" x14ac:dyDescent="0.3">
      <c r="A81" s="64"/>
      <c r="B81" s="64"/>
      <c r="C81" s="5" t="s">
        <v>578</v>
      </c>
      <c r="D81" s="5" t="s">
        <v>120</v>
      </c>
      <c r="E81" s="7" t="s">
        <v>0</v>
      </c>
      <c r="F81" s="5"/>
      <c r="G81" s="23"/>
      <c r="H81" s="10">
        <v>389</v>
      </c>
      <c r="I81" s="10">
        <v>547</v>
      </c>
      <c r="J81" s="10">
        <v>513</v>
      </c>
      <c r="K81" s="10">
        <v>612</v>
      </c>
      <c r="L81" s="10">
        <v>607</v>
      </c>
      <c r="M81" s="10">
        <v>35</v>
      </c>
      <c r="N81" s="9" cm="1">
        <f t="array" ref="N81">SUM((H81:L81)/5)</f>
        <v>533.59999999999991</v>
      </c>
      <c r="O81" s="10">
        <v>600</v>
      </c>
      <c r="P81" s="23"/>
      <c r="Q81" s="4">
        <v>49.308</v>
      </c>
      <c r="R81" s="4">
        <v>72.016000000000005</v>
      </c>
      <c r="S81" s="4">
        <v>0.441</v>
      </c>
      <c r="T81" s="4">
        <v>0.441</v>
      </c>
      <c r="U81" s="30">
        <f t="shared" si="10"/>
        <v>240</v>
      </c>
      <c r="V81" s="30">
        <f t="shared" si="11"/>
        <v>360</v>
      </c>
      <c r="W81" s="23"/>
      <c r="X81" s="30">
        <v>15.868</v>
      </c>
      <c r="Y81" s="30">
        <v>27.083010000000002</v>
      </c>
      <c r="Z81" s="53">
        <v>27.083010000000002</v>
      </c>
      <c r="AA81" s="54">
        <f t="shared" si="12"/>
        <v>44.686966500000004</v>
      </c>
      <c r="AB81" s="23"/>
      <c r="AC81" s="4">
        <v>365</v>
      </c>
      <c r="AD81" s="32">
        <f t="shared" si="13"/>
        <v>131.7893</v>
      </c>
      <c r="AE81" s="32">
        <f t="shared" si="14"/>
        <v>144.17600000000002</v>
      </c>
      <c r="AF81" s="32">
        <f t="shared" si="15"/>
        <v>65</v>
      </c>
      <c r="AG81" s="32">
        <f t="shared" si="15"/>
        <v>160.87</v>
      </c>
      <c r="AH81" s="78"/>
      <c r="AI81" s="78"/>
      <c r="AJ81" s="55">
        <f t="shared" si="16"/>
        <v>501.83530000000002</v>
      </c>
      <c r="AK81" s="32"/>
      <c r="AL81" s="33"/>
      <c r="AM81" s="23"/>
    </row>
    <row r="82" spans="1:39" ht="15.6" x14ac:dyDescent="0.3">
      <c r="A82" s="64"/>
      <c r="B82" s="64"/>
      <c r="C82" s="5" t="s">
        <v>578</v>
      </c>
      <c r="D82" s="5" t="s">
        <v>120</v>
      </c>
      <c r="E82" s="7" t="s">
        <v>0</v>
      </c>
      <c r="F82" s="5"/>
      <c r="G82" s="23"/>
      <c r="H82" s="10">
        <v>549</v>
      </c>
      <c r="I82" s="10">
        <v>514</v>
      </c>
      <c r="J82" s="10">
        <v>596</v>
      </c>
      <c r="K82" s="10">
        <v>839</v>
      </c>
      <c r="L82" s="10">
        <v>656</v>
      </c>
      <c r="M82" s="10">
        <v>355</v>
      </c>
      <c r="N82" s="9" cm="1">
        <f t="array" ref="N82">SUM((H82:L82)/5)</f>
        <v>630.79999999999995</v>
      </c>
      <c r="O82" s="10">
        <v>730</v>
      </c>
      <c r="P82" s="23"/>
      <c r="Q82" s="4">
        <v>49.308</v>
      </c>
      <c r="R82" s="4">
        <v>72.016000000000005</v>
      </c>
      <c r="S82" s="4">
        <v>0.441</v>
      </c>
      <c r="T82" s="4">
        <v>0.441</v>
      </c>
      <c r="U82" s="30">
        <f t="shared" si="10"/>
        <v>292</v>
      </c>
      <c r="V82" s="30">
        <f t="shared" si="11"/>
        <v>438</v>
      </c>
      <c r="W82" s="23"/>
      <c r="X82" s="30">
        <v>15.868</v>
      </c>
      <c r="Y82" s="30">
        <v>27.08324</v>
      </c>
      <c r="Z82" s="53">
        <v>27.08324</v>
      </c>
      <c r="AA82" s="54">
        <f t="shared" si="12"/>
        <v>44.687346000000005</v>
      </c>
      <c r="AB82" s="23"/>
      <c r="AC82" s="4">
        <v>365</v>
      </c>
      <c r="AD82" s="32">
        <f t="shared" si="13"/>
        <v>131.7893</v>
      </c>
      <c r="AE82" s="32">
        <f t="shared" si="14"/>
        <v>144.17600000000002</v>
      </c>
      <c r="AF82" s="32">
        <f t="shared" si="15"/>
        <v>79.08</v>
      </c>
      <c r="AG82" s="32">
        <f t="shared" si="15"/>
        <v>195.73</v>
      </c>
      <c r="AH82" s="78"/>
      <c r="AI82" s="78"/>
      <c r="AJ82" s="55">
        <f t="shared" si="16"/>
        <v>550.77530000000002</v>
      </c>
      <c r="AK82" s="32"/>
      <c r="AL82" s="33"/>
      <c r="AM82" s="23"/>
    </row>
    <row r="83" spans="1:39" ht="30" x14ac:dyDescent="0.3">
      <c r="A83" s="64"/>
      <c r="B83" s="64"/>
      <c r="C83" s="5" t="s">
        <v>445</v>
      </c>
      <c r="D83" s="5" t="s">
        <v>120</v>
      </c>
      <c r="E83" s="7" t="s">
        <v>0</v>
      </c>
      <c r="F83" s="5"/>
      <c r="G83" s="23"/>
      <c r="H83" s="10">
        <v>1081</v>
      </c>
      <c r="I83" s="10">
        <v>1751</v>
      </c>
      <c r="J83" s="10">
        <v>1656</v>
      </c>
      <c r="K83" s="10">
        <v>1635</v>
      </c>
      <c r="L83" s="10">
        <v>1431</v>
      </c>
      <c r="M83" s="10">
        <v>595</v>
      </c>
      <c r="N83" s="9" cm="1">
        <f t="array" ref="N83">SUM((H83:L83)/5)</f>
        <v>1510.8</v>
      </c>
      <c r="O83" s="10">
        <v>1510</v>
      </c>
      <c r="P83" s="23"/>
      <c r="Q83" s="4">
        <v>50.334000000000003</v>
      </c>
      <c r="R83" s="4">
        <v>63.256999999999998</v>
      </c>
      <c r="S83" s="4">
        <v>0.441</v>
      </c>
      <c r="T83" s="4">
        <v>0.441</v>
      </c>
      <c r="U83" s="30">
        <f t="shared" si="10"/>
        <v>604</v>
      </c>
      <c r="V83" s="30">
        <f t="shared" si="11"/>
        <v>906</v>
      </c>
      <c r="W83" s="23"/>
      <c r="X83" s="30" t="s">
        <v>167</v>
      </c>
      <c r="Y83" s="30" t="s">
        <v>168</v>
      </c>
      <c r="Z83" s="53">
        <f>SUM(26.70836+25.07765)/2</f>
        <v>25.893004999999999</v>
      </c>
      <c r="AA83" s="54">
        <f t="shared" si="12"/>
        <v>42.72345825</v>
      </c>
      <c r="AB83" s="23"/>
      <c r="AC83" s="4">
        <v>365</v>
      </c>
      <c r="AD83" s="32">
        <f t="shared" si="13"/>
        <v>115.7603</v>
      </c>
      <c r="AE83" s="32">
        <f t="shared" si="14"/>
        <v>126.64049999999999</v>
      </c>
      <c r="AF83" s="32">
        <f t="shared" si="15"/>
        <v>156.38999999999999</v>
      </c>
      <c r="AG83" s="32">
        <f t="shared" si="15"/>
        <v>387.07</v>
      </c>
      <c r="AH83" s="78"/>
      <c r="AI83" s="78"/>
      <c r="AJ83" s="55">
        <f t="shared" si="16"/>
        <v>785.86079999999993</v>
      </c>
      <c r="AK83" s="32"/>
      <c r="AL83" s="33"/>
      <c r="AM83" s="23"/>
    </row>
    <row r="84" spans="1:39" ht="45" x14ac:dyDescent="0.3">
      <c r="A84" s="64"/>
      <c r="B84" s="64"/>
      <c r="C84" s="5" t="s">
        <v>445</v>
      </c>
      <c r="D84" s="5" t="s">
        <v>120</v>
      </c>
      <c r="E84" s="7" t="s">
        <v>0</v>
      </c>
      <c r="F84" s="5"/>
      <c r="G84" s="23"/>
      <c r="H84" s="10">
        <v>731</v>
      </c>
      <c r="I84" s="10">
        <v>840</v>
      </c>
      <c r="J84" s="10">
        <v>1043</v>
      </c>
      <c r="K84" s="10">
        <v>1024</v>
      </c>
      <c r="L84" s="10">
        <v>1661</v>
      </c>
      <c r="M84" s="10">
        <v>554</v>
      </c>
      <c r="N84" s="9" cm="1">
        <f t="array" ref="N84">SUM((H84:L84)/5)</f>
        <v>1059.8</v>
      </c>
      <c r="O84" s="10">
        <v>1300</v>
      </c>
      <c r="P84" s="23"/>
      <c r="Q84" s="4">
        <v>50.334000000000003</v>
      </c>
      <c r="R84" s="4">
        <v>63.256999999999998</v>
      </c>
      <c r="S84" s="4">
        <v>0.441</v>
      </c>
      <c r="T84" s="4">
        <v>0.441</v>
      </c>
      <c r="U84" s="30">
        <f t="shared" si="10"/>
        <v>520</v>
      </c>
      <c r="V84" s="30">
        <f t="shared" si="11"/>
        <v>780</v>
      </c>
      <c r="W84" s="23"/>
      <c r="X84" s="30" t="s">
        <v>169</v>
      </c>
      <c r="Y84" s="30" t="s">
        <v>170</v>
      </c>
      <c r="Z84" s="53">
        <f>SUM(27.48304+25.05264+25.37103)/3</f>
        <v>25.968903333333333</v>
      </c>
      <c r="AA84" s="54">
        <f t="shared" si="12"/>
        <v>42.848690500000004</v>
      </c>
      <c r="AB84" s="23"/>
      <c r="AC84" s="4">
        <v>365</v>
      </c>
      <c r="AD84" s="32">
        <f t="shared" si="13"/>
        <v>115.7603</v>
      </c>
      <c r="AE84" s="32">
        <f t="shared" si="14"/>
        <v>126.64049999999999</v>
      </c>
      <c r="AF84" s="32">
        <f t="shared" si="15"/>
        <v>135.04</v>
      </c>
      <c r="AG84" s="32">
        <f t="shared" si="15"/>
        <v>334.22</v>
      </c>
      <c r="AH84" s="78"/>
      <c r="AI84" s="78"/>
      <c r="AJ84" s="55">
        <f t="shared" si="16"/>
        <v>711.66079999999999</v>
      </c>
      <c r="AK84" s="32"/>
      <c r="AL84" s="33"/>
      <c r="AM84" s="23"/>
    </row>
    <row r="85" spans="1:39" ht="45" x14ac:dyDescent="0.3">
      <c r="A85" s="64"/>
      <c r="B85" s="64"/>
      <c r="C85" s="5" t="s">
        <v>445</v>
      </c>
      <c r="D85" s="5" t="s">
        <v>120</v>
      </c>
      <c r="E85" s="7" t="s">
        <v>0</v>
      </c>
      <c r="F85" s="5"/>
      <c r="G85" s="23"/>
      <c r="H85" s="10">
        <v>992</v>
      </c>
      <c r="I85" s="10">
        <v>1532</v>
      </c>
      <c r="J85" s="10">
        <v>1529</v>
      </c>
      <c r="K85" s="10">
        <v>1558</v>
      </c>
      <c r="L85" s="10">
        <v>1331</v>
      </c>
      <c r="M85" s="10">
        <v>596</v>
      </c>
      <c r="N85" s="9" cm="1">
        <f t="array" ref="N85">SUM((H85:L85)/5)</f>
        <v>1388.3999999999999</v>
      </c>
      <c r="O85" s="10">
        <v>1400</v>
      </c>
      <c r="P85" s="23"/>
      <c r="Q85" s="4">
        <v>50.334000000000003</v>
      </c>
      <c r="R85" s="4">
        <v>63.256999999999998</v>
      </c>
      <c r="S85" s="4">
        <v>0.441</v>
      </c>
      <c r="T85" s="4">
        <v>0.441</v>
      </c>
      <c r="U85" s="30">
        <f t="shared" si="10"/>
        <v>560</v>
      </c>
      <c r="V85" s="30">
        <f t="shared" si="11"/>
        <v>840</v>
      </c>
      <c r="W85" s="23"/>
      <c r="X85" s="30" t="s">
        <v>171</v>
      </c>
      <c r="Y85" s="30" t="s">
        <v>172</v>
      </c>
      <c r="Z85" s="53">
        <f>SUM(27.41702+24.9875+25.30713)/3</f>
        <v>25.903883333333336</v>
      </c>
      <c r="AA85" s="54">
        <f t="shared" si="12"/>
        <v>42.741407500000008</v>
      </c>
      <c r="AB85" s="23"/>
      <c r="AC85" s="4">
        <v>365</v>
      </c>
      <c r="AD85" s="32">
        <f t="shared" si="13"/>
        <v>115.7603</v>
      </c>
      <c r="AE85" s="32">
        <f t="shared" si="14"/>
        <v>126.64049999999999</v>
      </c>
      <c r="AF85" s="32">
        <f t="shared" si="15"/>
        <v>145.06</v>
      </c>
      <c r="AG85" s="32">
        <f t="shared" si="15"/>
        <v>359.03</v>
      </c>
      <c r="AH85" s="78"/>
      <c r="AI85" s="78"/>
      <c r="AJ85" s="55">
        <f t="shared" si="16"/>
        <v>746.49080000000004</v>
      </c>
      <c r="AK85" s="32"/>
      <c r="AL85" s="33"/>
      <c r="AM85" s="23"/>
    </row>
    <row r="86" spans="1:39" ht="45" x14ac:dyDescent="0.3">
      <c r="A86" s="64"/>
      <c r="B86" s="64"/>
      <c r="C86" s="5" t="s">
        <v>579</v>
      </c>
      <c r="D86" s="5" t="s">
        <v>120</v>
      </c>
      <c r="E86" s="7" t="s">
        <v>0</v>
      </c>
      <c r="F86" s="5"/>
      <c r="G86" s="23"/>
      <c r="H86" s="10">
        <v>790</v>
      </c>
      <c r="I86" s="10">
        <v>751</v>
      </c>
      <c r="J86" s="10">
        <v>728</v>
      </c>
      <c r="K86" s="10">
        <v>698</v>
      </c>
      <c r="L86" s="10">
        <v>647</v>
      </c>
      <c r="M86" s="10">
        <v>291</v>
      </c>
      <c r="N86" s="9" cm="1">
        <f t="array" ref="N86">SUM((H86:L86)/5)</f>
        <v>722.8</v>
      </c>
      <c r="O86" s="10">
        <v>720</v>
      </c>
      <c r="P86" s="23"/>
      <c r="Q86" s="4">
        <v>50.334000000000003</v>
      </c>
      <c r="R86" s="4">
        <v>63.256999999999998</v>
      </c>
      <c r="S86" s="4">
        <v>0.441</v>
      </c>
      <c r="T86" s="4">
        <v>0.441</v>
      </c>
      <c r="U86" s="30">
        <f t="shared" si="10"/>
        <v>288</v>
      </c>
      <c r="V86" s="30">
        <f t="shared" si="11"/>
        <v>432</v>
      </c>
      <c r="W86" s="23"/>
      <c r="X86" s="30" t="s">
        <v>173</v>
      </c>
      <c r="Y86" s="30" t="s">
        <v>174</v>
      </c>
      <c r="Z86" s="53">
        <f>SUM(27.38995+24.95712+25.27654)/3</f>
        <v>25.874536666666668</v>
      </c>
      <c r="AA86" s="54">
        <f t="shared" si="12"/>
        <v>42.692985500000006</v>
      </c>
      <c r="AB86" s="23"/>
      <c r="AC86" s="4">
        <v>365</v>
      </c>
      <c r="AD86" s="32">
        <f t="shared" si="13"/>
        <v>115.7603</v>
      </c>
      <c r="AE86" s="32">
        <f t="shared" si="14"/>
        <v>126.64049999999999</v>
      </c>
      <c r="AF86" s="32">
        <f t="shared" si="15"/>
        <v>74.52</v>
      </c>
      <c r="AG86" s="32">
        <f t="shared" si="15"/>
        <v>184.43</v>
      </c>
      <c r="AH86" s="78"/>
      <c r="AI86" s="78"/>
      <c r="AJ86" s="55">
        <f t="shared" si="16"/>
        <v>501.35079999999999</v>
      </c>
      <c r="AK86" s="32"/>
      <c r="AL86" s="33"/>
      <c r="AM86" s="23"/>
    </row>
    <row r="87" spans="1:39" ht="45" x14ac:dyDescent="0.3">
      <c r="A87" s="64"/>
      <c r="B87" s="64"/>
      <c r="C87" s="5" t="s">
        <v>580</v>
      </c>
      <c r="D87" s="5" t="s">
        <v>120</v>
      </c>
      <c r="E87" s="7" t="s">
        <v>0</v>
      </c>
      <c r="F87" s="5"/>
      <c r="G87" s="23"/>
      <c r="H87" s="10">
        <v>1616</v>
      </c>
      <c r="I87" s="10">
        <v>1936</v>
      </c>
      <c r="J87" s="10">
        <v>1639</v>
      </c>
      <c r="K87" s="10">
        <v>1559</v>
      </c>
      <c r="L87" s="10">
        <v>2005</v>
      </c>
      <c r="M87" s="10">
        <v>854</v>
      </c>
      <c r="N87" s="9" cm="1">
        <f t="array" ref="N87">SUM((H87:L87)/5)</f>
        <v>1751</v>
      </c>
      <c r="O87" s="10">
        <v>1750</v>
      </c>
      <c r="P87" s="23"/>
      <c r="Q87" s="4">
        <v>50.334000000000003</v>
      </c>
      <c r="R87" s="4">
        <v>63.256999999999998</v>
      </c>
      <c r="S87" s="4">
        <v>0.441</v>
      </c>
      <c r="T87" s="4">
        <v>0.441</v>
      </c>
      <c r="U87" s="30">
        <f t="shared" si="10"/>
        <v>700</v>
      </c>
      <c r="V87" s="30">
        <f t="shared" si="11"/>
        <v>1050</v>
      </c>
      <c r="W87" s="23"/>
      <c r="X87" s="30" t="s">
        <v>173</v>
      </c>
      <c r="Y87" s="30" t="s">
        <v>175</v>
      </c>
      <c r="Z87" s="53">
        <f>SUM(27.47077+25.04083+25.36048)/3</f>
        <v>25.957359999999998</v>
      </c>
      <c r="AA87" s="54">
        <f t="shared" si="12"/>
        <v>42.829644000000002</v>
      </c>
      <c r="AB87" s="23"/>
      <c r="AC87" s="4">
        <v>365</v>
      </c>
      <c r="AD87" s="32">
        <f t="shared" si="13"/>
        <v>115.7603</v>
      </c>
      <c r="AE87" s="32">
        <f t="shared" si="14"/>
        <v>126.64049999999999</v>
      </c>
      <c r="AF87" s="32">
        <f t="shared" si="15"/>
        <v>181.7</v>
      </c>
      <c r="AG87" s="32">
        <f t="shared" si="15"/>
        <v>449.71</v>
      </c>
      <c r="AH87" s="78"/>
      <c r="AI87" s="78"/>
      <c r="AJ87" s="55">
        <f t="shared" si="16"/>
        <v>873.81079999999997</v>
      </c>
      <c r="AK87" s="32"/>
      <c r="AL87" s="33"/>
      <c r="AM87" s="23"/>
    </row>
    <row r="88" spans="1:39" ht="15.6" x14ac:dyDescent="0.3">
      <c r="A88" s="64"/>
      <c r="B88" s="64"/>
      <c r="C88" s="5" t="s">
        <v>580</v>
      </c>
      <c r="D88" s="5" t="s">
        <v>120</v>
      </c>
      <c r="E88" s="7" t="s">
        <v>0</v>
      </c>
      <c r="F88" s="5"/>
      <c r="G88" s="23"/>
      <c r="H88" s="10">
        <v>1468</v>
      </c>
      <c r="I88" s="10">
        <v>824</v>
      </c>
      <c r="J88" s="10">
        <v>492</v>
      </c>
      <c r="K88" s="10">
        <v>478</v>
      </c>
      <c r="L88" s="10">
        <v>351</v>
      </c>
      <c r="M88" s="10">
        <v>272</v>
      </c>
      <c r="N88" s="9" cm="1">
        <f t="array" ref="N88">SUM((H88:L88)/5)</f>
        <v>722.60000000000014</v>
      </c>
      <c r="O88" s="10">
        <v>700</v>
      </c>
      <c r="P88" s="23"/>
      <c r="Q88" s="4">
        <v>49.308</v>
      </c>
      <c r="R88" s="4">
        <v>72.016000000000005</v>
      </c>
      <c r="S88" s="4">
        <v>0.441</v>
      </c>
      <c r="T88" s="4">
        <v>0.441</v>
      </c>
      <c r="U88" s="30">
        <f t="shared" si="10"/>
        <v>280</v>
      </c>
      <c r="V88" s="30">
        <f t="shared" si="11"/>
        <v>420</v>
      </c>
      <c r="W88" s="23"/>
      <c r="X88" s="30">
        <v>15.868</v>
      </c>
      <c r="Y88" s="30">
        <v>27.083390000000001</v>
      </c>
      <c r="Z88" s="53">
        <v>27.083390000000001</v>
      </c>
      <c r="AA88" s="54">
        <f t="shared" si="12"/>
        <v>44.687593500000006</v>
      </c>
      <c r="AB88" s="23"/>
      <c r="AC88" s="4">
        <v>365</v>
      </c>
      <c r="AD88" s="32">
        <f t="shared" si="13"/>
        <v>131.7893</v>
      </c>
      <c r="AE88" s="32">
        <f t="shared" si="14"/>
        <v>144.17600000000002</v>
      </c>
      <c r="AF88" s="32">
        <f t="shared" si="15"/>
        <v>75.83</v>
      </c>
      <c r="AG88" s="32">
        <f t="shared" si="15"/>
        <v>187.69</v>
      </c>
      <c r="AH88" s="78"/>
      <c r="AI88" s="78"/>
      <c r="AJ88" s="55">
        <f t="shared" si="16"/>
        <v>539.48530000000005</v>
      </c>
      <c r="AK88" s="32"/>
      <c r="AL88" s="33"/>
      <c r="AM88" s="23"/>
    </row>
    <row r="89" spans="1:39" ht="45" x14ac:dyDescent="0.3">
      <c r="A89" s="64"/>
      <c r="B89" s="64"/>
      <c r="C89" s="5" t="s">
        <v>580</v>
      </c>
      <c r="D89" s="5" t="s">
        <v>120</v>
      </c>
      <c r="E89" s="7" t="s">
        <v>0</v>
      </c>
      <c r="F89" s="5"/>
      <c r="G89" s="23"/>
      <c r="H89" s="10">
        <v>1720</v>
      </c>
      <c r="I89" s="10">
        <v>1875</v>
      </c>
      <c r="J89" s="10">
        <v>1235</v>
      </c>
      <c r="K89" s="10">
        <v>899</v>
      </c>
      <c r="L89" s="10">
        <v>1412</v>
      </c>
      <c r="M89" s="10">
        <v>1259</v>
      </c>
      <c r="N89" s="9" cm="1">
        <f t="array" ref="N89">SUM((H89:L89)/5)</f>
        <v>1428.1999999999998</v>
      </c>
      <c r="O89" s="10">
        <v>1420</v>
      </c>
      <c r="P89" s="23"/>
      <c r="Q89" s="4">
        <v>50.334000000000003</v>
      </c>
      <c r="R89" s="4">
        <v>63.256999999999998</v>
      </c>
      <c r="S89" s="4">
        <v>0.441</v>
      </c>
      <c r="T89" s="4">
        <v>0.441</v>
      </c>
      <c r="U89" s="30">
        <f t="shared" si="10"/>
        <v>568</v>
      </c>
      <c r="V89" s="30">
        <f t="shared" si="11"/>
        <v>852</v>
      </c>
      <c r="W89" s="23"/>
      <c r="X89" s="30" t="s">
        <v>176</v>
      </c>
      <c r="Y89" s="30" t="s">
        <v>177</v>
      </c>
      <c r="Z89" s="53">
        <f>SUM(27.47974+25.05006+23.36915)/3</f>
        <v>25.29965</v>
      </c>
      <c r="AA89" s="54">
        <f t="shared" si="12"/>
        <v>41.744422499999999</v>
      </c>
      <c r="AB89" s="23"/>
      <c r="AC89" s="4">
        <v>365</v>
      </c>
      <c r="AD89" s="32">
        <f t="shared" si="13"/>
        <v>115.7603</v>
      </c>
      <c r="AE89" s="32">
        <f t="shared" si="14"/>
        <v>126.64049999999999</v>
      </c>
      <c r="AF89" s="32">
        <f t="shared" si="15"/>
        <v>143.69999999999999</v>
      </c>
      <c r="AG89" s="32">
        <f t="shared" si="15"/>
        <v>355.66</v>
      </c>
      <c r="AH89" s="78"/>
      <c r="AI89" s="78"/>
      <c r="AJ89" s="55">
        <f t="shared" si="16"/>
        <v>741.76080000000002</v>
      </c>
      <c r="AK89" s="32"/>
      <c r="AL89" s="33"/>
      <c r="AM89" s="23"/>
    </row>
    <row r="90" spans="1:39" ht="15.6" x14ac:dyDescent="0.3">
      <c r="A90" s="64"/>
      <c r="B90" s="64"/>
      <c r="C90" s="5" t="s">
        <v>580</v>
      </c>
      <c r="D90" s="5" t="s">
        <v>120</v>
      </c>
      <c r="E90" s="7" t="s">
        <v>0</v>
      </c>
      <c r="F90" s="5"/>
      <c r="G90" s="23"/>
      <c r="H90" s="10">
        <v>1554</v>
      </c>
      <c r="I90" s="10">
        <v>1752</v>
      </c>
      <c r="J90" s="10">
        <v>1888</v>
      </c>
      <c r="K90" s="10">
        <v>2027</v>
      </c>
      <c r="L90" s="10">
        <v>1602</v>
      </c>
      <c r="M90" s="10">
        <v>1058</v>
      </c>
      <c r="N90" s="9" cm="1">
        <f t="array" ref="N90">SUM((H90:L90)/5)</f>
        <v>1764.6000000000004</v>
      </c>
      <c r="O90" s="10">
        <v>1770</v>
      </c>
      <c r="P90" s="23"/>
      <c r="Q90" s="4">
        <v>49.308</v>
      </c>
      <c r="R90" s="4">
        <v>72.016000000000005</v>
      </c>
      <c r="S90" s="4">
        <v>0.441</v>
      </c>
      <c r="T90" s="4">
        <v>0.441</v>
      </c>
      <c r="U90" s="30">
        <f t="shared" si="10"/>
        <v>708</v>
      </c>
      <c r="V90" s="30">
        <f t="shared" si="11"/>
        <v>1062</v>
      </c>
      <c r="W90" s="23"/>
      <c r="X90" s="30">
        <v>15.868</v>
      </c>
      <c r="Y90" s="30">
        <v>27.082609999999999</v>
      </c>
      <c r="Z90" s="53">
        <v>27.082609999999999</v>
      </c>
      <c r="AA90" s="54">
        <f t="shared" si="12"/>
        <v>44.686306500000001</v>
      </c>
      <c r="AB90" s="23"/>
      <c r="AC90" s="4">
        <v>365</v>
      </c>
      <c r="AD90" s="32">
        <f t="shared" si="13"/>
        <v>131.7893</v>
      </c>
      <c r="AE90" s="32">
        <f t="shared" si="14"/>
        <v>144.17600000000002</v>
      </c>
      <c r="AF90" s="32">
        <f t="shared" si="15"/>
        <v>191.74</v>
      </c>
      <c r="AG90" s="32">
        <f t="shared" si="15"/>
        <v>474.57</v>
      </c>
      <c r="AH90" s="78"/>
      <c r="AI90" s="78"/>
      <c r="AJ90" s="55">
        <f t="shared" si="16"/>
        <v>942.27530000000002</v>
      </c>
      <c r="AK90" s="32"/>
      <c r="AL90" s="33"/>
      <c r="AM90" s="23"/>
    </row>
    <row r="91" spans="1:39" ht="15.6" x14ac:dyDescent="0.3">
      <c r="A91" s="64"/>
      <c r="B91" s="64"/>
      <c r="C91" s="5" t="s">
        <v>581</v>
      </c>
      <c r="D91" s="5" t="s">
        <v>120</v>
      </c>
      <c r="E91" s="7" t="s">
        <v>0</v>
      </c>
      <c r="F91" s="5"/>
      <c r="G91" s="23"/>
      <c r="H91" s="10">
        <v>2194</v>
      </c>
      <c r="I91" s="10">
        <v>1997</v>
      </c>
      <c r="J91" s="10">
        <v>1532</v>
      </c>
      <c r="K91" s="10">
        <v>1818</v>
      </c>
      <c r="L91" s="10">
        <v>1632</v>
      </c>
      <c r="M91" s="10">
        <v>1185</v>
      </c>
      <c r="N91" s="9" cm="1">
        <f t="array" ref="N91">SUM((H91:L91)/5)</f>
        <v>1834.6</v>
      </c>
      <c r="O91" s="10">
        <v>1835</v>
      </c>
      <c r="P91" s="23"/>
      <c r="Q91" s="4">
        <v>49.828000000000003</v>
      </c>
      <c r="R91" s="4">
        <v>63.256999999999998</v>
      </c>
      <c r="S91" s="4">
        <v>0.441</v>
      </c>
      <c r="T91" s="4">
        <v>0.441</v>
      </c>
      <c r="U91" s="30">
        <f t="shared" si="10"/>
        <v>734</v>
      </c>
      <c r="V91" s="30">
        <f t="shared" si="11"/>
        <v>1101</v>
      </c>
      <c r="W91" s="23"/>
      <c r="X91" s="30">
        <v>15.061999999999999</v>
      </c>
      <c r="Y91" s="30">
        <v>26.506270000000001</v>
      </c>
      <c r="Z91" s="53">
        <v>26.506270000000001</v>
      </c>
      <c r="AA91" s="54">
        <f t="shared" si="12"/>
        <v>43.735345500000001</v>
      </c>
      <c r="AB91" s="23"/>
      <c r="AC91" s="4">
        <v>365</v>
      </c>
      <c r="AD91" s="32">
        <f t="shared" si="13"/>
        <v>115.7603</v>
      </c>
      <c r="AE91" s="32">
        <f t="shared" si="14"/>
        <v>126.64049999999999</v>
      </c>
      <c r="AF91" s="32">
        <f t="shared" si="15"/>
        <v>194.56</v>
      </c>
      <c r="AG91" s="32">
        <f t="shared" si="15"/>
        <v>481.53</v>
      </c>
      <c r="AH91" s="78"/>
      <c r="AI91" s="78"/>
      <c r="AJ91" s="55">
        <f t="shared" si="16"/>
        <v>918.49080000000004</v>
      </c>
      <c r="AK91" s="32"/>
      <c r="AL91" s="33"/>
      <c r="AM91" s="23"/>
    </row>
    <row r="92" spans="1:39" ht="30" x14ac:dyDescent="0.3">
      <c r="A92" s="64"/>
      <c r="B92" s="64"/>
      <c r="C92" s="5" t="s">
        <v>582</v>
      </c>
      <c r="D92" s="5" t="s">
        <v>120</v>
      </c>
      <c r="E92" s="7" t="s">
        <v>0</v>
      </c>
      <c r="F92" s="5"/>
      <c r="G92" s="23"/>
      <c r="H92" s="10">
        <v>1557</v>
      </c>
      <c r="I92" s="10">
        <v>1521</v>
      </c>
      <c r="J92" s="10">
        <v>1624</v>
      </c>
      <c r="K92" s="10">
        <v>1732</v>
      </c>
      <c r="L92" s="10">
        <v>1293</v>
      </c>
      <c r="M92" s="10">
        <v>777</v>
      </c>
      <c r="N92" s="9" cm="1">
        <f t="array" ref="N92">SUM((H92:L92)/5)</f>
        <v>1545.3999999999996</v>
      </c>
      <c r="O92" s="10">
        <v>1545</v>
      </c>
      <c r="P92" s="23"/>
      <c r="Q92" s="4">
        <v>50.334000000000003</v>
      </c>
      <c r="R92" s="4">
        <v>63.256999999999998</v>
      </c>
      <c r="S92" s="4">
        <v>0.441</v>
      </c>
      <c r="T92" s="4">
        <v>0.441</v>
      </c>
      <c r="U92" s="30">
        <f t="shared" si="10"/>
        <v>618</v>
      </c>
      <c r="V92" s="30">
        <f t="shared" si="11"/>
        <v>927</v>
      </c>
      <c r="W92" s="23"/>
      <c r="X92" s="30" t="s">
        <v>158</v>
      </c>
      <c r="Y92" s="30" t="s">
        <v>178</v>
      </c>
      <c r="Z92" s="53">
        <f>SUM(26.72709+25.09636)/2</f>
        <v>25.911725000000001</v>
      </c>
      <c r="AA92" s="54">
        <f t="shared" si="12"/>
        <v>42.754346249999998</v>
      </c>
      <c r="AB92" s="23"/>
      <c r="AC92" s="4">
        <v>365</v>
      </c>
      <c r="AD92" s="32">
        <f t="shared" si="13"/>
        <v>115.7603</v>
      </c>
      <c r="AE92" s="32">
        <f t="shared" si="14"/>
        <v>126.64049999999999</v>
      </c>
      <c r="AF92" s="32">
        <f t="shared" si="15"/>
        <v>160.13</v>
      </c>
      <c r="AG92" s="32">
        <f t="shared" si="15"/>
        <v>396.33</v>
      </c>
      <c r="AH92" s="78"/>
      <c r="AI92" s="78"/>
      <c r="AJ92" s="55">
        <f t="shared" si="16"/>
        <v>798.86079999999993</v>
      </c>
      <c r="AK92" s="32"/>
      <c r="AL92" s="33"/>
      <c r="AM92" s="23"/>
    </row>
    <row r="93" spans="1:39" ht="45" x14ac:dyDescent="0.3">
      <c r="A93" s="64"/>
      <c r="B93" s="64"/>
      <c r="C93" s="5" t="s">
        <v>583</v>
      </c>
      <c r="D93" s="5" t="s">
        <v>120</v>
      </c>
      <c r="E93" s="7" t="s">
        <v>0</v>
      </c>
      <c r="F93" s="5"/>
      <c r="G93" s="23"/>
      <c r="H93" s="10">
        <v>3202</v>
      </c>
      <c r="I93" s="10">
        <v>2812</v>
      </c>
      <c r="J93" s="10">
        <v>2276</v>
      </c>
      <c r="K93" s="10">
        <v>2264</v>
      </c>
      <c r="L93" s="10">
        <v>1791</v>
      </c>
      <c r="M93" s="10">
        <v>1001</v>
      </c>
      <c r="N93" s="9" cm="1">
        <f t="array" ref="N93">SUM((H93:L93)/5)</f>
        <v>2469</v>
      </c>
      <c r="O93" s="10">
        <v>2450</v>
      </c>
      <c r="P93" s="23"/>
      <c r="Q93" s="4">
        <v>50.334000000000003</v>
      </c>
      <c r="R93" s="4">
        <v>63.256999999999998</v>
      </c>
      <c r="S93" s="4">
        <v>0.441</v>
      </c>
      <c r="T93" s="4">
        <v>0.441</v>
      </c>
      <c r="U93" s="30">
        <f t="shared" si="10"/>
        <v>980</v>
      </c>
      <c r="V93" s="30">
        <f t="shared" si="11"/>
        <v>1470</v>
      </c>
      <c r="W93" s="23"/>
      <c r="X93" s="30" t="s">
        <v>171</v>
      </c>
      <c r="Y93" s="30" t="s">
        <v>179</v>
      </c>
      <c r="Z93" s="53">
        <f>SUM(27.47312+25.04395+25.36357)/3</f>
        <v>25.960213333333332</v>
      </c>
      <c r="AA93" s="54">
        <f t="shared" si="12"/>
        <v>42.834351999999996</v>
      </c>
      <c r="AB93" s="23"/>
      <c r="AC93" s="4">
        <v>365</v>
      </c>
      <c r="AD93" s="32">
        <f t="shared" si="13"/>
        <v>115.7603</v>
      </c>
      <c r="AE93" s="32">
        <f t="shared" si="14"/>
        <v>126.64049999999999</v>
      </c>
      <c r="AF93" s="32">
        <f t="shared" si="15"/>
        <v>254.41</v>
      </c>
      <c r="AG93" s="32">
        <f t="shared" si="15"/>
        <v>629.66</v>
      </c>
      <c r="AH93" s="78"/>
      <c r="AI93" s="78"/>
      <c r="AJ93" s="55">
        <f t="shared" si="16"/>
        <v>1126.4708000000001</v>
      </c>
      <c r="AK93" s="32"/>
      <c r="AL93" s="33"/>
      <c r="AM93" s="23"/>
    </row>
    <row r="94" spans="1:39" ht="45" x14ac:dyDescent="0.3">
      <c r="A94" s="64"/>
      <c r="B94" s="64"/>
      <c r="C94" s="5" t="s">
        <v>583</v>
      </c>
      <c r="D94" s="5" t="s">
        <v>120</v>
      </c>
      <c r="E94" s="7" t="s">
        <v>0</v>
      </c>
      <c r="F94" s="5"/>
      <c r="G94" s="23"/>
      <c r="H94" s="10">
        <v>1194</v>
      </c>
      <c r="I94" s="10">
        <v>2866</v>
      </c>
      <c r="J94" s="10">
        <v>4038</v>
      </c>
      <c r="K94" s="10">
        <v>2813</v>
      </c>
      <c r="L94" s="10">
        <v>2941</v>
      </c>
      <c r="M94" s="10">
        <v>1561</v>
      </c>
      <c r="N94" s="9" cm="1">
        <f t="array" ref="N94">SUM((H94:L94)/5)</f>
        <v>2770.3999999999996</v>
      </c>
      <c r="O94" s="10">
        <v>2770</v>
      </c>
      <c r="P94" s="23"/>
      <c r="Q94" s="30">
        <v>50.334000000000003</v>
      </c>
      <c r="R94" s="30">
        <v>63.256999999999998</v>
      </c>
      <c r="S94" s="30">
        <v>0.441</v>
      </c>
      <c r="T94" s="30">
        <v>0.441</v>
      </c>
      <c r="U94" s="30">
        <f t="shared" si="10"/>
        <v>1108</v>
      </c>
      <c r="V94" s="30">
        <f t="shared" si="11"/>
        <v>1662</v>
      </c>
      <c r="W94" s="23"/>
      <c r="X94" s="30" t="s">
        <v>180</v>
      </c>
      <c r="Y94" s="30" t="s">
        <v>181</v>
      </c>
      <c r="Z94" s="53">
        <f>SUM(27.45641+25.02647+25.3456)/3</f>
        <v>25.942826666666665</v>
      </c>
      <c r="AA94" s="54">
        <f t="shared" si="12"/>
        <v>42.805663999999993</v>
      </c>
      <c r="AB94" s="23"/>
      <c r="AC94" s="4">
        <v>365</v>
      </c>
      <c r="AD94" s="32">
        <f t="shared" si="13"/>
        <v>115.7603</v>
      </c>
      <c r="AE94" s="32">
        <f t="shared" si="14"/>
        <v>126.64049999999999</v>
      </c>
      <c r="AF94" s="32">
        <f t="shared" si="15"/>
        <v>287.45</v>
      </c>
      <c r="AG94" s="32">
        <f t="shared" si="15"/>
        <v>711.43</v>
      </c>
      <c r="AH94" s="78"/>
      <c r="AI94" s="78"/>
      <c r="AJ94" s="55">
        <f t="shared" si="16"/>
        <v>1241.2808</v>
      </c>
      <c r="AK94" s="32"/>
      <c r="AL94" s="33"/>
      <c r="AM94" s="23"/>
    </row>
    <row r="95" spans="1:39" ht="45" x14ac:dyDescent="0.3">
      <c r="A95" s="64"/>
      <c r="B95" s="64"/>
      <c r="C95" s="5" t="s">
        <v>584</v>
      </c>
      <c r="D95" s="5" t="s">
        <v>120</v>
      </c>
      <c r="E95" s="7" t="s">
        <v>0</v>
      </c>
      <c r="F95" s="5"/>
      <c r="G95" s="23"/>
      <c r="H95" s="10">
        <v>1680</v>
      </c>
      <c r="I95" s="10">
        <v>1578</v>
      </c>
      <c r="J95" s="10">
        <v>1601</v>
      </c>
      <c r="K95" s="10">
        <v>1635</v>
      </c>
      <c r="L95" s="10">
        <v>1263</v>
      </c>
      <c r="M95" s="10">
        <v>756</v>
      </c>
      <c r="N95" s="9" cm="1">
        <f t="array" ref="N95">SUM((H95:L95)/5)</f>
        <v>1551.3999999999999</v>
      </c>
      <c r="O95" s="10">
        <v>1550</v>
      </c>
      <c r="P95" s="23"/>
      <c r="Q95" s="30">
        <v>50.334000000000003</v>
      </c>
      <c r="R95" s="30">
        <v>63.256999999999998</v>
      </c>
      <c r="S95" s="30">
        <v>0.441</v>
      </c>
      <c r="T95" s="30">
        <v>0.441</v>
      </c>
      <c r="U95" s="30">
        <f t="shared" si="10"/>
        <v>620</v>
      </c>
      <c r="V95" s="30">
        <f t="shared" si="11"/>
        <v>930</v>
      </c>
      <c r="W95" s="23"/>
      <c r="X95" s="30" t="s">
        <v>182</v>
      </c>
      <c r="Y95" s="30" t="s">
        <v>183</v>
      </c>
      <c r="Z95" s="53">
        <f>SUM(27.45618+25.02723+25.34619)/3</f>
        <v>25.943200000000001</v>
      </c>
      <c r="AA95" s="54">
        <f t="shared" si="12"/>
        <v>42.806280000000001</v>
      </c>
      <c r="AB95" s="23"/>
      <c r="AC95" s="4">
        <v>365</v>
      </c>
      <c r="AD95" s="32">
        <f t="shared" si="13"/>
        <v>115.7603</v>
      </c>
      <c r="AE95" s="32">
        <f t="shared" si="14"/>
        <v>126.64049999999999</v>
      </c>
      <c r="AF95" s="32">
        <f t="shared" si="15"/>
        <v>160.85</v>
      </c>
      <c r="AG95" s="32">
        <f t="shared" si="15"/>
        <v>398.1</v>
      </c>
      <c r="AH95" s="78"/>
      <c r="AI95" s="78"/>
      <c r="AJ95" s="55">
        <f t="shared" si="16"/>
        <v>801.35080000000005</v>
      </c>
      <c r="AK95" s="32"/>
      <c r="AL95" s="33"/>
      <c r="AM95" s="23"/>
    </row>
    <row r="96" spans="1:39" ht="45" x14ac:dyDescent="0.3">
      <c r="A96" s="64"/>
      <c r="B96" s="64"/>
      <c r="C96" s="5" t="s">
        <v>584</v>
      </c>
      <c r="D96" s="5" t="s">
        <v>120</v>
      </c>
      <c r="E96" s="7" t="s">
        <v>0</v>
      </c>
      <c r="F96" s="5"/>
      <c r="G96" s="23"/>
      <c r="H96" s="10">
        <v>2260</v>
      </c>
      <c r="I96" s="10">
        <v>2406</v>
      </c>
      <c r="J96" s="10">
        <v>2153</v>
      </c>
      <c r="K96" s="10">
        <v>2215</v>
      </c>
      <c r="L96" s="10">
        <v>1710</v>
      </c>
      <c r="M96" s="10">
        <v>888</v>
      </c>
      <c r="N96" s="9" cm="1">
        <f t="array" ref="N96">SUM((H96:L96)/5)</f>
        <v>2148.8000000000002</v>
      </c>
      <c r="O96" s="10">
        <v>2150</v>
      </c>
      <c r="P96" s="23"/>
      <c r="Q96" s="30">
        <v>50.334000000000003</v>
      </c>
      <c r="R96" s="30">
        <v>63.256999999999998</v>
      </c>
      <c r="S96" s="30">
        <v>0.441</v>
      </c>
      <c r="T96" s="30">
        <v>0.441</v>
      </c>
      <c r="U96" s="30">
        <f t="shared" si="10"/>
        <v>860</v>
      </c>
      <c r="V96" s="30">
        <f t="shared" si="11"/>
        <v>1290</v>
      </c>
      <c r="W96" s="23"/>
      <c r="X96" s="30" t="s">
        <v>171</v>
      </c>
      <c r="Y96" s="30" t="s">
        <v>184</v>
      </c>
      <c r="Z96" s="53">
        <f>SUM(27.36322+24.9346+25.25356)/3</f>
        <v>25.850459999999998</v>
      </c>
      <c r="AA96" s="54">
        <f t="shared" si="12"/>
        <v>42.653258999999998</v>
      </c>
      <c r="AB96" s="23"/>
      <c r="AC96" s="4">
        <v>365</v>
      </c>
      <c r="AD96" s="32">
        <f t="shared" si="13"/>
        <v>115.7603</v>
      </c>
      <c r="AE96" s="32">
        <f t="shared" si="14"/>
        <v>126.64049999999999</v>
      </c>
      <c r="AF96" s="32">
        <f t="shared" si="15"/>
        <v>222.31</v>
      </c>
      <c r="AG96" s="32">
        <f t="shared" si="15"/>
        <v>550.23</v>
      </c>
      <c r="AH96" s="78"/>
      <c r="AI96" s="78"/>
      <c r="AJ96" s="55">
        <f t="shared" si="16"/>
        <v>1014.9408000000001</v>
      </c>
      <c r="AK96" s="32"/>
      <c r="AL96" s="33"/>
      <c r="AM96" s="23"/>
    </row>
    <row r="97" spans="1:39" ht="15.6" x14ac:dyDescent="0.3">
      <c r="A97" s="64"/>
      <c r="B97" s="64"/>
      <c r="C97" s="5" t="s">
        <v>585</v>
      </c>
      <c r="D97" s="5" t="s">
        <v>120</v>
      </c>
      <c r="E97" s="7" t="s">
        <v>0</v>
      </c>
      <c r="F97" s="5"/>
      <c r="G97" s="23"/>
      <c r="H97" s="10">
        <v>618</v>
      </c>
      <c r="I97" s="10">
        <v>1050</v>
      </c>
      <c r="J97" s="10">
        <v>842</v>
      </c>
      <c r="K97" s="10">
        <v>944</v>
      </c>
      <c r="L97" s="10">
        <v>884</v>
      </c>
      <c r="M97" s="10">
        <v>423</v>
      </c>
      <c r="N97" s="9" cm="1">
        <f t="array" ref="N97">SUM((H97:L97)/5)</f>
        <v>867.59999999999991</v>
      </c>
      <c r="O97" s="10">
        <v>870</v>
      </c>
      <c r="P97" s="23"/>
      <c r="Q97" s="30">
        <v>49.828000000000003</v>
      </c>
      <c r="R97" s="30">
        <v>63.256999999999998</v>
      </c>
      <c r="S97" s="30">
        <v>0.441</v>
      </c>
      <c r="T97" s="30">
        <v>0.441</v>
      </c>
      <c r="U97" s="30">
        <f t="shared" si="10"/>
        <v>348</v>
      </c>
      <c r="V97" s="30">
        <f t="shared" si="11"/>
        <v>522</v>
      </c>
      <c r="W97" s="23"/>
      <c r="X97" s="30">
        <v>15.061999999999999</v>
      </c>
      <c r="Y97" s="30">
        <v>26.506799999999998</v>
      </c>
      <c r="Z97" s="53">
        <v>26.506799999999998</v>
      </c>
      <c r="AA97" s="54">
        <f t="shared" si="12"/>
        <v>43.736220000000003</v>
      </c>
      <c r="AB97" s="23"/>
      <c r="AC97" s="4">
        <v>365</v>
      </c>
      <c r="AD97" s="32">
        <f t="shared" si="13"/>
        <v>115.7603</v>
      </c>
      <c r="AE97" s="32">
        <f t="shared" si="14"/>
        <v>126.64049999999999</v>
      </c>
      <c r="AF97" s="32">
        <f t="shared" si="15"/>
        <v>92.24</v>
      </c>
      <c r="AG97" s="32">
        <f t="shared" si="15"/>
        <v>228.3</v>
      </c>
      <c r="AH97" s="78"/>
      <c r="AI97" s="78"/>
      <c r="AJ97" s="55">
        <f t="shared" si="16"/>
        <v>562.94080000000008</v>
      </c>
      <c r="AK97" s="32"/>
      <c r="AL97" s="33"/>
      <c r="AM97" s="23"/>
    </row>
    <row r="98" spans="1:39" ht="30" x14ac:dyDescent="0.3">
      <c r="A98" s="64"/>
      <c r="B98" s="64"/>
      <c r="C98" s="5" t="s">
        <v>446</v>
      </c>
      <c r="D98" s="5" t="s">
        <v>120</v>
      </c>
      <c r="E98" s="7" t="s">
        <v>0</v>
      </c>
      <c r="F98" s="5"/>
      <c r="G98" s="23"/>
      <c r="H98" s="10">
        <v>684</v>
      </c>
      <c r="I98" s="10">
        <v>859</v>
      </c>
      <c r="J98" s="10">
        <v>1325</v>
      </c>
      <c r="K98" s="10">
        <v>1466</v>
      </c>
      <c r="L98" s="10">
        <v>1401</v>
      </c>
      <c r="M98" s="10">
        <v>775</v>
      </c>
      <c r="N98" s="9" cm="1">
        <f t="array" ref="N98">SUM((H98:L98)/5)</f>
        <v>1147</v>
      </c>
      <c r="O98" s="10">
        <v>1430</v>
      </c>
      <c r="P98" s="23"/>
      <c r="Q98" s="30">
        <v>49.325000000000003</v>
      </c>
      <c r="R98" s="30">
        <v>72.016000000000005</v>
      </c>
      <c r="S98" s="30">
        <v>0.441</v>
      </c>
      <c r="T98" s="30">
        <v>0.441</v>
      </c>
      <c r="U98" s="30">
        <f t="shared" si="10"/>
        <v>572</v>
      </c>
      <c r="V98" s="30">
        <f t="shared" si="11"/>
        <v>858</v>
      </c>
      <c r="W98" s="23"/>
      <c r="X98" s="30" t="s">
        <v>185</v>
      </c>
      <c r="Y98" s="30" t="s">
        <v>186</v>
      </c>
      <c r="Z98" s="53">
        <f>SUM(27.018191+25.05432)/2</f>
        <v>26.036255500000003</v>
      </c>
      <c r="AA98" s="54">
        <f t="shared" si="12"/>
        <v>42.959821575000007</v>
      </c>
      <c r="AB98" s="23"/>
      <c r="AC98" s="4">
        <v>365</v>
      </c>
      <c r="AD98" s="32">
        <f t="shared" si="13"/>
        <v>131.7893</v>
      </c>
      <c r="AE98" s="32">
        <f t="shared" si="14"/>
        <v>144.17600000000002</v>
      </c>
      <c r="AF98" s="32">
        <f t="shared" si="15"/>
        <v>148.93</v>
      </c>
      <c r="AG98" s="32">
        <f t="shared" si="15"/>
        <v>368.6</v>
      </c>
      <c r="AH98" s="78"/>
      <c r="AI98" s="78"/>
      <c r="AJ98" s="55">
        <f t="shared" si="16"/>
        <v>793.49530000000004</v>
      </c>
      <c r="AK98" s="32"/>
      <c r="AL98" s="33"/>
      <c r="AM98" s="23"/>
    </row>
    <row r="99" spans="1:39" ht="15.6" x14ac:dyDescent="0.3">
      <c r="A99" s="64"/>
      <c r="B99" s="64"/>
      <c r="C99" s="5" t="s">
        <v>586</v>
      </c>
      <c r="D99" s="5" t="s">
        <v>120</v>
      </c>
      <c r="E99" s="7" t="s">
        <v>0</v>
      </c>
      <c r="F99" s="5"/>
      <c r="G99" s="23"/>
      <c r="H99" s="10">
        <v>405</v>
      </c>
      <c r="I99" s="10">
        <v>289</v>
      </c>
      <c r="J99" s="10">
        <v>320</v>
      </c>
      <c r="K99" s="10">
        <v>301</v>
      </c>
      <c r="L99" s="10">
        <v>265</v>
      </c>
      <c r="M99" s="10">
        <v>118</v>
      </c>
      <c r="N99" s="9" cm="1">
        <f t="array" ref="N99">SUM((H99:L99)/5)</f>
        <v>316</v>
      </c>
      <c r="O99" s="10">
        <v>320</v>
      </c>
      <c r="P99" s="23"/>
      <c r="Q99" s="30">
        <v>49.308</v>
      </c>
      <c r="R99" s="30">
        <v>72.016000000000005</v>
      </c>
      <c r="S99" s="30">
        <v>0.441</v>
      </c>
      <c r="T99" s="30">
        <v>0.441</v>
      </c>
      <c r="U99" s="30">
        <f t="shared" si="10"/>
        <v>128</v>
      </c>
      <c r="V99" s="30">
        <f t="shared" si="11"/>
        <v>192</v>
      </c>
      <c r="W99" s="23"/>
      <c r="X99" s="30">
        <v>15.868</v>
      </c>
      <c r="Y99" s="30">
        <v>27.08371</v>
      </c>
      <c r="Z99" s="53">
        <v>27.08371</v>
      </c>
      <c r="AA99" s="54">
        <f t="shared" si="12"/>
        <v>44.688121500000001</v>
      </c>
      <c r="AB99" s="23"/>
      <c r="AC99" s="4">
        <v>365</v>
      </c>
      <c r="AD99" s="32">
        <f t="shared" si="13"/>
        <v>131.7893</v>
      </c>
      <c r="AE99" s="32">
        <f t="shared" si="14"/>
        <v>144.17600000000002</v>
      </c>
      <c r="AF99" s="32">
        <f t="shared" si="15"/>
        <v>34.67</v>
      </c>
      <c r="AG99" s="32">
        <f t="shared" si="15"/>
        <v>85.8</v>
      </c>
      <c r="AH99" s="78"/>
      <c r="AI99" s="78"/>
      <c r="AJ99" s="55">
        <f t="shared" si="16"/>
        <v>396.43530000000004</v>
      </c>
      <c r="AK99" s="32"/>
      <c r="AL99" s="33"/>
      <c r="AM99" s="23"/>
    </row>
    <row r="100" spans="1:39" ht="30" x14ac:dyDescent="0.3">
      <c r="A100" s="64"/>
      <c r="B100" s="64"/>
      <c r="C100" s="5" t="s">
        <v>447</v>
      </c>
      <c r="D100" s="5" t="s">
        <v>120</v>
      </c>
      <c r="E100" s="7" t="s">
        <v>0</v>
      </c>
      <c r="F100" s="5"/>
      <c r="G100" s="23"/>
      <c r="H100" s="10">
        <v>405</v>
      </c>
      <c r="I100" s="10">
        <v>219</v>
      </c>
      <c r="J100" s="10">
        <v>204</v>
      </c>
      <c r="K100" s="10">
        <v>1004</v>
      </c>
      <c r="L100" s="10">
        <v>1037</v>
      </c>
      <c r="M100" s="10">
        <v>505</v>
      </c>
      <c r="N100" s="9" cm="1">
        <f t="array" ref="N100">SUM((H100:L100)/5)</f>
        <v>573.79999999999995</v>
      </c>
      <c r="O100" s="10">
        <v>1000</v>
      </c>
      <c r="P100" s="23"/>
      <c r="Q100" s="30">
        <v>50.334000000000003</v>
      </c>
      <c r="R100" s="30">
        <v>63.256999999999998</v>
      </c>
      <c r="S100" s="30">
        <v>0.441</v>
      </c>
      <c r="T100" s="30">
        <v>0.441</v>
      </c>
      <c r="U100" s="30">
        <f t="shared" si="10"/>
        <v>400</v>
      </c>
      <c r="V100" s="30">
        <f t="shared" si="11"/>
        <v>600</v>
      </c>
      <c r="W100" s="23"/>
      <c r="X100" s="30" t="s">
        <v>187</v>
      </c>
      <c r="Y100" s="30" t="s">
        <v>188</v>
      </c>
      <c r="Z100" s="53">
        <f>SUM(26.71635+25.0773)/2</f>
        <v>25.896825</v>
      </c>
      <c r="AA100" s="54">
        <f t="shared" si="12"/>
        <v>42.729761249999996</v>
      </c>
      <c r="AB100" s="23"/>
      <c r="AC100" s="4">
        <v>365</v>
      </c>
      <c r="AD100" s="32">
        <f t="shared" si="13"/>
        <v>115.7603</v>
      </c>
      <c r="AE100" s="32">
        <f t="shared" si="14"/>
        <v>126.64049999999999</v>
      </c>
      <c r="AF100" s="32">
        <f t="shared" si="15"/>
        <v>103.59</v>
      </c>
      <c r="AG100" s="32">
        <f t="shared" si="15"/>
        <v>256.38</v>
      </c>
      <c r="AH100" s="78"/>
      <c r="AI100" s="78"/>
      <c r="AJ100" s="55">
        <f t="shared" si="16"/>
        <v>602.37080000000003</v>
      </c>
      <c r="AK100" s="32"/>
      <c r="AL100" s="33"/>
      <c r="AM100" s="23"/>
    </row>
    <row r="101" spans="1:39" ht="30" x14ac:dyDescent="0.3">
      <c r="A101" s="64"/>
      <c r="B101" s="64"/>
      <c r="C101" s="5" t="s">
        <v>447</v>
      </c>
      <c r="D101" s="5" t="s">
        <v>120</v>
      </c>
      <c r="E101" s="7" t="s">
        <v>0</v>
      </c>
      <c r="F101" s="5"/>
      <c r="G101" s="23"/>
      <c r="H101" s="10">
        <v>586</v>
      </c>
      <c r="I101" s="10">
        <v>572</v>
      </c>
      <c r="J101" s="10">
        <v>699</v>
      </c>
      <c r="K101" s="10">
        <v>920</v>
      </c>
      <c r="L101" s="10">
        <v>867</v>
      </c>
      <c r="M101" s="10">
        <v>543</v>
      </c>
      <c r="N101" s="9" cm="1">
        <f t="array" ref="N101">SUM((H101:L101)/5)</f>
        <v>728.80000000000007</v>
      </c>
      <c r="O101" s="10">
        <v>900</v>
      </c>
      <c r="P101" s="23"/>
      <c r="Q101" s="30">
        <v>50.334000000000003</v>
      </c>
      <c r="R101" s="30">
        <v>63.256999999999998</v>
      </c>
      <c r="S101" s="30">
        <v>0.441</v>
      </c>
      <c r="T101" s="30">
        <v>0.441</v>
      </c>
      <c r="U101" s="30">
        <f t="shared" si="10"/>
        <v>360</v>
      </c>
      <c r="V101" s="30">
        <f t="shared" si="11"/>
        <v>540</v>
      </c>
      <c r="W101" s="23"/>
      <c r="X101" s="30" t="s">
        <v>187</v>
      </c>
      <c r="Y101" s="30" t="s">
        <v>189</v>
      </c>
      <c r="Z101" s="53">
        <f>SUM(26.71642+25.07805)/2</f>
        <v>25.897235000000002</v>
      </c>
      <c r="AA101" s="54">
        <f t="shared" si="12"/>
        <v>42.730437750000007</v>
      </c>
      <c r="AB101" s="23"/>
      <c r="AC101" s="4">
        <v>365</v>
      </c>
      <c r="AD101" s="32">
        <f t="shared" si="13"/>
        <v>115.7603</v>
      </c>
      <c r="AE101" s="32">
        <f t="shared" si="14"/>
        <v>126.64049999999999</v>
      </c>
      <c r="AF101" s="32">
        <f t="shared" si="15"/>
        <v>93.23</v>
      </c>
      <c r="AG101" s="32">
        <f t="shared" si="15"/>
        <v>230.74</v>
      </c>
      <c r="AH101" s="78"/>
      <c r="AI101" s="78"/>
      <c r="AJ101" s="55">
        <f t="shared" si="16"/>
        <v>566.37080000000003</v>
      </c>
      <c r="AK101" s="32"/>
      <c r="AL101" s="33"/>
      <c r="AM101" s="23"/>
    </row>
    <row r="102" spans="1:39" ht="15.6" x14ac:dyDescent="0.3">
      <c r="A102" s="64"/>
      <c r="B102" s="64"/>
      <c r="C102" s="5" t="s">
        <v>587</v>
      </c>
      <c r="D102" s="5" t="s">
        <v>120</v>
      </c>
      <c r="E102" s="7" t="s">
        <v>0</v>
      </c>
      <c r="F102" s="5"/>
      <c r="G102" s="23"/>
      <c r="H102" s="10">
        <v>547</v>
      </c>
      <c r="I102" s="10">
        <v>452</v>
      </c>
      <c r="J102" s="10">
        <v>423</v>
      </c>
      <c r="K102" s="10">
        <v>257</v>
      </c>
      <c r="L102" s="10">
        <v>268</v>
      </c>
      <c r="M102" s="10">
        <v>115</v>
      </c>
      <c r="N102" s="9" cm="1">
        <f t="array" ref="N102">SUM((H102:L102)/5)</f>
        <v>389.4</v>
      </c>
      <c r="O102" s="10">
        <v>300</v>
      </c>
      <c r="P102" s="23"/>
      <c r="Q102" s="30">
        <v>49.308</v>
      </c>
      <c r="R102" s="30">
        <v>72.016000000000005</v>
      </c>
      <c r="S102" s="30">
        <v>0.441</v>
      </c>
      <c r="T102" s="30">
        <v>0.441</v>
      </c>
      <c r="U102" s="30">
        <f t="shared" si="10"/>
        <v>120</v>
      </c>
      <c r="V102" s="30">
        <f t="shared" si="11"/>
        <v>180</v>
      </c>
      <c r="W102" s="23"/>
      <c r="X102" s="30">
        <v>15.868</v>
      </c>
      <c r="Y102" s="30">
        <v>27.084579999999999</v>
      </c>
      <c r="Z102" s="53">
        <v>27.084579999999999</v>
      </c>
      <c r="AA102" s="54">
        <f t="shared" si="12"/>
        <v>44.689557000000001</v>
      </c>
      <c r="AB102" s="23"/>
      <c r="AC102" s="4">
        <v>365</v>
      </c>
      <c r="AD102" s="32">
        <f t="shared" si="13"/>
        <v>131.7893</v>
      </c>
      <c r="AE102" s="32">
        <f t="shared" si="14"/>
        <v>144.17600000000002</v>
      </c>
      <c r="AF102" s="32">
        <f t="shared" si="15"/>
        <v>32.5</v>
      </c>
      <c r="AG102" s="32">
        <f t="shared" si="15"/>
        <v>80.44</v>
      </c>
      <c r="AH102" s="78"/>
      <c r="AI102" s="78"/>
      <c r="AJ102" s="55">
        <f t="shared" si="16"/>
        <v>388.90530000000001</v>
      </c>
      <c r="AK102" s="32"/>
      <c r="AL102" s="33"/>
      <c r="AM102" s="23"/>
    </row>
    <row r="103" spans="1:39" ht="15.6" x14ac:dyDescent="0.3">
      <c r="A103" s="64"/>
      <c r="B103" s="64"/>
      <c r="C103" s="5" t="s">
        <v>588</v>
      </c>
      <c r="D103" s="5" t="s">
        <v>120</v>
      </c>
      <c r="E103" s="7" t="s">
        <v>0</v>
      </c>
      <c r="F103" s="5"/>
      <c r="G103" s="23"/>
      <c r="H103" s="10">
        <v>183</v>
      </c>
      <c r="I103" s="10">
        <v>202</v>
      </c>
      <c r="J103" s="10">
        <v>162</v>
      </c>
      <c r="K103" s="10">
        <v>117</v>
      </c>
      <c r="L103" s="10">
        <v>84</v>
      </c>
      <c r="M103" s="10">
        <v>8</v>
      </c>
      <c r="N103" s="9" cm="1">
        <f t="array" ref="N103">SUM((H103:L103)/5)</f>
        <v>149.60000000000002</v>
      </c>
      <c r="O103" s="10">
        <v>150</v>
      </c>
      <c r="P103" s="23"/>
      <c r="Q103" s="30">
        <v>49.828000000000003</v>
      </c>
      <c r="R103" s="30">
        <v>63.256999999999998</v>
      </c>
      <c r="S103" s="30">
        <v>0.441</v>
      </c>
      <c r="T103" s="30">
        <v>0.441</v>
      </c>
      <c r="U103" s="30">
        <f t="shared" si="10"/>
        <v>60</v>
      </c>
      <c r="V103" s="30">
        <f t="shared" si="11"/>
        <v>90</v>
      </c>
      <c r="W103" s="23"/>
      <c r="X103" s="30">
        <v>15.061999999999999</v>
      </c>
      <c r="Y103" s="30">
        <v>26.50967</v>
      </c>
      <c r="Z103" s="53">
        <v>26.50967</v>
      </c>
      <c r="AA103" s="54">
        <f t="shared" si="12"/>
        <v>43.740955499999998</v>
      </c>
      <c r="AB103" s="23"/>
      <c r="AC103" s="4">
        <v>365</v>
      </c>
      <c r="AD103" s="32">
        <f t="shared" si="13"/>
        <v>115.7603</v>
      </c>
      <c r="AE103" s="32">
        <f t="shared" si="14"/>
        <v>126.64049999999999</v>
      </c>
      <c r="AF103" s="32">
        <f t="shared" si="15"/>
        <v>15.91</v>
      </c>
      <c r="AG103" s="32">
        <f t="shared" si="15"/>
        <v>39.369999999999997</v>
      </c>
      <c r="AH103" s="78"/>
      <c r="AI103" s="78"/>
      <c r="AJ103" s="55">
        <f t="shared" si="16"/>
        <v>297.68080000000003</v>
      </c>
      <c r="AK103" s="32"/>
      <c r="AL103" s="33"/>
      <c r="AM103" s="23"/>
    </row>
    <row r="104" spans="1:39" ht="30" x14ac:dyDescent="0.3">
      <c r="A104" s="64"/>
      <c r="B104" s="64"/>
      <c r="C104" s="5" t="s">
        <v>589</v>
      </c>
      <c r="D104" s="5" t="s">
        <v>120</v>
      </c>
      <c r="E104" s="7" t="s">
        <v>0</v>
      </c>
      <c r="F104" s="5"/>
      <c r="G104" s="23"/>
      <c r="H104" s="10">
        <v>439</v>
      </c>
      <c r="I104" s="10">
        <v>1052</v>
      </c>
      <c r="J104" s="10">
        <v>1013</v>
      </c>
      <c r="K104" s="10">
        <v>1153</v>
      </c>
      <c r="L104" s="10">
        <v>561</v>
      </c>
      <c r="M104" s="10">
        <v>0</v>
      </c>
      <c r="N104" s="9" cm="1">
        <f t="array" ref="N104">SUM((H104:L104)/5)</f>
        <v>843.6</v>
      </c>
      <c r="O104" s="10">
        <v>845</v>
      </c>
      <c r="P104" s="23"/>
      <c r="Q104" s="30">
        <v>50.334000000000003</v>
      </c>
      <c r="R104" s="30">
        <v>63.256999999999998</v>
      </c>
      <c r="S104" s="30">
        <v>0.441</v>
      </c>
      <c r="T104" s="30">
        <v>0.441</v>
      </c>
      <c r="U104" s="30">
        <f t="shared" si="10"/>
        <v>338</v>
      </c>
      <c r="V104" s="30">
        <f t="shared" si="11"/>
        <v>507</v>
      </c>
      <c r="W104" s="23"/>
      <c r="X104" s="30" t="s">
        <v>190</v>
      </c>
      <c r="Y104" s="30" t="s">
        <v>191</v>
      </c>
      <c r="Z104" s="53">
        <f>SUM(26.76557+25.28439)/2</f>
        <v>26.024979999999999</v>
      </c>
      <c r="AA104" s="54">
        <f t="shared" si="12"/>
        <v>42.941216999999995</v>
      </c>
      <c r="AB104" s="23"/>
      <c r="AC104" s="4">
        <v>365</v>
      </c>
      <c r="AD104" s="32">
        <f t="shared" si="13"/>
        <v>115.7603</v>
      </c>
      <c r="AE104" s="32">
        <f t="shared" si="14"/>
        <v>126.64049999999999</v>
      </c>
      <c r="AF104" s="32">
        <f t="shared" si="15"/>
        <v>87.96</v>
      </c>
      <c r="AG104" s="32">
        <f t="shared" si="15"/>
        <v>217.71</v>
      </c>
      <c r="AH104" s="78"/>
      <c r="AI104" s="78"/>
      <c r="AJ104" s="55">
        <f t="shared" si="16"/>
        <v>548.07079999999996</v>
      </c>
      <c r="AK104" s="32"/>
      <c r="AL104" s="33"/>
      <c r="AM104" s="23"/>
    </row>
    <row r="105" spans="1:39" ht="30" x14ac:dyDescent="0.3">
      <c r="A105" s="64"/>
      <c r="B105" s="64"/>
      <c r="C105" s="5" t="s">
        <v>589</v>
      </c>
      <c r="D105" s="5" t="s">
        <v>120</v>
      </c>
      <c r="E105" s="7" t="s">
        <v>0</v>
      </c>
      <c r="F105" s="5"/>
      <c r="G105" s="23"/>
      <c r="H105" s="10">
        <v>701</v>
      </c>
      <c r="I105" s="10">
        <v>967</v>
      </c>
      <c r="J105" s="10">
        <v>1031</v>
      </c>
      <c r="K105" s="10">
        <v>1123</v>
      </c>
      <c r="L105" s="10">
        <v>1278</v>
      </c>
      <c r="M105" s="10">
        <v>845</v>
      </c>
      <c r="N105" s="9" cm="1">
        <f t="array" ref="N105">SUM((H105:L105)/5)</f>
        <v>1020</v>
      </c>
      <c r="O105" s="10">
        <v>1150</v>
      </c>
      <c r="P105" s="23"/>
      <c r="Q105" s="30">
        <v>50.334000000000003</v>
      </c>
      <c r="R105" s="30">
        <v>63.256999999999998</v>
      </c>
      <c r="S105" s="30">
        <v>0.441</v>
      </c>
      <c r="T105" s="30">
        <v>0.441</v>
      </c>
      <c r="U105" s="30">
        <f t="shared" si="10"/>
        <v>460</v>
      </c>
      <c r="V105" s="30">
        <f t="shared" si="11"/>
        <v>690</v>
      </c>
      <c r="W105" s="23"/>
      <c r="X105" s="30" t="s">
        <v>133</v>
      </c>
      <c r="Y105" s="30" t="s">
        <v>192</v>
      </c>
      <c r="Z105" s="53">
        <f>SUM(26.71965+25.23863)/2</f>
        <v>25.979140000000001</v>
      </c>
      <c r="AA105" s="54">
        <f t="shared" si="12"/>
        <v>42.865581000000006</v>
      </c>
      <c r="AB105" s="23"/>
      <c r="AC105" s="4">
        <v>365</v>
      </c>
      <c r="AD105" s="32">
        <f t="shared" si="13"/>
        <v>115.7603</v>
      </c>
      <c r="AE105" s="32">
        <f t="shared" si="14"/>
        <v>126.64049999999999</v>
      </c>
      <c r="AF105" s="32">
        <f t="shared" si="15"/>
        <v>119.5</v>
      </c>
      <c r="AG105" s="32">
        <f t="shared" si="15"/>
        <v>295.77</v>
      </c>
      <c r="AH105" s="78"/>
      <c r="AI105" s="78"/>
      <c r="AJ105" s="55">
        <f t="shared" si="16"/>
        <v>657.67079999999999</v>
      </c>
      <c r="AK105" s="32"/>
      <c r="AL105" s="33"/>
      <c r="AM105" s="23"/>
    </row>
    <row r="106" spans="1:39" ht="30" x14ac:dyDescent="0.3">
      <c r="A106" s="64"/>
      <c r="B106" s="64"/>
      <c r="C106" s="5" t="s">
        <v>589</v>
      </c>
      <c r="D106" s="5" t="s">
        <v>120</v>
      </c>
      <c r="E106" s="7" t="s">
        <v>0</v>
      </c>
      <c r="F106" s="5"/>
      <c r="G106" s="23"/>
      <c r="H106" s="10">
        <v>644</v>
      </c>
      <c r="I106" s="10">
        <v>715</v>
      </c>
      <c r="J106" s="10">
        <v>982</v>
      </c>
      <c r="K106" s="10">
        <v>875</v>
      </c>
      <c r="L106" s="10">
        <v>781</v>
      </c>
      <c r="M106" s="10">
        <v>322</v>
      </c>
      <c r="N106" s="9" cm="1">
        <f t="array" ref="N106">SUM((H106:L106)/5)</f>
        <v>799.40000000000009</v>
      </c>
      <c r="O106" s="10">
        <v>800</v>
      </c>
      <c r="P106" s="23"/>
      <c r="Q106" s="30">
        <v>50.334000000000003</v>
      </c>
      <c r="R106" s="30">
        <v>63.256999999999998</v>
      </c>
      <c r="S106" s="30">
        <v>0.441</v>
      </c>
      <c r="T106" s="30">
        <v>0.441</v>
      </c>
      <c r="U106" s="30">
        <f t="shared" si="10"/>
        <v>320</v>
      </c>
      <c r="V106" s="30">
        <f t="shared" si="11"/>
        <v>480</v>
      </c>
      <c r="W106" s="23"/>
      <c r="X106" s="30" t="s">
        <v>167</v>
      </c>
      <c r="Y106" s="30" t="s">
        <v>193</v>
      </c>
      <c r="Z106" s="53">
        <f>SUM(26.71064+25.07988)/2</f>
        <v>25.89526</v>
      </c>
      <c r="AA106" s="54">
        <f t="shared" si="12"/>
        <v>42.727179</v>
      </c>
      <c r="AB106" s="23"/>
      <c r="AC106" s="4">
        <v>365</v>
      </c>
      <c r="AD106" s="32">
        <f t="shared" si="13"/>
        <v>115.7603</v>
      </c>
      <c r="AE106" s="32">
        <f t="shared" si="14"/>
        <v>126.64049999999999</v>
      </c>
      <c r="AF106" s="32">
        <f t="shared" si="15"/>
        <v>82.86</v>
      </c>
      <c r="AG106" s="32">
        <f t="shared" si="15"/>
        <v>205.09</v>
      </c>
      <c r="AH106" s="78"/>
      <c r="AI106" s="78"/>
      <c r="AJ106" s="55">
        <f t="shared" si="16"/>
        <v>530.35080000000005</v>
      </c>
      <c r="AK106" s="32"/>
      <c r="AL106" s="33"/>
      <c r="AM106" s="23"/>
    </row>
    <row r="107" spans="1:39" ht="30" x14ac:dyDescent="0.3">
      <c r="A107" s="64"/>
      <c r="B107" s="64"/>
      <c r="C107" s="5" t="s">
        <v>590</v>
      </c>
      <c r="D107" s="5" t="s">
        <v>120</v>
      </c>
      <c r="E107" s="7" t="s">
        <v>0</v>
      </c>
      <c r="F107" s="5"/>
      <c r="G107" s="23"/>
      <c r="H107" s="10">
        <v>710</v>
      </c>
      <c r="I107" s="10">
        <v>732</v>
      </c>
      <c r="J107" s="10">
        <v>1015</v>
      </c>
      <c r="K107" s="10">
        <v>1328</v>
      </c>
      <c r="L107" s="10">
        <v>1288</v>
      </c>
      <c r="M107" s="10">
        <v>647</v>
      </c>
      <c r="N107" s="9" cm="1">
        <f t="array" ref="N107">SUM((H107:L107)/5)</f>
        <v>1014.6</v>
      </c>
      <c r="O107" s="10">
        <v>1290</v>
      </c>
      <c r="P107" s="23"/>
      <c r="Q107" s="30">
        <v>50.334000000000003</v>
      </c>
      <c r="R107" s="30">
        <v>63.256999999999998</v>
      </c>
      <c r="S107" s="30">
        <v>0.441</v>
      </c>
      <c r="T107" s="30">
        <v>0.441</v>
      </c>
      <c r="U107" s="30">
        <f t="shared" si="10"/>
        <v>516</v>
      </c>
      <c r="V107" s="30">
        <f t="shared" si="11"/>
        <v>774</v>
      </c>
      <c r="W107" s="23"/>
      <c r="X107" s="30" t="s">
        <v>167</v>
      </c>
      <c r="Y107" s="30" t="s">
        <v>194</v>
      </c>
      <c r="Z107" s="53">
        <f>SUM(26.73487+25.10423)/2</f>
        <v>25.919550000000001</v>
      </c>
      <c r="AA107" s="54">
        <f t="shared" si="12"/>
        <v>42.767257499999999</v>
      </c>
      <c r="AB107" s="23"/>
      <c r="AC107" s="4">
        <v>365</v>
      </c>
      <c r="AD107" s="32">
        <f t="shared" si="13"/>
        <v>115.7603</v>
      </c>
      <c r="AE107" s="32">
        <f t="shared" si="14"/>
        <v>126.64049999999999</v>
      </c>
      <c r="AF107" s="32">
        <f t="shared" si="15"/>
        <v>133.74</v>
      </c>
      <c r="AG107" s="32">
        <f t="shared" si="15"/>
        <v>331.02</v>
      </c>
      <c r="AH107" s="78"/>
      <c r="AI107" s="78"/>
      <c r="AJ107" s="55">
        <f t="shared" si="16"/>
        <v>707.16079999999999</v>
      </c>
      <c r="AK107" s="32"/>
      <c r="AL107" s="33"/>
      <c r="AM107" s="23"/>
    </row>
    <row r="108" spans="1:39" ht="15.6" x14ac:dyDescent="0.3">
      <c r="A108" s="64"/>
      <c r="B108" s="64"/>
      <c r="C108" s="5" t="s">
        <v>590</v>
      </c>
      <c r="D108" s="5" t="s">
        <v>120</v>
      </c>
      <c r="E108" s="7" t="s">
        <v>0</v>
      </c>
      <c r="F108" s="5"/>
      <c r="G108" s="23"/>
      <c r="H108" s="10">
        <v>690</v>
      </c>
      <c r="I108" s="10">
        <v>791</v>
      </c>
      <c r="J108" s="10">
        <v>1106</v>
      </c>
      <c r="K108" s="10">
        <v>982</v>
      </c>
      <c r="L108" s="10">
        <v>855</v>
      </c>
      <c r="M108" s="10">
        <v>348</v>
      </c>
      <c r="N108" s="9" cm="1">
        <f t="array" ref="N108">SUM((H108:L108)/5)</f>
        <v>884.8</v>
      </c>
      <c r="O108" s="10">
        <v>930</v>
      </c>
      <c r="P108" s="23"/>
      <c r="Q108" s="30">
        <v>49.828000000000003</v>
      </c>
      <c r="R108" s="30">
        <v>63.256999999999998</v>
      </c>
      <c r="S108" s="30">
        <v>0.441</v>
      </c>
      <c r="T108" s="30">
        <v>0.441</v>
      </c>
      <c r="U108" s="30">
        <f t="shared" si="10"/>
        <v>372</v>
      </c>
      <c r="V108" s="30">
        <f t="shared" si="11"/>
        <v>558</v>
      </c>
      <c r="W108" s="23"/>
      <c r="X108" s="30">
        <v>15.061999999999999</v>
      </c>
      <c r="Y108" s="30">
        <v>26.505669999999999</v>
      </c>
      <c r="Z108" s="53">
        <v>26.505669999999999</v>
      </c>
      <c r="AA108" s="54">
        <f t="shared" si="12"/>
        <v>43.734355499999999</v>
      </c>
      <c r="AB108" s="23"/>
      <c r="AC108" s="4">
        <v>365</v>
      </c>
      <c r="AD108" s="32">
        <f t="shared" si="13"/>
        <v>115.7603</v>
      </c>
      <c r="AE108" s="32">
        <f t="shared" si="14"/>
        <v>126.64049999999999</v>
      </c>
      <c r="AF108" s="32">
        <f t="shared" si="15"/>
        <v>98.6</v>
      </c>
      <c r="AG108" s="32">
        <f t="shared" si="15"/>
        <v>244.04</v>
      </c>
      <c r="AH108" s="78"/>
      <c r="AI108" s="78"/>
      <c r="AJ108" s="55">
        <f t="shared" si="16"/>
        <v>585.04079999999999</v>
      </c>
      <c r="AK108" s="32"/>
      <c r="AL108" s="33"/>
      <c r="AM108" s="23"/>
    </row>
    <row r="109" spans="1:39" ht="30" x14ac:dyDescent="0.3">
      <c r="A109" s="64"/>
      <c r="B109" s="64"/>
      <c r="C109" s="5" t="s">
        <v>591</v>
      </c>
      <c r="D109" s="5" t="s">
        <v>120</v>
      </c>
      <c r="E109" s="7" t="s">
        <v>0</v>
      </c>
      <c r="F109" s="5"/>
      <c r="G109" s="23"/>
      <c r="H109" s="10">
        <v>660</v>
      </c>
      <c r="I109" s="10">
        <v>705</v>
      </c>
      <c r="J109" s="10">
        <v>1182</v>
      </c>
      <c r="K109" s="10">
        <v>1290</v>
      </c>
      <c r="L109" s="10">
        <v>1274</v>
      </c>
      <c r="M109" s="10">
        <v>637</v>
      </c>
      <c r="N109" s="9" cm="1">
        <f t="array" ref="N109">SUM((H109:L109)/5)</f>
        <v>1022.2</v>
      </c>
      <c r="O109" s="10">
        <v>1250</v>
      </c>
      <c r="P109" s="23"/>
      <c r="Q109" s="30">
        <v>50.334000000000003</v>
      </c>
      <c r="R109" s="30">
        <v>63.256999999999998</v>
      </c>
      <c r="S109" s="30">
        <v>0.441</v>
      </c>
      <c r="T109" s="30">
        <v>0.441</v>
      </c>
      <c r="U109" s="30">
        <f t="shared" si="10"/>
        <v>500</v>
      </c>
      <c r="V109" s="30">
        <f t="shared" si="11"/>
        <v>750</v>
      </c>
      <c r="W109" s="23"/>
      <c r="X109" s="30" t="s">
        <v>167</v>
      </c>
      <c r="Y109" s="30" t="s">
        <v>195</v>
      </c>
      <c r="Z109" s="53">
        <f>SUM(26.73389+25.10319)/2</f>
        <v>25.91854</v>
      </c>
      <c r="AA109" s="54">
        <f t="shared" si="12"/>
        <v>42.765591000000001</v>
      </c>
      <c r="AB109" s="23"/>
      <c r="AC109" s="4">
        <v>365</v>
      </c>
      <c r="AD109" s="32">
        <f t="shared" si="13"/>
        <v>115.7603</v>
      </c>
      <c r="AE109" s="32">
        <f t="shared" si="14"/>
        <v>126.64049999999999</v>
      </c>
      <c r="AF109" s="32">
        <f t="shared" si="15"/>
        <v>129.59</v>
      </c>
      <c r="AG109" s="32">
        <f t="shared" si="15"/>
        <v>320.74</v>
      </c>
      <c r="AH109" s="78"/>
      <c r="AI109" s="78"/>
      <c r="AJ109" s="55">
        <f t="shared" si="16"/>
        <v>692.73080000000004</v>
      </c>
      <c r="AK109" s="32"/>
      <c r="AL109" s="33"/>
      <c r="AM109" s="23"/>
    </row>
    <row r="110" spans="1:39" ht="30" x14ac:dyDescent="0.3">
      <c r="A110" s="64"/>
      <c r="B110" s="64"/>
      <c r="C110" s="5" t="s">
        <v>592</v>
      </c>
      <c r="D110" s="5" t="s">
        <v>120</v>
      </c>
      <c r="E110" s="7" t="s">
        <v>0</v>
      </c>
      <c r="F110" s="5"/>
      <c r="G110" s="23"/>
      <c r="H110" s="10">
        <v>736</v>
      </c>
      <c r="I110" s="10">
        <v>881</v>
      </c>
      <c r="J110" s="10">
        <v>1131</v>
      </c>
      <c r="K110" s="10">
        <v>1053</v>
      </c>
      <c r="L110" s="10">
        <v>1162</v>
      </c>
      <c r="M110" s="10">
        <v>572</v>
      </c>
      <c r="N110" s="9" cm="1">
        <f t="array" ref="N110">SUM((H110:L110)/5)</f>
        <v>992.59999999999991</v>
      </c>
      <c r="O110" s="10">
        <v>1100</v>
      </c>
      <c r="P110" s="23"/>
      <c r="Q110" s="30">
        <v>50.334000000000003</v>
      </c>
      <c r="R110" s="30">
        <v>63.256999999999998</v>
      </c>
      <c r="S110" s="30">
        <v>0.441</v>
      </c>
      <c r="T110" s="30">
        <v>0.441</v>
      </c>
      <c r="U110" s="30">
        <f t="shared" si="10"/>
        <v>440</v>
      </c>
      <c r="V110" s="30">
        <f t="shared" si="11"/>
        <v>660</v>
      </c>
      <c r="W110" s="23"/>
      <c r="X110" s="30" t="s">
        <v>190</v>
      </c>
      <c r="Y110" s="30" t="s">
        <v>196</v>
      </c>
      <c r="Z110" s="53">
        <f>SUM(26.70339+25.07233)/2</f>
        <v>25.88786</v>
      </c>
      <c r="AA110" s="54">
        <f t="shared" si="12"/>
        <v>42.714968999999996</v>
      </c>
      <c r="AB110" s="23"/>
      <c r="AC110" s="4">
        <v>365</v>
      </c>
      <c r="AD110" s="32">
        <f t="shared" si="13"/>
        <v>115.7603</v>
      </c>
      <c r="AE110" s="32">
        <f t="shared" si="14"/>
        <v>126.64049999999999</v>
      </c>
      <c r="AF110" s="32">
        <f t="shared" si="15"/>
        <v>113.91</v>
      </c>
      <c r="AG110" s="32">
        <f t="shared" si="15"/>
        <v>281.92</v>
      </c>
      <c r="AH110" s="78"/>
      <c r="AI110" s="78"/>
      <c r="AJ110" s="55">
        <f t="shared" si="16"/>
        <v>638.23080000000004</v>
      </c>
      <c r="AK110" s="32"/>
      <c r="AL110" s="33"/>
      <c r="AM110" s="23"/>
    </row>
    <row r="111" spans="1:39" ht="30" x14ac:dyDescent="0.3">
      <c r="A111" s="64"/>
      <c r="B111" s="64"/>
      <c r="C111" s="5" t="s">
        <v>448</v>
      </c>
      <c r="D111" s="5" t="s">
        <v>120</v>
      </c>
      <c r="E111" s="7" t="s">
        <v>0</v>
      </c>
      <c r="F111" s="5"/>
      <c r="G111" s="23"/>
      <c r="H111" s="10">
        <v>0</v>
      </c>
      <c r="I111" s="10">
        <v>0</v>
      </c>
      <c r="J111" s="10">
        <v>114</v>
      </c>
      <c r="K111" s="10">
        <v>387</v>
      </c>
      <c r="L111" s="10">
        <v>384</v>
      </c>
      <c r="M111" s="10">
        <v>19</v>
      </c>
      <c r="N111" s="9" cm="1">
        <f t="array" ref="N111">SUM((H111:L111)/5)</f>
        <v>177</v>
      </c>
      <c r="O111" s="10">
        <v>385</v>
      </c>
      <c r="P111" s="23"/>
      <c r="Q111" s="30">
        <v>50.334000000000003</v>
      </c>
      <c r="R111" s="30">
        <v>63.256999999999998</v>
      </c>
      <c r="S111" s="30">
        <v>0.441</v>
      </c>
      <c r="T111" s="30">
        <v>0.441</v>
      </c>
      <c r="U111" s="30">
        <f t="shared" si="10"/>
        <v>154</v>
      </c>
      <c r="V111" s="30">
        <f t="shared" si="11"/>
        <v>231</v>
      </c>
      <c r="W111" s="23"/>
      <c r="X111" s="30" t="s">
        <v>133</v>
      </c>
      <c r="Y111" s="30" t="s">
        <v>197</v>
      </c>
      <c r="Z111" s="53">
        <f>SUM(26.64352+25.1622)/2</f>
        <v>25.902859999999997</v>
      </c>
      <c r="AA111" s="54">
        <f t="shared" si="12"/>
        <v>42.739718999999994</v>
      </c>
      <c r="AB111" s="23"/>
      <c r="AC111" s="4">
        <v>365</v>
      </c>
      <c r="AD111" s="32">
        <f t="shared" si="13"/>
        <v>115.7603</v>
      </c>
      <c r="AE111" s="32">
        <f t="shared" si="14"/>
        <v>126.64049999999999</v>
      </c>
      <c r="AF111" s="32">
        <f t="shared" si="15"/>
        <v>39.89</v>
      </c>
      <c r="AG111" s="32">
        <f t="shared" si="15"/>
        <v>98.73</v>
      </c>
      <c r="AH111" s="78"/>
      <c r="AI111" s="78"/>
      <c r="AJ111" s="55">
        <f t="shared" si="16"/>
        <v>381.02080000000001</v>
      </c>
      <c r="AK111" s="32"/>
      <c r="AL111" s="33"/>
      <c r="AM111" s="23"/>
    </row>
    <row r="112" spans="1:39" ht="30" x14ac:dyDescent="0.3">
      <c r="A112" s="64"/>
      <c r="B112" s="64"/>
      <c r="C112" s="5" t="s">
        <v>449</v>
      </c>
      <c r="D112" s="5" t="s">
        <v>120</v>
      </c>
      <c r="E112" s="7" t="s">
        <v>0</v>
      </c>
      <c r="F112" s="5"/>
      <c r="G112" s="23"/>
      <c r="H112" s="10">
        <v>2061</v>
      </c>
      <c r="I112" s="10">
        <v>2332</v>
      </c>
      <c r="J112" s="10">
        <v>2950</v>
      </c>
      <c r="K112" s="10">
        <v>2950</v>
      </c>
      <c r="L112" s="10">
        <v>2834</v>
      </c>
      <c r="M112" s="10">
        <v>966</v>
      </c>
      <c r="N112" s="9" cm="1">
        <f t="array" ref="N112">SUM((H112:L112)/5)</f>
        <v>2625.3999999999996</v>
      </c>
      <c r="O112" s="10">
        <v>2900</v>
      </c>
      <c r="P112" s="23"/>
      <c r="Q112" s="30">
        <v>50.334000000000003</v>
      </c>
      <c r="R112" s="30">
        <v>63.256999999999998</v>
      </c>
      <c r="S112" s="30">
        <v>0.441</v>
      </c>
      <c r="T112" s="30">
        <v>0.441</v>
      </c>
      <c r="U112" s="30">
        <f t="shared" si="10"/>
        <v>1160</v>
      </c>
      <c r="V112" s="30">
        <f t="shared" si="11"/>
        <v>1740</v>
      </c>
      <c r="W112" s="23"/>
      <c r="X112" s="30" t="s">
        <v>167</v>
      </c>
      <c r="Y112" s="30" t="s">
        <v>198</v>
      </c>
      <c r="Z112" s="53">
        <f>SUM(26.72725+25.0963)/2</f>
        <v>25.911774999999999</v>
      </c>
      <c r="AA112" s="54">
        <f t="shared" si="12"/>
        <v>42.754428750000002</v>
      </c>
      <c r="AB112" s="23"/>
      <c r="AC112" s="4">
        <v>365</v>
      </c>
      <c r="AD112" s="32">
        <f t="shared" si="13"/>
        <v>115.7603</v>
      </c>
      <c r="AE112" s="32">
        <f t="shared" si="14"/>
        <v>126.64049999999999</v>
      </c>
      <c r="AF112" s="32">
        <f t="shared" si="15"/>
        <v>300.58</v>
      </c>
      <c r="AG112" s="32">
        <f t="shared" si="15"/>
        <v>743.93</v>
      </c>
      <c r="AH112" s="78"/>
      <c r="AI112" s="78"/>
      <c r="AJ112" s="55">
        <f t="shared" si="16"/>
        <v>1286.9108000000001</v>
      </c>
      <c r="AK112" s="32"/>
      <c r="AL112" s="33"/>
      <c r="AM112" s="23"/>
    </row>
    <row r="113" spans="1:39" ht="45" x14ac:dyDescent="0.3">
      <c r="A113" s="64"/>
      <c r="B113" s="64"/>
      <c r="C113" s="5" t="s">
        <v>593</v>
      </c>
      <c r="D113" s="5" t="s">
        <v>120</v>
      </c>
      <c r="E113" s="7" t="s">
        <v>0</v>
      </c>
      <c r="F113" s="5"/>
      <c r="G113" s="23"/>
      <c r="H113" s="10">
        <v>1821</v>
      </c>
      <c r="I113" s="10">
        <v>1163</v>
      </c>
      <c r="J113" s="10">
        <v>1029</v>
      </c>
      <c r="K113" s="10">
        <v>1229</v>
      </c>
      <c r="L113" s="10">
        <v>1113</v>
      </c>
      <c r="M113" s="10">
        <v>583</v>
      </c>
      <c r="N113" s="9" cm="1">
        <f t="array" ref="N113">SUM((H113:L113)/5)</f>
        <v>1270.9999999999998</v>
      </c>
      <c r="O113" s="10">
        <v>1260</v>
      </c>
      <c r="P113" s="23"/>
      <c r="Q113" s="30">
        <v>50.334000000000003</v>
      </c>
      <c r="R113" s="30">
        <v>63.256999999999998</v>
      </c>
      <c r="S113" s="30">
        <v>0.441</v>
      </c>
      <c r="T113" s="30">
        <v>0.441</v>
      </c>
      <c r="U113" s="30">
        <f t="shared" si="10"/>
        <v>504</v>
      </c>
      <c r="V113" s="30">
        <f t="shared" si="11"/>
        <v>756</v>
      </c>
      <c r="W113" s="23"/>
      <c r="X113" s="30" t="s">
        <v>171</v>
      </c>
      <c r="Y113" s="30" t="s">
        <v>199</v>
      </c>
      <c r="Z113" s="53">
        <f>SUM(27.36907+24.94011+25.25968)/3</f>
        <v>25.856286666666666</v>
      </c>
      <c r="AA113" s="54">
        <f t="shared" si="12"/>
        <v>42.662872999999998</v>
      </c>
      <c r="AB113" s="23"/>
      <c r="AC113" s="4">
        <v>365</v>
      </c>
      <c r="AD113" s="32">
        <f t="shared" si="13"/>
        <v>115.7603</v>
      </c>
      <c r="AE113" s="32">
        <f t="shared" si="14"/>
        <v>126.64049999999999</v>
      </c>
      <c r="AF113" s="32">
        <f t="shared" si="15"/>
        <v>130.32</v>
      </c>
      <c r="AG113" s="32">
        <f t="shared" si="15"/>
        <v>322.52999999999997</v>
      </c>
      <c r="AH113" s="78"/>
      <c r="AI113" s="78"/>
      <c r="AJ113" s="55">
        <f t="shared" si="16"/>
        <v>695.25080000000003</v>
      </c>
      <c r="AK113" s="32"/>
      <c r="AL113" s="33"/>
      <c r="AM113" s="23"/>
    </row>
    <row r="114" spans="1:39" ht="45" x14ac:dyDescent="0.3">
      <c r="A114" s="64"/>
      <c r="B114" s="64"/>
      <c r="C114" s="5" t="s">
        <v>594</v>
      </c>
      <c r="D114" s="5" t="s">
        <v>120</v>
      </c>
      <c r="E114" s="7" t="s">
        <v>0</v>
      </c>
      <c r="F114" s="5"/>
      <c r="G114" s="23"/>
      <c r="H114" s="10">
        <v>841</v>
      </c>
      <c r="I114" s="10">
        <v>811</v>
      </c>
      <c r="J114" s="10">
        <v>865</v>
      </c>
      <c r="K114" s="10">
        <v>979</v>
      </c>
      <c r="L114" s="10">
        <v>806</v>
      </c>
      <c r="M114" s="10">
        <v>383</v>
      </c>
      <c r="N114" s="9" cm="1">
        <f t="array" ref="N114">SUM((H114:L114)/5)</f>
        <v>860.40000000000009</v>
      </c>
      <c r="O114" s="10">
        <v>890</v>
      </c>
      <c r="P114" s="23"/>
      <c r="Q114" s="30">
        <v>50.334000000000003</v>
      </c>
      <c r="R114" s="30">
        <v>63.256999999999998</v>
      </c>
      <c r="S114" s="30">
        <v>0.441</v>
      </c>
      <c r="T114" s="30">
        <v>0.441</v>
      </c>
      <c r="U114" s="30">
        <f t="shared" si="10"/>
        <v>356</v>
      </c>
      <c r="V114" s="30">
        <f t="shared" si="11"/>
        <v>534</v>
      </c>
      <c r="W114" s="23"/>
      <c r="X114" s="30" t="s">
        <v>171</v>
      </c>
      <c r="Y114" s="30" t="s">
        <v>200</v>
      </c>
      <c r="Z114" s="53">
        <f>SUM(27.33065+24.90255+25.22171)/3</f>
        <v>25.818303333333333</v>
      </c>
      <c r="AA114" s="54">
        <f t="shared" si="12"/>
        <v>42.6002005</v>
      </c>
      <c r="AB114" s="23"/>
      <c r="AC114" s="4">
        <v>365</v>
      </c>
      <c r="AD114" s="32">
        <f t="shared" si="13"/>
        <v>115.7603</v>
      </c>
      <c r="AE114" s="32">
        <f t="shared" si="14"/>
        <v>126.64049999999999</v>
      </c>
      <c r="AF114" s="32">
        <f t="shared" si="15"/>
        <v>91.91</v>
      </c>
      <c r="AG114" s="32">
        <f t="shared" si="15"/>
        <v>227.49</v>
      </c>
      <c r="AH114" s="78"/>
      <c r="AI114" s="78"/>
      <c r="AJ114" s="55">
        <f t="shared" si="16"/>
        <v>561.80079999999998</v>
      </c>
      <c r="AK114" s="32"/>
      <c r="AL114" s="33"/>
      <c r="AM114" s="23"/>
    </row>
    <row r="115" spans="1:39" ht="45" x14ac:dyDescent="0.3">
      <c r="A115" s="64"/>
      <c r="B115" s="64"/>
      <c r="C115" s="5" t="s">
        <v>594</v>
      </c>
      <c r="D115" s="5" t="s">
        <v>120</v>
      </c>
      <c r="E115" s="7" t="s">
        <v>0</v>
      </c>
      <c r="F115" s="5"/>
      <c r="G115" s="23"/>
      <c r="H115" s="10">
        <v>584</v>
      </c>
      <c r="I115" s="10">
        <v>1038</v>
      </c>
      <c r="J115" s="10">
        <v>1098</v>
      </c>
      <c r="K115" s="10">
        <v>1799</v>
      </c>
      <c r="L115" s="10">
        <v>972</v>
      </c>
      <c r="M115" s="10">
        <v>326</v>
      </c>
      <c r="N115" s="9" cm="1">
        <f t="array" ref="N115">SUM((H115:L115)/5)</f>
        <v>1098.2</v>
      </c>
      <c r="O115" s="10">
        <v>1300</v>
      </c>
      <c r="P115" s="23"/>
      <c r="Q115" s="30">
        <v>50.334000000000003</v>
      </c>
      <c r="R115" s="30">
        <v>63.256999999999998</v>
      </c>
      <c r="S115" s="30">
        <v>0.441</v>
      </c>
      <c r="T115" s="30">
        <v>0.441</v>
      </c>
      <c r="U115" s="30">
        <f t="shared" si="10"/>
        <v>520</v>
      </c>
      <c r="V115" s="30">
        <f t="shared" si="11"/>
        <v>780</v>
      </c>
      <c r="W115" s="23"/>
      <c r="X115" s="30" t="s">
        <v>171</v>
      </c>
      <c r="Y115" s="30" t="s">
        <v>201</v>
      </c>
      <c r="Z115" s="53">
        <f>SUM(27.38133+24.95195+25.27159)/3</f>
        <v>25.868290000000002</v>
      </c>
      <c r="AA115" s="54">
        <f t="shared" si="12"/>
        <v>42.682678500000009</v>
      </c>
      <c r="AB115" s="23"/>
      <c r="AC115" s="4">
        <v>365</v>
      </c>
      <c r="AD115" s="32">
        <f t="shared" si="13"/>
        <v>115.7603</v>
      </c>
      <c r="AE115" s="32">
        <f t="shared" si="14"/>
        <v>126.64049999999999</v>
      </c>
      <c r="AF115" s="32">
        <f t="shared" si="15"/>
        <v>134.52000000000001</v>
      </c>
      <c r="AG115" s="32">
        <f t="shared" si="15"/>
        <v>332.92</v>
      </c>
      <c r="AH115" s="78"/>
      <c r="AI115" s="78"/>
      <c r="AJ115" s="55">
        <f t="shared" si="16"/>
        <v>709.84079999999994</v>
      </c>
      <c r="AK115" s="32"/>
      <c r="AL115" s="33"/>
      <c r="AM115" s="23"/>
    </row>
    <row r="116" spans="1:39" ht="15.6" x14ac:dyDescent="0.3">
      <c r="A116" s="64"/>
      <c r="B116" s="64"/>
      <c r="C116" s="5" t="s">
        <v>594</v>
      </c>
      <c r="D116" s="5" t="s">
        <v>120</v>
      </c>
      <c r="E116" s="7" t="s">
        <v>0</v>
      </c>
      <c r="F116" s="5"/>
      <c r="G116" s="23"/>
      <c r="H116" s="10">
        <v>192</v>
      </c>
      <c r="I116" s="10">
        <v>223</v>
      </c>
      <c r="J116" s="10">
        <v>285</v>
      </c>
      <c r="K116" s="10">
        <v>243</v>
      </c>
      <c r="L116" s="10">
        <v>139</v>
      </c>
      <c r="M116" s="10">
        <v>115</v>
      </c>
      <c r="N116" s="9" cm="1">
        <f t="array" ref="N116">SUM((H116:L116)/5)</f>
        <v>216.4</v>
      </c>
      <c r="O116" s="10">
        <v>220</v>
      </c>
      <c r="P116" s="23"/>
      <c r="Q116" s="30">
        <v>49.308</v>
      </c>
      <c r="R116" s="30">
        <v>72.016000000000005</v>
      </c>
      <c r="S116" s="30">
        <v>0.441</v>
      </c>
      <c r="T116" s="30">
        <v>0.441</v>
      </c>
      <c r="U116" s="30">
        <f t="shared" si="10"/>
        <v>88</v>
      </c>
      <c r="V116" s="30">
        <f t="shared" si="11"/>
        <v>132</v>
      </c>
      <c r="W116" s="23"/>
      <c r="X116" s="30">
        <v>15.868</v>
      </c>
      <c r="Y116" s="30">
        <v>27.082439999999998</v>
      </c>
      <c r="Z116" s="53">
        <v>27.082439999999998</v>
      </c>
      <c r="AA116" s="54">
        <f t="shared" si="12"/>
        <v>44.686025999999998</v>
      </c>
      <c r="AB116" s="23"/>
      <c r="AC116" s="4">
        <v>365</v>
      </c>
      <c r="AD116" s="32">
        <f t="shared" si="13"/>
        <v>131.7893</v>
      </c>
      <c r="AE116" s="32">
        <f t="shared" si="14"/>
        <v>144.17600000000002</v>
      </c>
      <c r="AF116" s="32">
        <f t="shared" si="15"/>
        <v>23.83</v>
      </c>
      <c r="AG116" s="32">
        <f t="shared" si="15"/>
        <v>58.99</v>
      </c>
      <c r="AH116" s="78"/>
      <c r="AI116" s="78"/>
      <c r="AJ116" s="55">
        <f t="shared" si="16"/>
        <v>358.78530000000001</v>
      </c>
      <c r="AK116" s="32"/>
      <c r="AL116" s="33"/>
      <c r="AM116" s="23"/>
    </row>
    <row r="117" spans="1:39" ht="15.6" x14ac:dyDescent="0.3">
      <c r="A117" s="64"/>
      <c r="B117" s="64"/>
      <c r="C117" s="5" t="s">
        <v>594</v>
      </c>
      <c r="D117" s="5" t="s">
        <v>120</v>
      </c>
      <c r="E117" s="7" t="s">
        <v>0</v>
      </c>
      <c r="F117" s="5"/>
      <c r="G117" s="23"/>
      <c r="H117" s="10">
        <v>358</v>
      </c>
      <c r="I117" s="10">
        <v>505</v>
      </c>
      <c r="J117" s="10">
        <v>409</v>
      </c>
      <c r="K117" s="10">
        <v>509</v>
      </c>
      <c r="L117" s="10">
        <v>778</v>
      </c>
      <c r="M117" s="10">
        <v>305</v>
      </c>
      <c r="N117" s="9" cm="1">
        <f t="array" ref="N117">SUM((H117:L117)/5)</f>
        <v>511.79999999999995</v>
      </c>
      <c r="O117" s="10">
        <v>600</v>
      </c>
      <c r="P117" s="23"/>
      <c r="Q117" s="30">
        <v>49.308</v>
      </c>
      <c r="R117" s="30">
        <v>72.016000000000005</v>
      </c>
      <c r="S117" s="30">
        <v>0.441</v>
      </c>
      <c r="T117" s="30">
        <v>0.441</v>
      </c>
      <c r="U117" s="30">
        <f t="shared" si="10"/>
        <v>240</v>
      </c>
      <c r="V117" s="30">
        <f t="shared" si="11"/>
        <v>360</v>
      </c>
      <c r="W117" s="23"/>
      <c r="X117" s="30">
        <v>15.868</v>
      </c>
      <c r="Y117" s="30">
        <v>27.082540000000002</v>
      </c>
      <c r="Z117" s="53">
        <v>27.082540000000002</v>
      </c>
      <c r="AA117" s="54">
        <f t="shared" si="12"/>
        <v>44.686191000000008</v>
      </c>
      <c r="AB117" s="23"/>
      <c r="AC117" s="4">
        <v>365</v>
      </c>
      <c r="AD117" s="32">
        <f t="shared" si="13"/>
        <v>131.7893</v>
      </c>
      <c r="AE117" s="32">
        <f t="shared" si="14"/>
        <v>144.17600000000002</v>
      </c>
      <c r="AF117" s="32">
        <f t="shared" si="15"/>
        <v>65</v>
      </c>
      <c r="AG117" s="32">
        <f t="shared" si="15"/>
        <v>160.87</v>
      </c>
      <c r="AH117" s="78"/>
      <c r="AI117" s="78"/>
      <c r="AJ117" s="55">
        <f t="shared" si="16"/>
        <v>501.83530000000002</v>
      </c>
      <c r="AK117" s="32"/>
      <c r="AL117" s="33"/>
      <c r="AM117" s="23"/>
    </row>
    <row r="118" spans="1:39" ht="15.6" x14ac:dyDescent="0.3">
      <c r="A118" s="64"/>
      <c r="B118" s="64"/>
      <c r="C118" s="5" t="s">
        <v>595</v>
      </c>
      <c r="D118" s="5" t="s">
        <v>120</v>
      </c>
      <c r="E118" s="7" t="s">
        <v>0</v>
      </c>
      <c r="F118" s="5"/>
      <c r="G118" s="23"/>
      <c r="H118" s="10">
        <v>1378</v>
      </c>
      <c r="I118" s="10">
        <v>1534</v>
      </c>
      <c r="J118" s="10">
        <v>2332</v>
      </c>
      <c r="K118" s="10">
        <v>2662</v>
      </c>
      <c r="L118" s="10">
        <v>1949</v>
      </c>
      <c r="M118" s="10">
        <v>1205</v>
      </c>
      <c r="N118" s="9" cm="1">
        <f t="array" ref="N118">SUM((H118:L118)/5)</f>
        <v>1971.0000000000002</v>
      </c>
      <c r="O118" s="10">
        <v>2300</v>
      </c>
      <c r="P118" s="23"/>
      <c r="Q118" s="30">
        <v>49.308</v>
      </c>
      <c r="R118" s="30">
        <v>72.016000000000005</v>
      </c>
      <c r="S118" s="30">
        <v>0.441</v>
      </c>
      <c r="T118" s="30">
        <v>0.441</v>
      </c>
      <c r="U118" s="30">
        <f t="shared" si="10"/>
        <v>920</v>
      </c>
      <c r="V118" s="30">
        <f t="shared" si="11"/>
        <v>1380</v>
      </c>
      <c r="W118" s="23"/>
      <c r="X118" s="30">
        <v>15.868</v>
      </c>
      <c r="Y118" s="30">
        <v>27.08277</v>
      </c>
      <c r="Z118" s="53">
        <v>27.08277</v>
      </c>
      <c r="AA118" s="54">
        <f t="shared" si="12"/>
        <v>44.686570500000002</v>
      </c>
      <c r="AB118" s="23"/>
      <c r="AC118" s="4">
        <v>365</v>
      </c>
      <c r="AD118" s="32">
        <f t="shared" si="13"/>
        <v>131.7893</v>
      </c>
      <c r="AE118" s="32">
        <f t="shared" si="14"/>
        <v>144.17600000000002</v>
      </c>
      <c r="AF118" s="32">
        <f t="shared" si="15"/>
        <v>249.16</v>
      </c>
      <c r="AG118" s="32">
        <f t="shared" si="15"/>
        <v>616.66999999999996</v>
      </c>
      <c r="AH118" s="78"/>
      <c r="AI118" s="78"/>
      <c r="AJ118" s="55">
        <f t="shared" si="16"/>
        <v>1141.7953</v>
      </c>
      <c r="AK118" s="32"/>
      <c r="AL118" s="33"/>
      <c r="AM118" s="23"/>
    </row>
    <row r="119" spans="1:39" ht="15.6" x14ac:dyDescent="0.3">
      <c r="A119" s="64"/>
      <c r="B119" s="64"/>
      <c r="C119" s="5" t="s">
        <v>595</v>
      </c>
      <c r="D119" s="5" t="s">
        <v>120</v>
      </c>
      <c r="E119" s="7" t="s">
        <v>0</v>
      </c>
      <c r="F119" s="5"/>
      <c r="G119" s="23"/>
      <c r="H119" s="10">
        <v>1531</v>
      </c>
      <c r="I119" s="10">
        <v>1482</v>
      </c>
      <c r="J119" s="10">
        <v>1370</v>
      </c>
      <c r="K119" s="10">
        <v>1617</v>
      </c>
      <c r="L119" s="10">
        <v>1525</v>
      </c>
      <c r="M119" s="10">
        <v>666</v>
      </c>
      <c r="N119" s="9" cm="1">
        <f t="array" ref="N119">SUM((H119:L119)/5)</f>
        <v>1505</v>
      </c>
      <c r="O119" s="10">
        <v>1550</v>
      </c>
      <c r="P119" s="23"/>
      <c r="Q119" s="30">
        <v>49.308</v>
      </c>
      <c r="R119" s="30">
        <v>72.016000000000005</v>
      </c>
      <c r="S119" s="30">
        <v>0.441</v>
      </c>
      <c r="T119" s="30">
        <v>0.441</v>
      </c>
      <c r="U119" s="30">
        <f t="shared" si="10"/>
        <v>620</v>
      </c>
      <c r="V119" s="30">
        <f t="shared" si="11"/>
        <v>930</v>
      </c>
      <c r="W119" s="23"/>
      <c r="X119" s="30">
        <v>15.868</v>
      </c>
      <c r="Y119" s="30">
        <v>27.082830000000001</v>
      </c>
      <c r="Z119" s="53">
        <v>27.082830000000001</v>
      </c>
      <c r="AA119" s="54">
        <f t="shared" si="12"/>
        <v>44.686669500000008</v>
      </c>
      <c r="AB119" s="23"/>
      <c r="AC119" s="4">
        <v>365</v>
      </c>
      <c r="AD119" s="32">
        <f t="shared" si="13"/>
        <v>131.7893</v>
      </c>
      <c r="AE119" s="32">
        <f t="shared" si="14"/>
        <v>144.17600000000002</v>
      </c>
      <c r="AF119" s="32">
        <f t="shared" si="15"/>
        <v>167.91</v>
      </c>
      <c r="AG119" s="32">
        <f t="shared" si="15"/>
        <v>415.59</v>
      </c>
      <c r="AH119" s="78"/>
      <c r="AI119" s="78"/>
      <c r="AJ119" s="55">
        <f t="shared" si="16"/>
        <v>859.46530000000007</v>
      </c>
      <c r="AK119" s="32"/>
      <c r="AL119" s="33"/>
      <c r="AM119" s="23"/>
    </row>
    <row r="120" spans="1:39" ht="45" x14ac:dyDescent="0.3">
      <c r="A120" s="64"/>
      <c r="B120" s="64"/>
      <c r="C120" s="5" t="s">
        <v>595</v>
      </c>
      <c r="D120" s="5" t="s">
        <v>120</v>
      </c>
      <c r="E120" s="7" t="s">
        <v>0</v>
      </c>
      <c r="F120" s="5"/>
      <c r="G120" s="23"/>
      <c r="H120" s="10">
        <v>1230</v>
      </c>
      <c r="I120" s="10">
        <v>1301</v>
      </c>
      <c r="J120" s="10">
        <v>1235</v>
      </c>
      <c r="K120" s="10">
        <v>1326</v>
      </c>
      <c r="L120" s="10">
        <v>1086</v>
      </c>
      <c r="M120" s="10">
        <v>498</v>
      </c>
      <c r="N120" s="9" cm="1">
        <f t="array" ref="N120">SUM((H120:L120)/5)</f>
        <v>1235.6000000000001</v>
      </c>
      <c r="O120" s="10">
        <v>1240</v>
      </c>
      <c r="P120" s="23"/>
      <c r="Q120" s="30">
        <v>50.334000000000003</v>
      </c>
      <c r="R120" s="30">
        <v>63.256999999999998</v>
      </c>
      <c r="S120" s="30">
        <v>0.441</v>
      </c>
      <c r="T120" s="30">
        <v>0.441</v>
      </c>
      <c r="U120" s="30">
        <f t="shared" si="10"/>
        <v>496</v>
      </c>
      <c r="V120" s="30">
        <f t="shared" si="11"/>
        <v>744</v>
      </c>
      <c r="W120" s="23"/>
      <c r="X120" s="30" t="s">
        <v>202</v>
      </c>
      <c r="Y120" s="30" t="s">
        <v>203</v>
      </c>
      <c r="Z120" s="53">
        <f>SUM(27.32318+24.89067+25.20896)/3</f>
        <v>25.807603333333333</v>
      </c>
      <c r="AA120" s="54">
        <f t="shared" si="12"/>
        <v>42.582545499999995</v>
      </c>
      <c r="AB120" s="23"/>
      <c r="AC120" s="4">
        <v>365</v>
      </c>
      <c r="AD120" s="32">
        <f t="shared" si="13"/>
        <v>115.7603</v>
      </c>
      <c r="AE120" s="32">
        <f t="shared" si="14"/>
        <v>126.64049999999999</v>
      </c>
      <c r="AF120" s="32">
        <f t="shared" si="15"/>
        <v>128.01</v>
      </c>
      <c r="AG120" s="32">
        <f t="shared" si="15"/>
        <v>316.81</v>
      </c>
      <c r="AH120" s="78"/>
      <c r="AI120" s="78"/>
      <c r="AJ120" s="55">
        <f t="shared" si="16"/>
        <v>687.22080000000005</v>
      </c>
      <c r="AK120" s="32"/>
      <c r="AL120" s="33"/>
      <c r="AM120" s="23"/>
    </row>
    <row r="121" spans="1:39" ht="45" x14ac:dyDescent="0.3">
      <c r="A121" s="64"/>
      <c r="B121" s="64"/>
      <c r="C121" s="5" t="s">
        <v>684</v>
      </c>
      <c r="D121" s="5" t="s">
        <v>120</v>
      </c>
      <c r="E121" s="7" t="s">
        <v>0</v>
      </c>
      <c r="F121" s="5"/>
      <c r="G121" s="23"/>
      <c r="H121" s="10">
        <v>880</v>
      </c>
      <c r="I121" s="10">
        <v>951</v>
      </c>
      <c r="J121" s="10">
        <v>826</v>
      </c>
      <c r="K121" s="10">
        <v>824</v>
      </c>
      <c r="L121" s="10">
        <v>608</v>
      </c>
      <c r="M121" s="10">
        <v>332</v>
      </c>
      <c r="N121" s="9" cm="1">
        <f t="array" ref="N121">SUM((H121:L121)/5)</f>
        <v>817.80000000000007</v>
      </c>
      <c r="O121" s="10">
        <v>820</v>
      </c>
      <c r="P121" s="23"/>
      <c r="Q121" s="30">
        <v>50.334000000000003</v>
      </c>
      <c r="R121" s="30">
        <v>63.256999999999998</v>
      </c>
      <c r="S121" s="30">
        <v>0.441</v>
      </c>
      <c r="T121" s="30">
        <v>0.441</v>
      </c>
      <c r="U121" s="30">
        <f t="shared" si="10"/>
        <v>328</v>
      </c>
      <c r="V121" s="30">
        <f t="shared" si="11"/>
        <v>492</v>
      </c>
      <c r="W121" s="23"/>
      <c r="X121" s="30" t="s">
        <v>202</v>
      </c>
      <c r="Y121" s="30" t="s">
        <v>204</v>
      </c>
      <c r="Z121" s="53">
        <f>SUM(27.32025+24.89055+25.20952)/3</f>
        <v>25.806773333333336</v>
      </c>
      <c r="AA121" s="54">
        <f t="shared" si="12"/>
        <v>42.581176000000006</v>
      </c>
      <c r="AB121" s="23"/>
      <c r="AC121" s="4">
        <v>365</v>
      </c>
      <c r="AD121" s="32">
        <f t="shared" si="13"/>
        <v>115.7603</v>
      </c>
      <c r="AE121" s="32">
        <f t="shared" si="14"/>
        <v>126.64049999999999</v>
      </c>
      <c r="AF121" s="32">
        <f t="shared" si="15"/>
        <v>84.65</v>
      </c>
      <c r="AG121" s="32">
        <f t="shared" si="15"/>
        <v>209.5</v>
      </c>
      <c r="AH121" s="78"/>
      <c r="AI121" s="78"/>
      <c r="AJ121" s="55">
        <f t="shared" si="16"/>
        <v>536.55079999999998</v>
      </c>
      <c r="AK121" s="32"/>
      <c r="AL121" s="33"/>
      <c r="AM121" s="23"/>
    </row>
    <row r="122" spans="1:39" ht="15.6" x14ac:dyDescent="0.3">
      <c r="A122" s="64"/>
      <c r="B122" s="64"/>
      <c r="C122" s="5" t="s">
        <v>610</v>
      </c>
      <c r="D122" s="5" t="s">
        <v>120</v>
      </c>
      <c r="E122" s="7" t="s">
        <v>0</v>
      </c>
      <c r="F122" s="5"/>
      <c r="G122" s="23"/>
      <c r="H122" s="10">
        <v>485</v>
      </c>
      <c r="I122" s="10">
        <v>526</v>
      </c>
      <c r="J122" s="10">
        <v>297</v>
      </c>
      <c r="K122" s="10">
        <v>201</v>
      </c>
      <c r="L122" s="10">
        <v>333</v>
      </c>
      <c r="M122" s="10">
        <v>86</v>
      </c>
      <c r="N122" s="9" cm="1">
        <f t="array" ref="N122">SUM((H122:L122)/5)</f>
        <v>368.4</v>
      </c>
      <c r="O122" s="10">
        <v>360</v>
      </c>
      <c r="P122" s="23"/>
      <c r="Q122" s="30">
        <v>49.308</v>
      </c>
      <c r="R122" s="30">
        <v>72.016000000000005</v>
      </c>
      <c r="S122" s="30">
        <v>0.441</v>
      </c>
      <c r="T122" s="30">
        <v>0.441</v>
      </c>
      <c r="U122" s="30">
        <f t="shared" si="10"/>
        <v>144</v>
      </c>
      <c r="V122" s="30">
        <f t="shared" si="11"/>
        <v>216</v>
      </c>
      <c r="W122" s="23"/>
      <c r="X122" s="30">
        <v>15.868</v>
      </c>
      <c r="Y122" s="30">
        <v>27.08428</v>
      </c>
      <c r="Z122" s="53">
        <v>27.08428</v>
      </c>
      <c r="AA122" s="54">
        <f t="shared" si="12"/>
        <v>44.689062</v>
      </c>
      <c r="AB122" s="23"/>
      <c r="AC122" s="4">
        <v>365</v>
      </c>
      <c r="AD122" s="32">
        <f t="shared" si="13"/>
        <v>131.7893</v>
      </c>
      <c r="AE122" s="32">
        <f t="shared" si="14"/>
        <v>144.17600000000002</v>
      </c>
      <c r="AF122" s="32">
        <f t="shared" si="15"/>
        <v>39</v>
      </c>
      <c r="AG122" s="32">
        <f t="shared" si="15"/>
        <v>96.53</v>
      </c>
      <c r="AH122" s="78"/>
      <c r="AI122" s="78"/>
      <c r="AJ122" s="55">
        <f t="shared" si="16"/>
        <v>411.49530000000004</v>
      </c>
      <c r="AK122" s="32"/>
      <c r="AL122" s="33"/>
      <c r="AM122" s="23"/>
    </row>
    <row r="123" spans="1:39" ht="15.6" x14ac:dyDescent="0.3">
      <c r="A123" s="64"/>
      <c r="B123" s="64"/>
      <c r="C123" s="5" t="s">
        <v>610</v>
      </c>
      <c r="D123" s="5" t="s">
        <v>120</v>
      </c>
      <c r="E123" s="7" t="s">
        <v>0</v>
      </c>
      <c r="F123" s="5"/>
      <c r="G123" s="23"/>
      <c r="H123" s="10">
        <v>364</v>
      </c>
      <c r="I123" s="10">
        <v>595</v>
      </c>
      <c r="J123" s="10">
        <v>580</v>
      </c>
      <c r="K123" s="10">
        <v>444</v>
      </c>
      <c r="L123" s="10">
        <v>304</v>
      </c>
      <c r="M123" s="10">
        <v>133</v>
      </c>
      <c r="N123" s="9" cm="1">
        <f t="array" ref="N123">SUM((H123:L123)/5)</f>
        <v>457.40000000000003</v>
      </c>
      <c r="O123" s="10">
        <v>450</v>
      </c>
      <c r="P123" s="23"/>
      <c r="Q123" s="30">
        <v>49.308</v>
      </c>
      <c r="R123" s="30">
        <v>72.016000000000005</v>
      </c>
      <c r="S123" s="30">
        <v>0.441</v>
      </c>
      <c r="T123" s="30">
        <v>0.441</v>
      </c>
      <c r="U123" s="30">
        <f t="shared" si="10"/>
        <v>180</v>
      </c>
      <c r="V123" s="30">
        <f t="shared" si="11"/>
        <v>270</v>
      </c>
      <c r="W123" s="23"/>
      <c r="X123" s="30">
        <v>15.868</v>
      </c>
      <c r="Y123" s="30">
        <v>27.08137</v>
      </c>
      <c r="Z123" s="53">
        <v>27.08137</v>
      </c>
      <c r="AA123" s="54">
        <f t="shared" si="12"/>
        <v>44.684260500000001</v>
      </c>
      <c r="AB123" s="23"/>
      <c r="AC123" s="4">
        <v>365</v>
      </c>
      <c r="AD123" s="32">
        <f t="shared" si="13"/>
        <v>131.7893</v>
      </c>
      <c r="AE123" s="32">
        <f t="shared" si="14"/>
        <v>144.17600000000002</v>
      </c>
      <c r="AF123" s="32">
        <f t="shared" si="15"/>
        <v>48.75</v>
      </c>
      <c r="AG123" s="32">
        <f t="shared" si="15"/>
        <v>120.65</v>
      </c>
      <c r="AH123" s="78"/>
      <c r="AI123" s="78"/>
      <c r="AJ123" s="55">
        <f t="shared" si="16"/>
        <v>445.36530000000005</v>
      </c>
      <c r="AK123" s="32"/>
      <c r="AL123" s="33"/>
      <c r="AM123" s="23"/>
    </row>
    <row r="124" spans="1:39" ht="30" x14ac:dyDescent="0.3">
      <c r="A124" s="64"/>
      <c r="B124" s="64"/>
      <c r="C124" s="5" t="s">
        <v>450</v>
      </c>
      <c r="D124" s="5" t="s">
        <v>120</v>
      </c>
      <c r="E124" s="7" t="s">
        <v>0</v>
      </c>
      <c r="F124" s="5"/>
      <c r="G124" s="23"/>
      <c r="H124" s="10">
        <v>144</v>
      </c>
      <c r="I124" s="10">
        <v>149</v>
      </c>
      <c r="J124" s="10">
        <v>251</v>
      </c>
      <c r="K124" s="10">
        <v>1236</v>
      </c>
      <c r="L124" s="10">
        <v>1704</v>
      </c>
      <c r="M124" s="10">
        <v>1785</v>
      </c>
      <c r="N124" s="9" cm="1">
        <f t="array" ref="N124">SUM((H124:L124)/5)</f>
        <v>696.8</v>
      </c>
      <c r="O124" s="10">
        <v>1750</v>
      </c>
      <c r="P124" s="23"/>
      <c r="Q124" s="30">
        <v>49.325000000000003</v>
      </c>
      <c r="R124" s="30">
        <v>72.016000000000005</v>
      </c>
      <c r="S124" s="30">
        <v>0.441</v>
      </c>
      <c r="T124" s="30">
        <v>0.441</v>
      </c>
      <c r="U124" s="30">
        <f t="shared" si="10"/>
        <v>700</v>
      </c>
      <c r="V124" s="30">
        <f t="shared" si="11"/>
        <v>1050</v>
      </c>
      <c r="W124" s="23"/>
      <c r="X124" s="30" t="s">
        <v>205</v>
      </c>
      <c r="Y124" s="30" t="s">
        <v>206</v>
      </c>
      <c r="Z124" s="53">
        <f>SUM(27.19392+25.21743)/2</f>
        <v>26.205674999999999</v>
      </c>
      <c r="AA124" s="54">
        <f t="shared" si="12"/>
        <v>43.239363749999995</v>
      </c>
      <c r="AB124" s="23"/>
      <c r="AC124" s="4">
        <v>365</v>
      </c>
      <c r="AD124" s="32">
        <f t="shared" si="13"/>
        <v>131.7893</v>
      </c>
      <c r="AE124" s="32">
        <f t="shared" si="14"/>
        <v>144.17600000000002</v>
      </c>
      <c r="AF124" s="32">
        <f t="shared" si="15"/>
        <v>183.44</v>
      </c>
      <c r="AG124" s="32">
        <f t="shared" si="15"/>
        <v>454.01</v>
      </c>
      <c r="AH124" s="78"/>
      <c r="AI124" s="78"/>
      <c r="AJ124" s="55">
        <f t="shared" si="16"/>
        <v>913.4153</v>
      </c>
      <c r="AK124" s="32"/>
      <c r="AL124" s="33"/>
      <c r="AM124" s="23"/>
    </row>
    <row r="125" spans="1:39" ht="15.6" x14ac:dyDescent="0.3">
      <c r="A125" s="64"/>
      <c r="B125" s="64"/>
      <c r="C125" s="5" t="s">
        <v>611</v>
      </c>
      <c r="D125" s="5" t="s">
        <v>120</v>
      </c>
      <c r="E125" s="7" t="s">
        <v>0</v>
      </c>
      <c r="F125" s="5"/>
      <c r="G125" s="23"/>
      <c r="H125" s="10">
        <v>798</v>
      </c>
      <c r="I125" s="10">
        <v>852</v>
      </c>
      <c r="J125" s="10">
        <v>1292</v>
      </c>
      <c r="K125" s="10">
        <v>1040</v>
      </c>
      <c r="L125" s="10">
        <v>729</v>
      </c>
      <c r="M125" s="10">
        <v>673</v>
      </c>
      <c r="N125" s="9" cm="1">
        <f t="array" ref="N125">SUM((H125:L125)/5)</f>
        <v>942.2</v>
      </c>
      <c r="O125" s="10">
        <v>940</v>
      </c>
      <c r="P125" s="23"/>
      <c r="Q125" s="30">
        <v>49.308</v>
      </c>
      <c r="R125" s="30">
        <v>72.016000000000005</v>
      </c>
      <c r="S125" s="30">
        <v>0.441</v>
      </c>
      <c r="T125" s="30">
        <v>0.441</v>
      </c>
      <c r="U125" s="30">
        <f t="shared" si="10"/>
        <v>376</v>
      </c>
      <c r="V125" s="30">
        <f t="shared" si="11"/>
        <v>564</v>
      </c>
      <c r="W125" s="23"/>
      <c r="X125" s="30">
        <v>15.868</v>
      </c>
      <c r="Y125" s="30">
        <v>27.08239</v>
      </c>
      <c r="Z125" s="53">
        <v>27.08239</v>
      </c>
      <c r="AA125" s="54">
        <f t="shared" si="12"/>
        <v>44.6859435</v>
      </c>
      <c r="AB125" s="23"/>
      <c r="AC125" s="4">
        <v>365</v>
      </c>
      <c r="AD125" s="32">
        <f t="shared" si="13"/>
        <v>131.7893</v>
      </c>
      <c r="AE125" s="32">
        <f t="shared" si="14"/>
        <v>144.17600000000002</v>
      </c>
      <c r="AF125" s="32">
        <f t="shared" si="15"/>
        <v>101.83</v>
      </c>
      <c r="AG125" s="32">
        <f t="shared" si="15"/>
        <v>252.03</v>
      </c>
      <c r="AH125" s="78"/>
      <c r="AI125" s="78"/>
      <c r="AJ125" s="55">
        <f t="shared" si="16"/>
        <v>629.82529999999997</v>
      </c>
      <c r="AK125" s="32"/>
      <c r="AL125" s="33"/>
      <c r="AM125" s="23"/>
    </row>
    <row r="126" spans="1:39" ht="15.6" x14ac:dyDescent="0.3">
      <c r="A126" s="64"/>
      <c r="B126" s="64"/>
      <c r="C126" s="5" t="s">
        <v>611</v>
      </c>
      <c r="D126" s="5" t="s">
        <v>120</v>
      </c>
      <c r="E126" s="7" t="s">
        <v>0</v>
      </c>
      <c r="F126" s="5"/>
      <c r="G126" s="23"/>
      <c r="H126" s="10">
        <v>83</v>
      </c>
      <c r="I126" s="10">
        <v>6</v>
      </c>
      <c r="J126" s="10">
        <v>0</v>
      </c>
      <c r="K126" s="10">
        <v>0</v>
      </c>
      <c r="L126" s="10">
        <v>0</v>
      </c>
      <c r="M126" s="10">
        <v>0</v>
      </c>
      <c r="N126" s="9" cm="1">
        <f t="array" ref="N126">SUM((H126:L126)/5)</f>
        <v>17.8</v>
      </c>
      <c r="O126" s="10">
        <v>20</v>
      </c>
      <c r="P126" s="23"/>
      <c r="Q126" s="30">
        <v>49.308</v>
      </c>
      <c r="R126" s="30">
        <v>72.016000000000005</v>
      </c>
      <c r="S126" s="30">
        <v>0.441</v>
      </c>
      <c r="T126" s="30">
        <v>0.441</v>
      </c>
      <c r="U126" s="30">
        <f t="shared" si="10"/>
        <v>8</v>
      </c>
      <c r="V126" s="30">
        <f t="shared" si="11"/>
        <v>12</v>
      </c>
      <c r="W126" s="23"/>
      <c r="X126" s="30">
        <v>14.641999999999999</v>
      </c>
      <c r="Y126" s="30">
        <v>24.701049999999999</v>
      </c>
      <c r="Z126" s="53">
        <v>24.701049999999999</v>
      </c>
      <c r="AA126" s="54">
        <f t="shared" si="12"/>
        <v>40.756732499999998</v>
      </c>
      <c r="AB126" s="23"/>
      <c r="AC126" s="4">
        <v>365</v>
      </c>
      <c r="AD126" s="32">
        <f t="shared" si="13"/>
        <v>131.7893</v>
      </c>
      <c r="AE126" s="32">
        <f t="shared" si="14"/>
        <v>144.17600000000002</v>
      </c>
      <c r="AF126" s="32">
        <f t="shared" si="15"/>
        <v>1.98</v>
      </c>
      <c r="AG126" s="32">
        <f t="shared" si="15"/>
        <v>4.8899999999999997</v>
      </c>
      <c r="AH126" s="78"/>
      <c r="AI126" s="78"/>
      <c r="AJ126" s="55">
        <f t="shared" si="16"/>
        <v>282.83530000000002</v>
      </c>
      <c r="AK126" s="32"/>
      <c r="AL126" s="33"/>
      <c r="AM126" s="23"/>
    </row>
    <row r="127" spans="1:39" ht="15.6" x14ac:dyDescent="0.3">
      <c r="A127" s="64"/>
      <c r="B127" s="64"/>
      <c r="C127" s="5" t="s">
        <v>611</v>
      </c>
      <c r="D127" s="5" t="s">
        <v>120</v>
      </c>
      <c r="E127" s="7" t="s">
        <v>0</v>
      </c>
      <c r="F127" s="5"/>
      <c r="G127" s="23"/>
      <c r="H127" s="10">
        <v>549</v>
      </c>
      <c r="I127" s="10">
        <v>885</v>
      </c>
      <c r="J127" s="10">
        <v>704</v>
      </c>
      <c r="K127" s="10">
        <v>850</v>
      </c>
      <c r="L127" s="10">
        <v>1159</v>
      </c>
      <c r="M127" s="10">
        <v>525</v>
      </c>
      <c r="N127" s="9" cm="1">
        <f t="array" ref="N127">SUM((H127:L127)/5)</f>
        <v>829.40000000000009</v>
      </c>
      <c r="O127" s="10">
        <v>870</v>
      </c>
      <c r="P127" s="23"/>
      <c r="Q127" s="30">
        <v>49.308</v>
      </c>
      <c r="R127" s="30">
        <v>72.016000000000005</v>
      </c>
      <c r="S127" s="30">
        <v>0.441</v>
      </c>
      <c r="T127" s="30">
        <v>0.441</v>
      </c>
      <c r="U127" s="30">
        <f t="shared" si="10"/>
        <v>348</v>
      </c>
      <c r="V127" s="30">
        <f t="shared" si="11"/>
        <v>522</v>
      </c>
      <c r="W127" s="23"/>
      <c r="X127" s="30">
        <v>15.868</v>
      </c>
      <c r="Y127" s="30">
        <v>27.083120000000001</v>
      </c>
      <c r="Z127" s="53">
        <v>27.083120000000001</v>
      </c>
      <c r="AA127" s="54">
        <f t="shared" si="12"/>
        <v>44.687148000000001</v>
      </c>
      <c r="AB127" s="23"/>
      <c r="AC127" s="4">
        <v>365</v>
      </c>
      <c r="AD127" s="32">
        <f t="shared" si="13"/>
        <v>131.7893</v>
      </c>
      <c r="AE127" s="32">
        <f t="shared" si="14"/>
        <v>144.17600000000002</v>
      </c>
      <c r="AF127" s="32">
        <f t="shared" si="15"/>
        <v>94.25</v>
      </c>
      <c r="AG127" s="32">
        <f t="shared" si="15"/>
        <v>233.27</v>
      </c>
      <c r="AH127" s="78"/>
      <c r="AI127" s="78"/>
      <c r="AJ127" s="55">
        <f t="shared" si="16"/>
        <v>603.48530000000005</v>
      </c>
      <c r="AK127" s="32"/>
      <c r="AL127" s="33"/>
      <c r="AM127" s="23"/>
    </row>
    <row r="128" spans="1:39" ht="15.6" x14ac:dyDescent="0.3">
      <c r="A128" s="64"/>
      <c r="B128" s="64"/>
      <c r="C128" s="5" t="s">
        <v>611</v>
      </c>
      <c r="D128" s="5" t="s">
        <v>120</v>
      </c>
      <c r="E128" s="7" t="s">
        <v>0</v>
      </c>
      <c r="F128" s="5"/>
      <c r="G128" s="23"/>
      <c r="H128" s="10">
        <v>340</v>
      </c>
      <c r="I128" s="10">
        <v>301</v>
      </c>
      <c r="J128" s="10">
        <v>369</v>
      </c>
      <c r="K128" s="10">
        <v>661</v>
      </c>
      <c r="L128" s="10">
        <v>953</v>
      </c>
      <c r="M128" s="10">
        <v>557</v>
      </c>
      <c r="N128" s="9" cm="1">
        <f t="array" ref="N128">SUM((H128:L128)/5)</f>
        <v>524.79999999999995</v>
      </c>
      <c r="O128" s="10">
        <v>800</v>
      </c>
      <c r="P128" s="23"/>
      <c r="Q128" s="30">
        <v>49.308</v>
      </c>
      <c r="R128" s="30">
        <v>72.016000000000005</v>
      </c>
      <c r="S128" s="30">
        <v>0.441</v>
      </c>
      <c r="T128" s="30">
        <v>0.441</v>
      </c>
      <c r="U128" s="30">
        <f t="shared" si="10"/>
        <v>320</v>
      </c>
      <c r="V128" s="30">
        <f t="shared" si="11"/>
        <v>480</v>
      </c>
      <c r="W128" s="23"/>
      <c r="X128" s="30">
        <v>15.868</v>
      </c>
      <c r="Y128" s="30">
        <v>27.08267</v>
      </c>
      <c r="Z128" s="53">
        <v>27.08267</v>
      </c>
      <c r="AA128" s="54">
        <f t="shared" si="12"/>
        <v>44.686405499999999</v>
      </c>
      <c r="AB128" s="23"/>
      <c r="AC128" s="4">
        <v>365</v>
      </c>
      <c r="AD128" s="32">
        <f t="shared" si="13"/>
        <v>131.7893</v>
      </c>
      <c r="AE128" s="32">
        <f t="shared" si="14"/>
        <v>144.17600000000002</v>
      </c>
      <c r="AF128" s="32">
        <f t="shared" si="15"/>
        <v>86.66</v>
      </c>
      <c r="AG128" s="32">
        <f t="shared" si="15"/>
        <v>214.49</v>
      </c>
      <c r="AH128" s="78"/>
      <c r="AI128" s="78"/>
      <c r="AJ128" s="55">
        <f t="shared" si="16"/>
        <v>577.11530000000005</v>
      </c>
      <c r="AK128" s="32"/>
      <c r="AL128" s="33"/>
      <c r="AM128" s="23"/>
    </row>
    <row r="129" spans="1:39" ht="15.6" x14ac:dyDescent="0.3">
      <c r="A129" s="64"/>
      <c r="B129" s="64"/>
      <c r="C129" s="5" t="s">
        <v>611</v>
      </c>
      <c r="D129" s="5" t="s">
        <v>120</v>
      </c>
      <c r="E129" s="7" t="s">
        <v>0</v>
      </c>
      <c r="F129" s="5"/>
      <c r="G129" s="23"/>
      <c r="H129" s="10">
        <v>2201</v>
      </c>
      <c r="I129" s="10">
        <v>1555</v>
      </c>
      <c r="J129" s="10">
        <v>1499</v>
      </c>
      <c r="K129" s="10">
        <v>0</v>
      </c>
      <c r="L129" s="10">
        <v>1226</v>
      </c>
      <c r="M129" s="10">
        <v>726</v>
      </c>
      <c r="N129" s="9" cm="1">
        <f t="array" ref="N129">SUM((H129:L129)/5)</f>
        <v>1296.2</v>
      </c>
      <c r="O129" s="10">
        <v>1290</v>
      </c>
      <c r="P129" s="23"/>
      <c r="Q129" s="30">
        <v>49.308</v>
      </c>
      <c r="R129" s="30">
        <v>72.016000000000005</v>
      </c>
      <c r="S129" s="30">
        <v>0.441</v>
      </c>
      <c r="T129" s="30">
        <v>0.441</v>
      </c>
      <c r="U129" s="30">
        <f t="shared" si="10"/>
        <v>516</v>
      </c>
      <c r="V129" s="30">
        <f t="shared" si="11"/>
        <v>774</v>
      </c>
      <c r="W129" s="23"/>
      <c r="X129" s="30">
        <v>15.868</v>
      </c>
      <c r="Y129" s="30">
        <v>27.08296</v>
      </c>
      <c r="Z129" s="53">
        <v>27.08296</v>
      </c>
      <c r="AA129" s="54">
        <f t="shared" si="12"/>
        <v>44.686883999999999</v>
      </c>
      <c r="AB129" s="23"/>
      <c r="AC129" s="4">
        <v>365</v>
      </c>
      <c r="AD129" s="32">
        <f t="shared" si="13"/>
        <v>131.7893</v>
      </c>
      <c r="AE129" s="32">
        <f t="shared" si="14"/>
        <v>144.17600000000002</v>
      </c>
      <c r="AF129" s="32">
        <f t="shared" si="15"/>
        <v>139.75</v>
      </c>
      <c r="AG129" s="32">
        <f t="shared" si="15"/>
        <v>345.88</v>
      </c>
      <c r="AH129" s="78"/>
      <c r="AI129" s="78"/>
      <c r="AJ129" s="55">
        <f t="shared" si="16"/>
        <v>761.59529999999995</v>
      </c>
      <c r="AK129" s="32"/>
      <c r="AL129" s="33"/>
      <c r="AM129" s="23"/>
    </row>
    <row r="130" spans="1:39" ht="15.6" x14ac:dyDescent="0.3">
      <c r="A130" s="64"/>
      <c r="B130" s="64"/>
      <c r="C130" s="5" t="s">
        <v>611</v>
      </c>
      <c r="D130" s="5" t="s">
        <v>120</v>
      </c>
      <c r="E130" s="7" t="s">
        <v>0</v>
      </c>
      <c r="F130" s="5"/>
      <c r="G130" s="23"/>
      <c r="H130" s="10">
        <v>178</v>
      </c>
      <c r="I130" s="10">
        <v>214</v>
      </c>
      <c r="J130" s="10">
        <v>159</v>
      </c>
      <c r="K130" s="10">
        <v>24</v>
      </c>
      <c r="L130" s="10">
        <v>0</v>
      </c>
      <c r="M130" s="10">
        <v>0</v>
      </c>
      <c r="N130" s="9" cm="1">
        <f t="array" ref="N130">SUM((H130:L130)/5)</f>
        <v>115</v>
      </c>
      <c r="O130" s="10">
        <v>115</v>
      </c>
      <c r="P130" s="23"/>
      <c r="Q130" s="30">
        <v>49.308</v>
      </c>
      <c r="R130" s="30">
        <v>72.016000000000005</v>
      </c>
      <c r="S130" s="30">
        <v>0.441</v>
      </c>
      <c r="T130" s="30">
        <v>0.441</v>
      </c>
      <c r="U130" s="30">
        <f t="shared" si="10"/>
        <v>46</v>
      </c>
      <c r="V130" s="30">
        <f t="shared" si="11"/>
        <v>69</v>
      </c>
      <c r="W130" s="23"/>
      <c r="X130" s="30">
        <v>15.868</v>
      </c>
      <c r="Y130" s="30">
        <v>26.860710000000001</v>
      </c>
      <c r="Z130" s="53">
        <v>26.860710000000001</v>
      </c>
      <c r="AA130" s="54">
        <f t="shared" si="12"/>
        <v>44.320171500000001</v>
      </c>
      <c r="AB130" s="23"/>
      <c r="AC130" s="4">
        <v>365</v>
      </c>
      <c r="AD130" s="32">
        <f t="shared" si="13"/>
        <v>131.7893</v>
      </c>
      <c r="AE130" s="32">
        <f t="shared" si="14"/>
        <v>144.17600000000002</v>
      </c>
      <c r="AF130" s="32">
        <f t="shared" si="15"/>
        <v>12.36</v>
      </c>
      <c r="AG130" s="32">
        <f t="shared" si="15"/>
        <v>30.58</v>
      </c>
      <c r="AH130" s="78"/>
      <c r="AI130" s="78"/>
      <c r="AJ130" s="55">
        <f t="shared" si="16"/>
        <v>318.90530000000001</v>
      </c>
      <c r="AK130" s="32"/>
      <c r="AL130" s="33"/>
      <c r="AM130" s="23"/>
    </row>
    <row r="131" spans="1:39" ht="15.6" x14ac:dyDescent="0.3">
      <c r="A131" s="64"/>
      <c r="B131" s="64"/>
      <c r="C131" s="5" t="s">
        <v>451</v>
      </c>
      <c r="D131" s="5" t="s">
        <v>120</v>
      </c>
      <c r="E131" s="7" t="s">
        <v>0</v>
      </c>
      <c r="F131" s="5"/>
      <c r="G131" s="23"/>
      <c r="H131" s="10">
        <v>594</v>
      </c>
      <c r="I131" s="10">
        <v>759</v>
      </c>
      <c r="J131" s="10">
        <v>1079</v>
      </c>
      <c r="K131" s="10">
        <v>808</v>
      </c>
      <c r="L131" s="10">
        <v>858</v>
      </c>
      <c r="M131" s="10">
        <v>603</v>
      </c>
      <c r="N131" s="9" cm="1">
        <f t="array" ref="N131">SUM((H131:L131)/5)</f>
        <v>819.6</v>
      </c>
      <c r="O131" s="10">
        <v>820</v>
      </c>
      <c r="P131" s="23"/>
      <c r="Q131" s="30">
        <v>49.308</v>
      </c>
      <c r="R131" s="30">
        <v>72.016000000000005</v>
      </c>
      <c r="S131" s="30">
        <v>0.441</v>
      </c>
      <c r="T131" s="30">
        <v>0.441</v>
      </c>
      <c r="U131" s="30">
        <f t="shared" si="10"/>
        <v>328</v>
      </c>
      <c r="V131" s="30">
        <f t="shared" si="11"/>
        <v>492</v>
      </c>
      <c r="W131" s="23"/>
      <c r="X131" s="30">
        <v>15.868</v>
      </c>
      <c r="Y131" s="30">
        <v>27.08306</v>
      </c>
      <c r="Z131" s="53">
        <v>27.08306</v>
      </c>
      <c r="AA131" s="54">
        <f t="shared" si="12"/>
        <v>44.687049000000002</v>
      </c>
      <c r="AB131" s="23"/>
      <c r="AC131" s="4">
        <v>365</v>
      </c>
      <c r="AD131" s="32">
        <f t="shared" si="13"/>
        <v>131.7893</v>
      </c>
      <c r="AE131" s="32">
        <f t="shared" si="14"/>
        <v>144.17600000000002</v>
      </c>
      <c r="AF131" s="32">
        <f t="shared" si="15"/>
        <v>88.83</v>
      </c>
      <c r="AG131" s="32">
        <f t="shared" si="15"/>
        <v>219.86</v>
      </c>
      <c r="AH131" s="78"/>
      <c r="AI131" s="78"/>
      <c r="AJ131" s="55">
        <f t="shared" si="16"/>
        <v>584.65530000000001</v>
      </c>
      <c r="AK131" s="32"/>
      <c r="AL131" s="33"/>
      <c r="AM131" s="23"/>
    </row>
    <row r="132" spans="1:39" ht="15.6" x14ac:dyDescent="0.3">
      <c r="A132" s="64"/>
      <c r="B132" s="64"/>
      <c r="C132" s="5" t="s">
        <v>451</v>
      </c>
      <c r="D132" s="5" t="s">
        <v>120</v>
      </c>
      <c r="E132" s="7" t="s">
        <v>0</v>
      </c>
      <c r="F132" s="5"/>
      <c r="G132" s="23"/>
      <c r="H132" s="10">
        <v>365</v>
      </c>
      <c r="I132" s="10">
        <v>305</v>
      </c>
      <c r="J132" s="10">
        <v>327</v>
      </c>
      <c r="K132" s="10">
        <v>305</v>
      </c>
      <c r="L132" s="10">
        <v>57</v>
      </c>
      <c r="M132" s="10">
        <v>14</v>
      </c>
      <c r="N132" s="9" cm="1">
        <f t="array" ref="N132">SUM((H132:L132)/5)</f>
        <v>271.79999999999995</v>
      </c>
      <c r="O132" s="10">
        <v>270</v>
      </c>
      <c r="P132" s="23"/>
      <c r="Q132" s="30">
        <v>49.308</v>
      </c>
      <c r="R132" s="30">
        <v>72.016000000000005</v>
      </c>
      <c r="S132" s="30">
        <v>0.441</v>
      </c>
      <c r="T132" s="30">
        <v>0.441</v>
      </c>
      <c r="U132" s="30">
        <f t="shared" si="10"/>
        <v>108</v>
      </c>
      <c r="V132" s="30">
        <f t="shared" si="11"/>
        <v>162</v>
      </c>
      <c r="W132" s="23"/>
      <c r="X132" s="30">
        <v>15.868</v>
      </c>
      <c r="Y132" s="30">
        <v>27.085540000000002</v>
      </c>
      <c r="Z132" s="53">
        <v>27.085540000000002</v>
      </c>
      <c r="AA132" s="54">
        <f t="shared" si="12"/>
        <v>44.691141000000002</v>
      </c>
      <c r="AB132" s="23"/>
      <c r="AC132" s="4">
        <v>365</v>
      </c>
      <c r="AD132" s="32">
        <f t="shared" si="13"/>
        <v>131.7893</v>
      </c>
      <c r="AE132" s="32">
        <f t="shared" si="14"/>
        <v>144.17600000000002</v>
      </c>
      <c r="AF132" s="32">
        <f t="shared" si="15"/>
        <v>29.25</v>
      </c>
      <c r="AG132" s="32">
        <f t="shared" si="15"/>
        <v>72.400000000000006</v>
      </c>
      <c r="AH132" s="78"/>
      <c r="AI132" s="78"/>
      <c r="AJ132" s="55">
        <f t="shared" si="16"/>
        <v>377.61530000000005</v>
      </c>
      <c r="AK132" s="32"/>
      <c r="AL132" s="33"/>
      <c r="AM132" s="23"/>
    </row>
    <row r="133" spans="1:39" ht="15.6" x14ac:dyDescent="0.3">
      <c r="A133" s="64"/>
      <c r="B133" s="64"/>
      <c r="C133" s="5" t="s">
        <v>451</v>
      </c>
      <c r="D133" s="5" t="s">
        <v>120</v>
      </c>
      <c r="E133" s="7" t="s">
        <v>0</v>
      </c>
      <c r="F133" s="5"/>
      <c r="G133" s="23"/>
      <c r="H133" s="10">
        <v>693</v>
      </c>
      <c r="I133" s="10">
        <v>796</v>
      </c>
      <c r="J133" s="10">
        <v>764</v>
      </c>
      <c r="K133" s="10">
        <v>557</v>
      </c>
      <c r="L133" s="10">
        <v>603</v>
      </c>
      <c r="M133" s="10">
        <v>549</v>
      </c>
      <c r="N133" s="9" cm="1">
        <f t="array" ref="N133">SUM((H133:L133)/5)</f>
        <v>682.6</v>
      </c>
      <c r="O133" s="10">
        <v>550</v>
      </c>
      <c r="P133" s="23"/>
      <c r="Q133" s="30">
        <v>49.308</v>
      </c>
      <c r="R133" s="30">
        <v>72.016000000000005</v>
      </c>
      <c r="S133" s="30">
        <v>0.441</v>
      </c>
      <c r="T133" s="30">
        <v>0.441</v>
      </c>
      <c r="U133" s="30">
        <f t="shared" si="10"/>
        <v>220</v>
      </c>
      <c r="V133" s="30">
        <f t="shared" si="11"/>
        <v>330</v>
      </c>
      <c r="W133" s="23"/>
      <c r="X133" s="30">
        <v>15.868</v>
      </c>
      <c r="Y133" s="30">
        <v>27.082930000000001</v>
      </c>
      <c r="Z133" s="53">
        <v>27.082930000000001</v>
      </c>
      <c r="AA133" s="54">
        <f t="shared" si="12"/>
        <v>44.686834500000003</v>
      </c>
      <c r="AB133" s="23"/>
      <c r="AC133" s="4">
        <v>365</v>
      </c>
      <c r="AD133" s="32">
        <f t="shared" si="13"/>
        <v>131.7893</v>
      </c>
      <c r="AE133" s="32">
        <f t="shared" si="14"/>
        <v>144.17600000000002</v>
      </c>
      <c r="AF133" s="32">
        <f t="shared" si="15"/>
        <v>59.58</v>
      </c>
      <c r="AG133" s="32">
        <f t="shared" si="15"/>
        <v>147.47</v>
      </c>
      <c r="AH133" s="78"/>
      <c r="AI133" s="78"/>
      <c r="AJ133" s="55">
        <f t="shared" si="16"/>
        <v>483.01530000000002</v>
      </c>
      <c r="AK133" s="32"/>
      <c r="AL133" s="33"/>
      <c r="AM133" s="23"/>
    </row>
    <row r="134" spans="1:39" ht="15.6" x14ac:dyDescent="0.3">
      <c r="A134" s="64"/>
      <c r="B134" s="64"/>
      <c r="C134" s="5" t="s">
        <v>611</v>
      </c>
      <c r="D134" s="5" t="s">
        <v>120</v>
      </c>
      <c r="E134" s="7" t="s">
        <v>0</v>
      </c>
      <c r="F134" s="5"/>
      <c r="G134" s="23"/>
      <c r="H134" s="10">
        <v>1120</v>
      </c>
      <c r="I134" s="10">
        <v>1025</v>
      </c>
      <c r="J134" s="10">
        <v>975</v>
      </c>
      <c r="K134" s="10">
        <v>820</v>
      </c>
      <c r="L134" s="10">
        <v>523</v>
      </c>
      <c r="M134" s="10">
        <v>337</v>
      </c>
      <c r="N134" s="9" cm="1">
        <f t="array" ref="N134">SUM((H134:L134)/5)</f>
        <v>892.6</v>
      </c>
      <c r="O134" s="10">
        <v>650</v>
      </c>
      <c r="P134" s="23"/>
      <c r="Q134" s="30">
        <v>49.308</v>
      </c>
      <c r="R134" s="30">
        <v>72.016000000000005</v>
      </c>
      <c r="S134" s="30">
        <v>0.441</v>
      </c>
      <c r="T134" s="30">
        <v>0.441</v>
      </c>
      <c r="U134" s="30">
        <f t="shared" si="10"/>
        <v>260</v>
      </c>
      <c r="V134" s="30">
        <f t="shared" si="11"/>
        <v>390</v>
      </c>
      <c r="W134" s="23"/>
      <c r="X134" s="30">
        <v>15.868</v>
      </c>
      <c r="Y134" s="30">
        <v>27.083159999999999</v>
      </c>
      <c r="Z134" s="53">
        <v>27.083159999999999</v>
      </c>
      <c r="AA134" s="54">
        <f t="shared" si="12"/>
        <v>44.687213999999997</v>
      </c>
      <c r="AB134" s="23"/>
      <c r="AC134" s="4">
        <v>365</v>
      </c>
      <c r="AD134" s="32">
        <f t="shared" si="13"/>
        <v>131.7893</v>
      </c>
      <c r="AE134" s="32">
        <f t="shared" si="14"/>
        <v>144.17600000000002</v>
      </c>
      <c r="AF134" s="32">
        <f t="shared" si="15"/>
        <v>70.42</v>
      </c>
      <c r="AG134" s="32">
        <f t="shared" si="15"/>
        <v>174.28</v>
      </c>
      <c r="AH134" s="78"/>
      <c r="AI134" s="78"/>
      <c r="AJ134" s="55">
        <f t="shared" si="16"/>
        <v>520.6653</v>
      </c>
      <c r="AK134" s="32"/>
      <c r="AL134" s="33"/>
      <c r="AM134" s="23"/>
    </row>
    <row r="135" spans="1:39" ht="15.6" x14ac:dyDescent="0.3">
      <c r="A135" s="64"/>
      <c r="B135" s="64"/>
      <c r="C135" s="5" t="s">
        <v>611</v>
      </c>
      <c r="D135" s="5" t="s">
        <v>120</v>
      </c>
      <c r="E135" s="7" t="s">
        <v>0</v>
      </c>
      <c r="F135" s="5"/>
      <c r="G135" s="23"/>
      <c r="H135" s="10">
        <v>587</v>
      </c>
      <c r="I135" s="10">
        <v>830</v>
      </c>
      <c r="J135" s="10">
        <v>1353</v>
      </c>
      <c r="K135" s="10">
        <v>1218</v>
      </c>
      <c r="L135" s="10">
        <v>812</v>
      </c>
      <c r="M135" s="10">
        <v>527</v>
      </c>
      <c r="N135" s="9" cm="1">
        <f t="array" ref="N135">SUM((H135:L135)/5)</f>
        <v>960</v>
      </c>
      <c r="O135" s="10">
        <v>960</v>
      </c>
      <c r="P135" s="23"/>
      <c r="Q135" s="30">
        <v>49.308</v>
      </c>
      <c r="R135" s="30">
        <v>72.016000000000005</v>
      </c>
      <c r="S135" s="30">
        <v>0.441</v>
      </c>
      <c r="T135" s="30">
        <v>0.441</v>
      </c>
      <c r="U135" s="30">
        <f t="shared" si="10"/>
        <v>384</v>
      </c>
      <c r="V135" s="30">
        <f t="shared" si="11"/>
        <v>576</v>
      </c>
      <c r="W135" s="23"/>
      <c r="X135" s="30">
        <v>15.868</v>
      </c>
      <c r="Y135" s="30">
        <v>27.083290000000002</v>
      </c>
      <c r="Z135" s="53">
        <v>27.083290000000002</v>
      </c>
      <c r="AA135" s="54">
        <f t="shared" si="12"/>
        <v>44.687428500000003</v>
      </c>
      <c r="AB135" s="23"/>
      <c r="AC135" s="4">
        <v>365</v>
      </c>
      <c r="AD135" s="32">
        <f t="shared" si="13"/>
        <v>131.7893</v>
      </c>
      <c r="AE135" s="32">
        <f t="shared" si="14"/>
        <v>144.17600000000002</v>
      </c>
      <c r="AF135" s="32">
        <f t="shared" si="15"/>
        <v>104</v>
      </c>
      <c r="AG135" s="32">
        <f t="shared" si="15"/>
        <v>257.39999999999998</v>
      </c>
      <c r="AH135" s="78"/>
      <c r="AI135" s="78"/>
      <c r="AJ135" s="55">
        <f t="shared" si="16"/>
        <v>637.36529999999993</v>
      </c>
      <c r="AK135" s="32"/>
      <c r="AL135" s="33"/>
      <c r="AM135" s="23"/>
    </row>
    <row r="136" spans="1:39" ht="15.6" x14ac:dyDescent="0.3">
      <c r="A136" s="64"/>
      <c r="B136" s="64"/>
      <c r="C136" s="5" t="s">
        <v>611</v>
      </c>
      <c r="D136" s="5" t="s">
        <v>120</v>
      </c>
      <c r="E136" s="7" t="s">
        <v>0</v>
      </c>
      <c r="F136" s="5"/>
      <c r="G136" s="23"/>
      <c r="H136" s="10">
        <v>593</v>
      </c>
      <c r="I136" s="10">
        <v>672</v>
      </c>
      <c r="J136" s="10">
        <v>915</v>
      </c>
      <c r="K136" s="10">
        <v>854</v>
      </c>
      <c r="L136" s="10">
        <v>967</v>
      </c>
      <c r="M136" s="10">
        <v>611</v>
      </c>
      <c r="N136" s="9" cm="1">
        <f t="array" ref="N136">SUM((H136:L136)/5)</f>
        <v>800.19999999999993</v>
      </c>
      <c r="O136" s="10">
        <v>800</v>
      </c>
      <c r="P136" s="23"/>
      <c r="Q136" s="30">
        <v>49.308</v>
      </c>
      <c r="R136" s="30">
        <v>72.016000000000005</v>
      </c>
      <c r="S136" s="30">
        <v>0.441</v>
      </c>
      <c r="T136" s="30">
        <v>0.441</v>
      </c>
      <c r="U136" s="30">
        <f t="shared" si="10"/>
        <v>320</v>
      </c>
      <c r="V136" s="30">
        <f t="shared" si="11"/>
        <v>480</v>
      </c>
      <c r="W136" s="23"/>
      <c r="X136" s="30">
        <v>15.868</v>
      </c>
      <c r="Y136" s="30">
        <v>27.08249</v>
      </c>
      <c r="Z136" s="53">
        <v>27.08249</v>
      </c>
      <c r="AA136" s="54">
        <f t="shared" si="12"/>
        <v>44.686108500000003</v>
      </c>
      <c r="AB136" s="23"/>
      <c r="AC136" s="4">
        <v>365</v>
      </c>
      <c r="AD136" s="32">
        <f t="shared" si="13"/>
        <v>131.7893</v>
      </c>
      <c r="AE136" s="32">
        <f t="shared" si="14"/>
        <v>144.17600000000002</v>
      </c>
      <c r="AF136" s="32">
        <f t="shared" si="15"/>
        <v>86.66</v>
      </c>
      <c r="AG136" s="32">
        <f t="shared" si="15"/>
        <v>214.49</v>
      </c>
      <c r="AH136" s="78"/>
      <c r="AI136" s="78"/>
      <c r="AJ136" s="55">
        <f t="shared" si="16"/>
        <v>577.11530000000005</v>
      </c>
      <c r="AK136" s="32"/>
      <c r="AL136" s="33"/>
      <c r="AM136" s="23"/>
    </row>
    <row r="137" spans="1:39" ht="15.6" x14ac:dyDescent="0.3">
      <c r="A137" s="64"/>
      <c r="B137" s="64"/>
      <c r="C137" s="5" t="s">
        <v>611</v>
      </c>
      <c r="D137" s="5" t="s">
        <v>120</v>
      </c>
      <c r="E137" s="7" t="s">
        <v>0</v>
      </c>
      <c r="F137" s="5"/>
      <c r="G137" s="23"/>
      <c r="H137" s="10">
        <v>260</v>
      </c>
      <c r="I137" s="10">
        <v>273</v>
      </c>
      <c r="J137" s="10">
        <v>233</v>
      </c>
      <c r="K137" s="10">
        <v>263</v>
      </c>
      <c r="L137" s="10">
        <v>203</v>
      </c>
      <c r="M137" s="10">
        <v>111</v>
      </c>
      <c r="N137" s="9" cm="1">
        <f t="array" ref="N137">SUM((H137:L137)/5)</f>
        <v>246.39999999999998</v>
      </c>
      <c r="O137" s="10">
        <v>240</v>
      </c>
      <c r="P137" s="23"/>
      <c r="Q137" s="30">
        <v>49.308</v>
      </c>
      <c r="R137" s="30">
        <v>72.016000000000005</v>
      </c>
      <c r="S137" s="30">
        <v>0.441</v>
      </c>
      <c r="T137" s="30">
        <v>0.441</v>
      </c>
      <c r="U137" s="30">
        <f t="shared" ref="U137:U176" si="17">IF(E137="Gas",O137*R132,O137*$R$4)</f>
        <v>96</v>
      </c>
      <c r="V137" s="30">
        <f t="shared" ref="V137:V176" si="18">IF(E137="Gas",O137*T132,O137*$T$4)</f>
        <v>144</v>
      </c>
      <c r="W137" s="23"/>
      <c r="X137" s="30">
        <v>15.868</v>
      </c>
      <c r="Y137" s="30">
        <v>27.08117</v>
      </c>
      <c r="Z137" s="53">
        <v>27.08117</v>
      </c>
      <c r="AA137" s="54">
        <f t="shared" ref="AA137:AA176" si="19">SUM(Z137+Z137*$AA$4)</f>
        <v>44.683930500000002</v>
      </c>
      <c r="AB137" s="23"/>
      <c r="AC137" s="4">
        <v>365</v>
      </c>
      <c r="AD137" s="32">
        <f t="shared" ref="AD137:AD176" si="20">ROUND(R137*183,2)/100</f>
        <v>131.7893</v>
      </c>
      <c r="AE137" s="32">
        <f t="shared" ref="AE137:AE176" si="21">ROUND((R137+R137*$AE$4)*(365-183),2)/100</f>
        <v>144.17600000000002</v>
      </c>
      <c r="AF137" s="32">
        <f t="shared" ref="AF137:AG176" si="22">ROUND((U137*Z137)/100,2)</f>
        <v>26</v>
      </c>
      <c r="AG137" s="32">
        <f t="shared" si="22"/>
        <v>64.34</v>
      </c>
      <c r="AH137" s="78"/>
      <c r="AI137" s="78"/>
      <c r="AJ137" s="55">
        <f t="shared" ref="AJ137:AJ176" si="23">SUM(AD137:AG137)</f>
        <v>366.30529999999999</v>
      </c>
      <c r="AK137" s="32"/>
      <c r="AL137" s="33"/>
      <c r="AM137" s="23"/>
    </row>
    <row r="138" spans="1:39" ht="15.6" x14ac:dyDescent="0.3">
      <c r="A138" s="64"/>
      <c r="B138" s="64"/>
      <c r="C138" s="5" t="s">
        <v>611</v>
      </c>
      <c r="D138" s="5" t="s">
        <v>120</v>
      </c>
      <c r="E138" s="7" t="s">
        <v>0</v>
      </c>
      <c r="F138" s="5"/>
      <c r="G138" s="23"/>
      <c r="H138" s="10">
        <v>155</v>
      </c>
      <c r="I138" s="10">
        <v>811</v>
      </c>
      <c r="J138" s="10">
        <v>858</v>
      </c>
      <c r="K138" s="10">
        <v>870</v>
      </c>
      <c r="L138" s="10">
        <v>316</v>
      </c>
      <c r="M138" s="10">
        <v>48</v>
      </c>
      <c r="N138" s="9" cm="1">
        <f t="array" ref="N138">SUM((H138:L138)/5)</f>
        <v>602</v>
      </c>
      <c r="O138" s="10">
        <v>600</v>
      </c>
      <c r="P138" s="23"/>
      <c r="Q138" s="30">
        <v>49.308</v>
      </c>
      <c r="R138" s="30">
        <v>72.016000000000005</v>
      </c>
      <c r="S138" s="30">
        <v>0.441</v>
      </c>
      <c r="T138" s="30">
        <v>0.441</v>
      </c>
      <c r="U138" s="30">
        <f t="shared" si="17"/>
        <v>240</v>
      </c>
      <c r="V138" s="30">
        <f t="shared" si="18"/>
        <v>360</v>
      </c>
      <c r="W138" s="23"/>
      <c r="X138" s="30">
        <v>15.868</v>
      </c>
      <c r="Y138" s="30">
        <v>27.083069999999999</v>
      </c>
      <c r="Z138" s="53">
        <v>27.083069999999999</v>
      </c>
      <c r="AA138" s="54">
        <f t="shared" si="19"/>
        <v>44.687065500000003</v>
      </c>
      <c r="AB138" s="23"/>
      <c r="AC138" s="4">
        <v>365</v>
      </c>
      <c r="AD138" s="32">
        <f t="shared" si="20"/>
        <v>131.7893</v>
      </c>
      <c r="AE138" s="32">
        <f t="shared" si="21"/>
        <v>144.17600000000002</v>
      </c>
      <c r="AF138" s="32">
        <f t="shared" si="22"/>
        <v>65</v>
      </c>
      <c r="AG138" s="32">
        <f t="shared" si="22"/>
        <v>160.87</v>
      </c>
      <c r="AH138" s="78"/>
      <c r="AI138" s="78"/>
      <c r="AJ138" s="55">
        <f t="shared" si="23"/>
        <v>501.83530000000002</v>
      </c>
      <c r="AK138" s="32"/>
      <c r="AL138" s="33"/>
      <c r="AM138" s="23"/>
    </row>
    <row r="139" spans="1:39" ht="45" x14ac:dyDescent="0.3">
      <c r="A139" s="64"/>
      <c r="B139" s="64"/>
      <c r="C139" s="5" t="s">
        <v>598</v>
      </c>
      <c r="D139" s="5" t="s">
        <v>120</v>
      </c>
      <c r="E139" s="7" t="s">
        <v>0</v>
      </c>
      <c r="F139" s="5"/>
      <c r="G139" s="23"/>
      <c r="H139" s="10">
        <v>1384</v>
      </c>
      <c r="I139" s="10">
        <v>1338</v>
      </c>
      <c r="J139" s="10">
        <v>1586</v>
      </c>
      <c r="K139" s="10">
        <v>1397</v>
      </c>
      <c r="L139" s="10">
        <v>1571</v>
      </c>
      <c r="M139" s="10">
        <v>1149</v>
      </c>
      <c r="N139" s="9" cm="1">
        <f t="array" ref="N139">SUM((H139:L139)/5)</f>
        <v>1455.2</v>
      </c>
      <c r="O139" s="10">
        <v>1455</v>
      </c>
      <c r="P139" s="23"/>
      <c r="Q139" s="30">
        <v>50.334000000000003</v>
      </c>
      <c r="R139" s="30">
        <v>63.256999999999998</v>
      </c>
      <c r="S139" s="30">
        <v>0.441</v>
      </c>
      <c r="T139" s="30">
        <v>0.441</v>
      </c>
      <c r="U139" s="30">
        <f t="shared" si="17"/>
        <v>582</v>
      </c>
      <c r="V139" s="30">
        <f t="shared" si="18"/>
        <v>873</v>
      </c>
      <c r="W139" s="23"/>
      <c r="X139" s="30" t="s">
        <v>207</v>
      </c>
      <c r="Y139" s="30" t="s">
        <v>208</v>
      </c>
      <c r="Z139" s="53">
        <f>SUM(27.39725+24.96565+25.33999)/3</f>
        <v>25.900963333333333</v>
      </c>
      <c r="AA139" s="54">
        <f t="shared" si="19"/>
        <v>42.736589500000001</v>
      </c>
      <c r="AB139" s="23"/>
      <c r="AC139" s="4">
        <v>365</v>
      </c>
      <c r="AD139" s="32">
        <f t="shared" si="20"/>
        <v>115.7603</v>
      </c>
      <c r="AE139" s="32">
        <f t="shared" si="21"/>
        <v>126.64049999999999</v>
      </c>
      <c r="AF139" s="32">
        <f t="shared" si="22"/>
        <v>150.74</v>
      </c>
      <c r="AG139" s="32">
        <f t="shared" si="22"/>
        <v>373.09</v>
      </c>
      <c r="AH139" s="78"/>
      <c r="AI139" s="78"/>
      <c r="AJ139" s="55">
        <f t="shared" si="23"/>
        <v>766.23080000000004</v>
      </c>
      <c r="AK139" s="32"/>
      <c r="AL139" s="33"/>
      <c r="AM139" s="23"/>
    </row>
    <row r="140" spans="1:39" ht="15.6" x14ac:dyDescent="0.3">
      <c r="A140" s="64"/>
      <c r="B140" s="64"/>
      <c r="C140" s="5" t="s">
        <v>500</v>
      </c>
      <c r="D140" s="5" t="s">
        <v>120</v>
      </c>
      <c r="E140" s="7" t="s">
        <v>0</v>
      </c>
      <c r="F140" s="5"/>
      <c r="G140" s="23"/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9" cm="1">
        <f t="array" ref="N140">SUM((H140:L140)/5)</f>
        <v>0</v>
      </c>
      <c r="O140" s="10">
        <v>0</v>
      </c>
      <c r="P140" s="23"/>
      <c r="Q140" s="30">
        <v>49.828000000000003</v>
      </c>
      <c r="R140" s="30">
        <v>63.256999999999998</v>
      </c>
      <c r="S140" s="30">
        <v>0.441</v>
      </c>
      <c r="T140" s="30">
        <v>0.441</v>
      </c>
      <c r="U140" s="30">
        <f t="shared" si="17"/>
        <v>0</v>
      </c>
      <c r="V140" s="30">
        <f t="shared" si="18"/>
        <v>0</v>
      </c>
      <c r="W140" s="23"/>
      <c r="X140" s="30">
        <v>14.475</v>
      </c>
      <c r="Y140" s="30">
        <v>24.701049999999999</v>
      </c>
      <c r="Z140" s="53">
        <v>24.701049999999999</v>
      </c>
      <c r="AA140" s="54">
        <f t="shared" si="19"/>
        <v>40.756732499999998</v>
      </c>
      <c r="AB140" s="23"/>
      <c r="AC140" s="4">
        <v>365</v>
      </c>
      <c r="AD140" s="32">
        <f t="shared" si="20"/>
        <v>115.7603</v>
      </c>
      <c r="AE140" s="32">
        <f t="shared" si="21"/>
        <v>126.64049999999999</v>
      </c>
      <c r="AF140" s="32">
        <f t="shared" si="22"/>
        <v>0</v>
      </c>
      <c r="AG140" s="32">
        <f t="shared" si="22"/>
        <v>0</v>
      </c>
      <c r="AH140" s="78"/>
      <c r="AI140" s="78"/>
      <c r="AJ140" s="55">
        <f t="shared" si="23"/>
        <v>242.4008</v>
      </c>
      <c r="AK140" s="32"/>
      <c r="AL140" s="33"/>
      <c r="AM140" s="23"/>
    </row>
    <row r="141" spans="1:39" ht="15.6" x14ac:dyDescent="0.3">
      <c r="A141" s="64"/>
      <c r="B141" s="64"/>
      <c r="C141" s="5" t="s">
        <v>694</v>
      </c>
      <c r="D141" s="5" t="s">
        <v>120</v>
      </c>
      <c r="E141" s="7" t="s">
        <v>0</v>
      </c>
      <c r="F141" s="5"/>
      <c r="G141" s="23"/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9" cm="1">
        <f t="array" ref="N141">SUM((H141:L141)/5)</f>
        <v>0</v>
      </c>
      <c r="O141" s="10">
        <v>0</v>
      </c>
      <c r="P141" s="23"/>
      <c r="Q141" s="30">
        <v>49.828000000000003</v>
      </c>
      <c r="R141" s="30">
        <v>63.256999999999998</v>
      </c>
      <c r="S141" s="30">
        <v>0.441</v>
      </c>
      <c r="T141" s="30">
        <v>0.441</v>
      </c>
      <c r="U141" s="30">
        <f t="shared" si="17"/>
        <v>0</v>
      </c>
      <c r="V141" s="30">
        <f t="shared" si="18"/>
        <v>0</v>
      </c>
      <c r="W141" s="23"/>
      <c r="X141" s="30">
        <v>14.475</v>
      </c>
      <c r="Y141" s="30">
        <v>24.701049999999999</v>
      </c>
      <c r="Z141" s="53">
        <v>24.701049999999999</v>
      </c>
      <c r="AA141" s="54">
        <f t="shared" si="19"/>
        <v>40.756732499999998</v>
      </c>
      <c r="AB141" s="23"/>
      <c r="AC141" s="4">
        <v>365</v>
      </c>
      <c r="AD141" s="32">
        <f t="shared" si="20"/>
        <v>115.7603</v>
      </c>
      <c r="AE141" s="32">
        <f t="shared" si="21"/>
        <v>126.64049999999999</v>
      </c>
      <c r="AF141" s="32">
        <f t="shared" si="22"/>
        <v>0</v>
      </c>
      <c r="AG141" s="32">
        <f t="shared" si="22"/>
        <v>0</v>
      </c>
      <c r="AH141" s="78"/>
      <c r="AI141" s="78"/>
      <c r="AJ141" s="55">
        <f t="shared" si="23"/>
        <v>242.4008</v>
      </c>
      <c r="AK141" s="32"/>
      <c r="AL141" s="33"/>
      <c r="AM141" s="23"/>
    </row>
    <row r="142" spans="1:39" ht="15.6" x14ac:dyDescent="0.3">
      <c r="A142" s="64"/>
      <c r="B142" s="64"/>
      <c r="C142" s="5" t="s">
        <v>632</v>
      </c>
      <c r="D142" s="5" t="s">
        <v>120</v>
      </c>
      <c r="E142" s="7" t="s">
        <v>0</v>
      </c>
      <c r="F142" s="5"/>
      <c r="G142" s="23"/>
      <c r="H142" s="10">
        <v>1841</v>
      </c>
      <c r="I142" s="10">
        <v>1444</v>
      </c>
      <c r="J142" s="10">
        <v>1402</v>
      </c>
      <c r="K142" s="10">
        <v>2935</v>
      </c>
      <c r="L142" s="10">
        <v>2115</v>
      </c>
      <c r="M142" s="10">
        <v>5741</v>
      </c>
      <c r="N142" s="9" cm="1">
        <f t="array" ref="N142">SUM((H142:L142)/5)</f>
        <v>1947.4</v>
      </c>
      <c r="O142" s="10">
        <v>1950</v>
      </c>
      <c r="P142" s="23"/>
      <c r="Q142" s="30">
        <v>49.308</v>
      </c>
      <c r="R142" s="30">
        <v>72.016000000000005</v>
      </c>
      <c r="S142" s="30">
        <v>0.441</v>
      </c>
      <c r="T142" s="30">
        <v>0.441</v>
      </c>
      <c r="U142" s="30">
        <f t="shared" si="17"/>
        <v>780</v>
      </c>
      <c r="V142" s="30">
        <f t="shared" si="18"/>
        <v>1170</v>
      </c>
      <c r="W142" s="23"/>
      <c r="X142" s="30">
        <v>15.868</v>
      </c>
      <c r="Y142" s="30">
        <v>27.082850000000001</v>
      </c>
      <c r="Z142" s="53">
        <v>27.082850000000001</v>
      </c>
      <c r="AA142" s="54">
        <f t="shared" si="19"/>
        <v>44.686702500000003</v>
      </c>
      <c r="AB142" s="23"/>
      <c r="AC142" s="4">
        <v>365</v>
      </c>
      <c r="AD142" s="32">
        <f t="shared" si="20"/>
        <v>131.7893</v>
      </c>
      <c r="AE142" s="32">
        <f t="shared" si="21"/>
        <v>144.17600000000002</v>
      </c>
      <c r="AF142" s="32">
        <f t="shared" si="22"/>
        <v>211.25</v>
      </c>
      <c r="AG142" s="32">
        <f t="shared" si="22"/>
        <v>522.83000000000004</v>
      </c>
      <c r="AH142" s="78"/>
      <c r="AI142" s="78"/>
      <c r="AJ142" s="55">
        <f t="shared" si="23"/>
        <v>1010.0453</v>
      </c>
      <c r="AK142" s="32"/>
      <c r="AL142" s="33"/>
      <c r="AM142" s="23"/>
    </row>
    <row r="143" spans="1:39" ht="15.6" x14ac:dyDescent="0.3">
      <c r="A143" s="64"/>
      <c r="B143" s="64"/>
      <c r="C143" s="5" t="s">
        <v>632</v>
      </c>
      <c r="D143" s="5" t="s">
        <v>120</v>
      </c>
      <c r="E143" s="7" t="s">
        <v>0</v>
      </c>
      <c r="F143" s="5"/>
      <c r="G143" s="23"/>
      <c r="H143" s="10">
        <v>988</v>
      </c>
      <c r="I143" s="10">
        <v>871</v>
      </c>
      <c r="J143" s="10">
        <v>982</v>
      </c>
      <c r="K143" s="10">
        <v>899</v>
      </c>
      <c r="L143" s="10">
        <v>965</v>
      </c>
      <c r="M143" s="10">
        <v>206</v>
      </c>
      <c r="N143" s="9" cm="1">
        <f t="array" ref="N143">SUM((H143:L143)/5)</f>
        <v>941</v>
      </c>
      <c r="O143" s="10">
        <v>940</v>
      </c>
      <c r="P143" s="23"/>
      <c r="Q143" s="30">
        <v>49.308</v>
      </c>
      <c r="R143" s="30">
        <v>72.016000000000005</v>
      </c>
      <c r="S143" s="30">
        <v>0.441</v>
      </c>
      <c r="T143" s="30">
        <v>0.441</v>
      </c>
      <c r="U143" s="30">
        <f t="shared" si="17"/>
        <v>376</v>
      </c>
      <c r="V143" s="30">
        <f t="shared" si="18"/>
        <v>564</v>
      </c>
      <c r="W143" s="23"/>
      <c r="X143" s="30">
        <v>15.868</v>
      </c>
      <c r="Y143" s="30">
        <v>27.08344</v>
      </c>
      <c r="Z143" s="53">
        <v>27.08344</v>
      </c>
      <c r="AA143" s="54">
        <f t="shared" si="19"/>
        <v>44.687675999999996</v>
      </c>
      <c r="AB143" s="23"/>
      <c r="AC143" s="4">
        <v>365</v>
      </c>
      <c r="AD143" s="32">
        <f t="shared" si="20"/>
        <v>131.7893</v>
      </c>
      <c r="AE143" s="32">
        <f t="shared" si="21"/>
        <v>144.17600000000002</v>
      </c>
      <c r="AF143" s="32">
        <f t="shared" si="22"/>
        <v>101.83</v>
      </c>
      <c r="AG143" s="32">
        <f t="shared" si="22"/>
        <v>252.04</v>
      </c>
      <c r="AH143" s="78"/>
      <c r="AI143" s="78"/>
      <c r="AJ143" s="55">
        <f t="shared" si="23"/>
        <v>629.83529999999996</v>
      </c>
      <c r="AK143" s="32"/>
      <c r="AL143" s="33"/>
      <c r="AM143" s="23"/>
    </row>
    <row r="144" spans="1:39" ht="15.6" x14ac:dyDescent="0.3">
      <c r="A144" s="64"/>
      <c r="B144" s="64"/>
      <c r="C144" s="5" t="s">
        <v>599</v>
      </c>
      <c r="D144" s="5" t="s">
        <v>120</v>
      </c>
      <c r="E144" s="7" t="s">
        <v>0</v>
      </c>
      <c r="F144" s="5"/>
      <c r="G144" s="23"/>
      <c r="H144" s="10">
        <v>868</v>
      </c>
      <c r="I144" s="10">
        <v>851</v>
      </c>
      <c r="J144" s="10">
        <v>854</v>
      </c>
      <c r="K144" s="10">
        <v>318</v>
      </c>
      <c r="L144" s="10">
        <v>215</v>
      </c>
      <c r="M144" s="10">
        <v>113</v>
      </c>
      <c r="N144" s="9" cm="1">
        <f t="array" ref="N144">SUM((H144:L144)/5)</f>
        <v>621.19999999999993</v>
      </c>
      <c r="O144" s="10">
        <v>450</v>
      </c>
      <c r="P144" s="23"/>
      <c r="Q144" s="30">
        <v>49.308</v>
      </c>
      <c r="R144" s="30">
        <v>72.016000000000005</v>
      </c>
      <c r="S144" s="30">
        <v>0.441</v>
      </c>
      <c r="T144" s="30">
        <v>0.441</v>
      </c>
      <c r="U144" s="30">
        <f t="shared" si="17"/>
        <v>180</v>
      </c>
      <c r="V144" s="30">
        <f t="shared" si="18"/>
        <v>270</v>
      </c>
      <c r="W144" s="23"/>
      <c r="X144" s="30">
        <v>15.868</v>
      </c>
      <c r="Y144" s="30">
        <v>27.08352</v>
      </c>
      <c r="Z144" s="53">
        <v>27.08352</v>
      </c>
      <c r="AA144" s="54">
        <f t="shared" si="19"/>
        <v>44.687808000000004</v>
      </c>
      <c r="AB144" s="23"/>
      <c r="AC144" s="4">
        <v>365</v>
      </c>
      <c r="AD144" s="32">
        <f t="shared" si="20"/>
        <v>131.7893</v>
      </c>
      <c r="AE144" s="32">
        <f t="shared" si="21"/>
        <v>144.17600000000002</v>
      </c>
      <c r="AF144" s="32">
        <f t="shared" si="22"/>
        <v>48.75</v>
      </c>
      <c r="AG144" s="32">
        <f t="shared" si="22"/>
        <v>120.66</v>
      </c>
      <c r="AH144" s="78"/>
      <c r="AI144" s="78"/>
      <c r="AJ144" s="55">
        <f t="shared" si="23"/>
        <v>445.37530000000004</v>
      </c>
      <c r="AK144" s="32"/>
      <c r="AL144" s="33"/>
      <c r="AM144" s="23"/>
    </row>
    <row r="145" spans="1:39" ht="45" x14ac:dyDescent="0.3">
      <c r="A145" s="64"/>
      <c r="B145" s="64"/>
      <c r="C145" s="5" t="s">
        <v>599</v>
      </c>
      <c r="D145" s="5" t="s">
        <v>120</v>
      </c>
      <c r="E145" s="7" t="s">
        <v>0</v>
      </c>
      <c r="F145" s="5"/>
      <c r="G145" s="23"/>
      <c r="H145" s="10">
        <v>358</v>
      </c>
      <c r="I145" s="10">
        <v>348</v>
      </c>
      <c r="J145" s="10">
        <v>285</v>
      </c>
      <c r="K145" s="10">
        <v>271</v>
      </c>
      <c r="L145" s="10">
        <v>208</v>
      </c>
      <c r="M145" s="10">
        <v>135</v>
      </c>
      <c r="N145" s="9" cm="1">
        <f t="array" ref="N145">SUM((H145:L145)/5)</f>
        <v>294</v>
      </c>
      <c r="O145" s="10">
        <v>290</v>
      </c>
      <c r="P145" s="23"/>
      <c r="Q145" s="30">
        <v>50.334000000000003</v>
      </c>
      <c r="R145" s="30">
        <v>63.256999999999998</v>
      </c>
      <c r="S145" s="30">
        <v>0.441</v>
      </c>
      <c r="T145" s="30">
        <v>0.441</v>
      </c>
      <c r="U145" s="30">
        <f t="shared" si="17"/>
        <v>116</v>
      </c>
      <c r="V145" s="30">
        <f t="shared" si="18"/>
        <v>174</v>
      </c>
      <c r="W145" s="23"/>
      <c r="X145" s="30" t="s">
        <v>202</v>
      </c>
      <c r="Y145" s="30" t="s">
        <v>209</v>
      </c>
      <c r="Z145" s="53">
        <f>SUM(27.47883+25.0534+25.3757)/3</f>
        <v>25.969309999999997</v>
      </c>
      <c r="AA145" s="54">
        <f t="shared" si="19"/>
        <v>42.849361499999993</v>
      </c>
      <c r="AB145" s="23"/>
      <c r="AC145" s="4">
        <v>365</v>
      </c>
      <c r="AD145" s="32">
        <f t="shared" si="20"/>
        <v>115.7603</v>
      </c>
      <c r="AE145" s="32">
        <f t="shared" si="21"/>
        <v>126.64049999999999</v>
      </c>
      <c r="AF145" s="32">
        <f t="shared" si="22"/>
        <v>30.12</v>
      </c>
      <c r="AG145" s="32">
        <f t="shared" si="22"/>
        <v>74.56</v>
      </c>
      <c r="AH145" s="78"/>
      <c r="AI145" s="78"/>
      <c r="AJ145" s="55">
        <f t="shared" si="23"/>
        <v>347.08080000000001</v>
      </c>
      <c r="AK145" s="32"/>
      <c r="AL145" s="33"/>
      <c r="AM145" s="23"/>
    </row>
    <row r="146" spans="1:39" ht="15.6" x14ac:dyDescent="0.3">
      <c r="A146" s="64"/>
      <c r="B146" s="64"/>
      <c r="C146" s="5" t="s">
        <v>599</v>
      </c>
      <c r="D146" s="5" t="s">
        <v>120</v>
      </c>
      <c r="E146" s="7" t="s">
        <v>0</v>
      </c>
      <c r="F146" s="5"/>
      <c r="G146" s="23"/>
      <c r="H146" s="10">
        <v>182</v>
      </c>
      <c r="I146" s="10">
        <v>503</v>
      </c>
      <c r="J146" s="10">
        <v>247</v>
      </c>
      <c r="K146" s="10">
        <v>232</v>
      </c>
      <c r="L146" s="10">
        <v>208</v>
      </c>
      <c r="M146" s="10">
        <v>115</v>
      </c>
      <c r="N146" s="9" cm="1">
        <f t="array" ref="N146">SUM((H146:L146)/5)</f>
        <v>274.40000000000003</v>
      </c>
      <c r="O146" s="10">
        <v>270</v>
      </c>
      <c r="P146" s="23"/>
      <c r="Q146" s="30">
        <v>49.308</v>
      </c>
      <c r="R146" s="30">
        <v>72.016000000000005</v>
      </c>
      <c r="S146" s="30">
        <v>0.441</v>
      </c>
      <c r="T146" s="30">
        <v>0.441</v>
      </c>
      <c r="U146" s="30">
        <f t="shared" si="17"/>
        <v>108</v>
      </c>
      <c r="V146" s="30">
        <f t="shared" si="18"/>
        <v>162</v>
      </c>
      <c r="W146" s="23"/>
      <c r="X146" s="30">
        <v>15.868</v>
      </c>
      <c r="Y146" s="30">
        <v>27.08325</v>
      </c>
      <c r="Z146" s="53">
        <v>27.08325</v>
      </c>
      <c r="AA146" s="54">
        <f t="shared" si="19"/>
        <v>44.687362499999999</v>
      </c>
      <c r="AB146" s="23"/>
      <c r="AC146" s="4">
        <v>365</v>
      </c>
      <c r="AD146" s="32">
        <f t="shared" si="20"/>
        <v>131.7893</v>
      </c>
      <c r="AE146" s="32">
        <f t="shared" si="21"/>
        <v>144.17600000000002</v>
      </c>
      <c r="AF146" s="32">
        <f t="shared" si="22"/>
        <v>29.25</v>
      </c>
      <c r="AG146" s="32">
        <f t="shared" si="22"/>
        <v>72.39</v>
      </c>
      <c r="AH146" s="78"/>
      <c r="AI146" s="78"/>
      <c r="AJ146" s="55">
        <f t="shared" si="23"/>
        <v>377.6053</v>
      </c>
      <c r="AK146" s="32"/>
      <c r="AL146" s="33"/>
      <c r="AM146" s="23"/>
    </row>
    <row r="147" spans="1:39" ht="15.6" x14ac:dyDescent="0.3">
      <c r="A147" s="64"/>
      <c r="B147" s="64"/>
      <c r="C147" s="5" t="s">
        <v>599</v>
      </c>
      <c r="D147" s="5" t="s">
        <v>120</v>
      </c>
      <c r="E147" s="7" t="s">
        <v>0</v>
      </c>
      <c r="F147" s="5"/>
      <c r="G147" s="23"/>
      <c r="H147" s="10">
        <v>792</v>
      </c>
      <c r="I147" s="10">
        <v>329</v>
      </c>
      <c r="J147" s="10">
        <v>467</v>
      </c>
      <c r="K147" s="10">
        <v>423</v>
      </c>
      <c r="L147" s="10">
        <v>482</v>
      </c>
      <c r="M147" s="10">
        <v>136</v>
      </c>
      <c r="N147" s="9" cm="1">
        <f t="array" ref="N147">SUM((H147:L147)/5)</f>
        <v>498.6</v>
      </c>
      <c r="O147" s="10">
        <v>470</v>
      </c>
      <c r="P147" s="23"/>
      <c r="Q147" s="56">
        <v>0</v>
      </c>
      <c r="R147" s="56"/>
      <c r="S147" s="30">
        <v>0.441</v>
      </c>
      <c r="T147" s="30">
        <v>0.441</v>
      </c>
      <c r="U147" s="30">
        <f t="shared" si="17"/>
        <v>188</v>
      </c>
      <c r="V147" s="30">
        <f t="shared" si="18"/>
        <v>282</v>
      </c>
      <c r="W147" s="23"/>
      <c r="X147" s="30">
        <v>15.868</v>
      </c>
      <c r="Y147" s="56"/>
      <c r="Z147" s="57"/>
      <c r="AA147" s="54">
        <f t="shared" si="19"/>
        <v>0</v>
      </c>
      <c r="AB147" s="23"/>
      <c r="AC147" s="4">
        <v>365</v>
      </c>
      <c r="AD147" s="32">
        <f t="shared" si="20"/>
        <v>0</v>
      </c>
      <c r="AE147" s="32">
        <f t="shared" si="21"/>
        <v>0</v>
      </c>
      <c r="AF147" s="32">
        <f t="shared" si="22"/>
        <v>0</v>
      </c>
      <c r="AG147" s="32">
        <f t="shared" si="22"/>
        <v>0</v>
      </c>
      <c r="AH147" s="78"/>
      <c r="AI147" s="78"/>
      <c r="AJ147" s="55">
        <f t="shared" si="23"/>
        <v>0</v>
      </c>
      <c r="AK147" s="32"/>
      <c r="AL147" s="33"/>
      <c r="AM147" s="23"/>
    </row>
    <row r="148" spans="1:39" ht="15.6" x14ac:dyDescent="0.3">
      <c r="A148" s="64"/>
      <c r="B148" s="64"/>
      <c r="C148" s="5" t="s">
        <v>695</v>
      </c>
      <c r="D148" s="5" t="s">
        <v>120</v>
      </c>
      <c r="E148" s="7" t="s">
        <v>0</v>
      </c>
      <c r="F148" s="5"/>
      <c r="G148" s="23"/>
      <c r="H148" s="10">
        <v>57</v>
      </c>
      <c r="I148" s="10">
        <v>95</v>
      </c>
      <c r="J148" s="10">
        <v>92</v>
      </c>
      <c r="K148" s="10">
        <v>87</v>
      </c>
      <c r="L148" s="10">
        <v>103</v>
      </c>
      <c r="M148" s="10">
        <v>44</v>
      </c>
      <c r="N148" s="9" cm="1">
        <f t="array" ref="N148">SUM((H148:L148)/5)</f>
        <v>86.799999999999983</v>
      </c>
      <c r="O148" s="10">
        <v>80</v>
      </c>
      <c r="P148" s="23"/>
      <c r="Q148" s="30">
        <v>49.308</v>
      </c>
      <c r="R148" s="30">
        <v>72.016000000000005</v>
      </c>
      <c r="S148" s="30">
        <v>0.441</v>
      </c>
      <c r="T148" s="30">
        <v>0.441</v>
      </c>
      <c r="U148" s="30">
        <f t="shared" si="17"/>
        <v>32</v>
      </c>
      <c r="V148" s="30">
        <f t="shared" si="18"/>
        <v>48</v>
      </c>
      <c r="W148" s="23"/>
      <c r="X148" s="30">
        <v>15.868</v>
      </c>
      <c r="Y148" s="30">
        <v>27.0808</v>
      </c>
      <c r="Z148" s="53">
        <v>27.0808</v>
      </c>
      <c r="AA148" s="54">
        <f t="shared" si="19"/>
        <v>44.683320000000002</v>
      </c>
      <c r="AB148" s="23"/>
      <c r="AC148" s="4">
        <v>365</v>
      </c>
      <c r="AD148" s="32">
        <f t="shared" si="20"/>
        <v>131.7893</v>
      </c>
      <c r="AE148" s="32">
        <f t="shared" si="21"/>
        <v>144.17600000000002</v>
      </c>
      <c r="AF148" s="32">
        <f t="shared" si="22"/>
        <v>8.67</v>
      </c>
      <c r="AG148" s="32">
        <f t="shared" si="22"/>
        <v>21.45</v>
      </c>
      <c r="AH148" s="78"/>
      <c r="AI148" s="78"/>
      <c r="AJ148" s="55">
        <f t="shared" si="23"/>
        <v>306.08530000000002</v>
      </c>
      <c r="AK148" s="32"/>
      <c r="AL148" s="33"/>
      <c r="AM148" s="23"/>
    </row>
    <row r="149" spans="1:39" ht="15.6" x14ac:dyDescent="0.3">
      <c r="A149" s="64"/>
      <c r="B149" s="64"/>
      <c r="C149" s="5" t="s">
        <v>599</v>
      </c>
      <c r="D149" s="5" t="s">
        <v>120</v>
      </c>
      <c r="E149" s="7" t="s">
        <v>0</v>
      </c>
      <c r="F149" s="5"/>
      <c r="G149" s="23"/>
      <c r="H149" s="10">
        <v>620</v>
      </c>
      <c r="I149" s="10">
        <v>249</v>
      </c>
      <c r="J149" s="10">
        <v>249</v>
      </c>
      <c r="K149" s="10">
        <v>251</v>
      </c>
      <c r="L149" s="10">
        <v>265</v>
      </c>
      <c r="M149" s="10">
        <v>77</v>
      </c>
      <c r="N149" s="9" cm="1">
        <f t="array" ref="N149">SUM((H149:L149)/5)</f>
        <v>326.8</v>
      </c>
      <c r="O149" s="10">
        <v>270</v>
      </c>
      <c r="P149" s="23"/>
      <c r="Q149" s="56">
        <v>0</v>
      </c>
      <c r="R149" s="56"/>
      <c r="S149" s="30">
        <v>0.441</v>
      </c>
      <c r="T149" s="30">
        <v>0.441</v>
      </c>
      <c r="U149" s="30">
        <f t="shared" si="17"/>
        <v>108</v>
      </c>
      <c r="V149" s="30">
        <f t="shared" si="18"/>
        <v>162</v>
      </c>
      <c r="W149" s="23"/>
      <c r="X149" s="30">
        <v>15.868</v>
      </c>
      <c r="Y149" s="56"/>
      <c r="Z149" s="57"/>
      <c r="AA149" s="54">
        <f t="shared" si="19"/>
        <v>0</v>
      </c>
      <c r="AB149" s="23"/>
      <c r="AC149" s="4">
        <v>365</v>
      </c>
      <c r="AD149" s="32">
        <f t="shared" si="20"/>
        <v>0</v>
      </c>
      <c r="AE149" s="32">
        <f t="shared" si="21"/>
        <v>0</v>
      </c>
      <c r="AF149" s="32">
        <f t="shared" si="22"/>
        <v>0</v>
      </c>
      <c r="AG149" s="32">
        <f t="shared" si="22"/>
        <v>0</v>
      </c>
      <c r="AH149" s="78"/>
      <c r="AI149" s="78"/>
      <c r="AJ149" s="55">
        <f t="shared" si="23"/>
        <v>0</v>
      </c>
      <c r="AK149" s="32"/>
      <c r="AL149" s="33"/>
      <c r="AM149" s="23"/>
    </row>
    <row r="150" spans="1:39" ht="15.6" x14ac:dyDescent="0.3">
      <c r="A150" s="64"/>
      <c r="B150" s="64"/>
      <c r="C150" s="5" t="s">
        <v>599</v>
      </c>
      <c r="D150" s="5" t="s">
        <v>120</v>
      </c>
      <c r="E150" s="7" t="s">
        <v>0</v>
      </c>
      <c r="F150" s="5"/>
      <c r="G150" s="23"/>
      <c r="H150" s="10">
        <v>252</v>
      </c>
      <c r="I150" s="10">
        <v>262</v>
      </c>
      <c r="J150" s="10">
        <v>241</v>
      </c>
      <c r="K150" s="10">
        <v>235</v>
      </c>
      <c r="L150" s="10">
        <v>193</v>
      </c>
      <c r="M150" s="10">
        <v>86</v>
      </c>
      <c r="N150" s="9" cm="1">
        <f t="array" ref="N150">SUM((H150:L150)/5)</f>
        <v>236.6</v>
      </c>
      <c r="O150" s="10">
        <v>230</v>
      </c>
      <c r="P150" s="23"/>
      <c r="Q150" s="30">
        <v>49.308</v>
      </c>
      <c r="R150" s="30">
        <v>72.016000000000005</v>
      </c>
      <c r="S150" s="30">
        <v>0.441</v>
      </c>
      <c r="T150" s="30">
        <v>0.441</v>
      </c>
      <c r="U150" s="30">
        <f t="shared" si="17"/>
        <v>92</v>
      </c>
      <c r="V150" s="30">
        <f t="shared" si="18"/>
        <v>138</v>
      </c>
      <c r="W150" s="23"/>
      <c r="X150" s="30">
        <v>15.868</v>
      </c>
      <c r="Y150" s="30">
        <v>27.084669999999999</v>
      </c>
      <c r="Z150" s="53">
        <v>27.084669999999999</v>
      </c>
      <c r="AA150" s="54">
        <f t="shared" si="19"/>
        <v>44.689705500000002</v>
      </c>
      <c r="AB150" s="23"/>
      <c r="AC150" s="4">
        <v>365</v>
      </c>
      <c r="AD150" s="32">
        <f t="shared" si="20"/>
        <v>131.7893</v>
      </c>
      <c r="AE150" s="32">
        <f t="shared" si="21"/>
        <v>144.17600000000002</v>
      </c>
      <c r="AF150" s="32">
        <f t="shared" si="22"/>
        <v>24.92</v>
      </c>
      <c r="AG150" s="32">
        <f t="shared" si="22"/>
        <v>61.67</v>
      </c>
      <c r="AH150" s="78"/>
      <c r="AI150" s="78"/>
      <c r="AJ150" s="55">
        <f t="shared" si="23"/>
        <v>362.55530000000005</v>
      </c>
      <c r="AK150" s="32"/>
      <c r="AL150" s="33"/>
      <c r="AM150" s="23"/>
    </row>
    <row r="151" spans="1:39" ht="15.6" x14ac:dyDescent="0.3">
      <c r="A151" s="64"/>
      <c r="B151" s="64"/>
      <c r="C151" s="5" t="s">
        <v>664</v>
      </c>
      <c r="D151" s="5" t="s">
        <v>120</v>
      </c>
      <c r="E151" s="7" t="s">
        <v>0</v>
      </c>
      <c r="F151" s="5"/>
      <c r="G151" s="23"/>
      <c r="H151" s="10">
        <v>497</v>
      </c>
      <c r="I151" s="10">
        <v>386</v>
      </c>
      <c r="J151" s="10">
        <v>337</v>
      </c>
      <c r="K151" s="10">
        <v>288</v>
      </c>
      <c r="L151" s="10">
        <v>218</v>
      </c>
      <c r="M151" s="10">
        <v>105</v>
      </c>
      <c r="N151" s="9" cm="1">
        <f t="array" ref="N151">SUM((H151:L151)/5)</f>
        <v>345.20000000000005</v>
      </c>
      <c r="O151" s="10">
        <v>345</v>
      </c>
      <c r="P151" s="23"/>
      <c r="Q151" s="30">
        <v>49.308</v>
      </c>
      <c r="R151" s="30">
        <v>72.016000000000005</v>
      </c>
      <c r="S151" s="30">
        <v>0.441</v>
      </c>
      <c r="T151" s="30">
        <v>0.441</v>
      </c>
      <c r="U151" s="30">
        <f t="shared" si="17"/>
        <v>138</v>
      </c>
      <c r="V151" s="30">
        <f t="shared" si="18"/>
        <v>207</v>
      </c>
      <c r="W151" s="23"/>
      <c r="X151" s="30">
        <v>15.868</v>
      </c>
      <c r="Y151" s="30">
        <v>27.08361</v>
      </c>
      <c r="Z151" s="53">
        <v>27.08361</v>
      </c>
      <c r="AA151" s="54">
        <f t="shared" si="19"/>
        <v>44.687956499999999</v>
      </c>
      <c r="AB151" s="23"/>
      <c r="AC151" s="4">
        <v>365</v>
      </c>
      <c r="AD151" s="32">
        <f t="shared" si="20"/>
        <v>131.7893</v>
      </c>
      <c r="AE151" s="32">
        <f t="shared" si="21"/>
        <v>144.17600000000002</v>
      </c>
      <c r="AF151" s="32">
        <f t="shared" si="22"/>
        <v>37.380000000000003</v>
      </c>
      <c r="AG151" s="32">
        <f t="shared" si="22"/>
        <v>92.5</v>
      </c>
      <c r="AH151" s="78"/>
      <c r="AI151" s="78"/>
      <c r="AJ151" s="55">
        <f t="shared" si="23"/>
        <v>405.84530000000001</v>
      </c>
      <c r="AK151" s="32"/>
      <c r="AL151" s="33"/>
      <c r="AM151" s="23"/>
    </row>
    <row r="152" spans="1:39" ht="15.6" x14ac:dyDescent="0.3">
      <c r="A152" s="64"/>
      <c r="B152" s="64"/>
      <c r="C152" s="5" t="s">
        <v>696</v>
      </c>
      <c r="D152" s="5" t="s">
        <v>120</v>
      </c>
      <c r="E152" s="7" t="s">
        <v>0</v>
      </c>
      <c r="F152" s="5"/>
      <c r="G152" s="23"/>
      <c r="H152" s="10">
        <v>168</v>
      </c>
      <c r="I152" s="10">
        <v>2243</v>
      </c>
      <c r="J152" s="10">
        <v>5</v>
      </c>
      <c r="K152" s="10">
        <v>3</v>
      </c>
      <c r="L152" s="10">
        <v>4</v>
      </c>
      <c r="M152" s="10">
        <v>2</v>
      </c>
      <c r="N152" s="9" cm="1">
        <f t="array" ref="N152">SUM((H152:L152)/5)</f>
        <v>484.60000000000008</v>
      </c>
      <c r="O152" s="10">
        <v>400</v>
      </c>
      <c r="P152" s="23"/>
      <c r="Q152" s="30">
        <v>49.308</v>
      </c>
      <c r="R152" s="30">
        <v>72.016000000000005</v>
      </c>
      <c r="S152" s="30">
        <v>0.441</v>
      </c>
      <c r="T152" s="30">
        <v>0.441</v>
      </c>
      <c r="U152" s="30">
        <f t="shared" si="17"/>
        <v>160</v>
      </c>
      <c r="V152" s="30">
        <f t="shared" si="18"/>
        <v>240</v>
      </c>
      <c r="W152" s="23"/>
      <c r="X152" s="30">
        <v>15.868</v>
      </c>
      <c r="Y152" s="30">
        <v>26.98997</v>
      </c>
      <c r="Z152" s="53">
        <v>26.98997</v>
      </c>
      <c r="AA152" s="54">
        <f t="shared" si="19"/>
        <v>44.533450500000001</v>
      </c>
      <c r="AB152" s="23"/>
      <c r="AC152" s="4">
        <v>365</v>
      </c>
      <c r="AD152" s="32">
        <f t="shared" si="20"/>
        <v>131.7893</v>
      </c>
      <c r="AE152" s="32">
        <f t="shared" si="21"/>
        <v>144.17600000000002</v>
      </c>
      <c r="AF152" s="32">
        <f t="shared" si="22"/>
        <v>43.18</v>
      </c>
      <c r="AG152" s="32">
        <f t="shared" si="22"/>
        <v>106.88</v>
      </c>
      <c r="AH152" s="78"/>
      <c r="AI152" s="78"/>
      <c r="AJ152" s="55">
        <f t="shared" si="23"/>
        <v>426.02530000000002</v>
      </c>
      <c r="AK152" s="32"/>
      <c r="AL152" s="33"/>
      <c r="AM152" s="23"/>
    </row>
    <row r="153" spans="1:39" ht="15.6" x14ac:dyDescent="0.3">
      <c r="A153" s="64"/>
      <c r="B153" s="64"/>
      <c r="C153" s="5" t="s">
        <v>617</v>
      </c>
      <c r="D153" s="5" t="s">
        <v>120</v>
      </c>
      <c r="E153" s="7" t="s">
        <v>0</v>
      </c>
      <c r="F153" s="5"/>
      <c r="G153" s="23"/>
      <c r="H153" s="10">
        <v>250</v>
      </c>
      <c r="I153" s="10">
        <v>247</v>
      </c>
      <c r="J153" s="10">
        <v>249</v>
      </c>
      <c r="K153" s="10">
        <v>240</v>
      </c>
      <c r="L153" s="10">
        <v>2400</v>
      </c>
      <c r="M153" s="10">
        <v>156</v>
      </c>
      <c r="N153" s="9" cm="1">
        <f t="array" ref="N153">SUM((H153:L153)/5)</f>
        <v>677.2</v>
      </c>
      <c r="O153" s="10">
        <v>670</v>
      </c>
      <c r="P153" s="23"/>
      <c r="Q153" s="30">
        <v>49.308</v>
      </c>
      <c r="R153" s="30">
        <v>72.016000000000005</v>
      </c>
      <c r="S153" s="30">
        <v>0.441</v>
      </c>
      <c r="T153" s="30">
        <v>0.441</v>
      </c>
      <c r="U153" s="30">
        <f t="shared" si="17"/>
        <v>268</v>
      </c>
      <c r="V153" s="30">
        <f t="shared" si="18"/>
        <v>402</v>
      </c>
      <c r="W153" s="23"/>
      <c r="X153" s="30">
        <v>15.868</v>
      </c>
      <c r="Y153" s="30">
        <v>27.08277</v>
      </c>
      <c r="Z153" s="53">
        <v>27.08277</v>
      </c>
      <c r="AA153" s="54">
        <f t="shared" si="19"/>
        <v>44.686570500000002</v>
      </c>
      <c r="AB153" s="23"/>
      <c r="AC153" s="4">
        <v>365</v>
      </c>
      <c r="AD153" s="32">
        <f t="shared" si="20"/>
        <v>131.7893</v>
      </c>
      <c r="AE153" s="32">
        <f t="shared" si="21"/>
        <v>144.17600000000002</v>
      </c>
      <c r="AF153" s="32">
        <f t="shared" si="22"/>
        <v>72.58</v>
      </c>
      <c r="AG153" s="32">
        <f t="shared" si="22"/>
        <v>179.64</v>
      </c>
      <c r="AH153" s="78"/>
      <c r="AI153" s="78"/>
      <c r="AJ153" s="55">
        <f t="shared" si="23"/>
        <v>528.18529999999998</v>
      </c>
      <c r="AK153" s="32"/>
      <c r="AL153" s="33"/>
      <c r="AM153" s="23"/>
    </row>
    <row r="154" spans="1:39" ht="15.6" x14ac:dyDescent="0.3">
      <c r="A154" s="64"/>
      <c r="B154" s="64"/>
      <c r="C154" s="5" t="s">
        <v>494</v>
      </c>
      <c r="D154" s="5" t="s">
        <v>120</v>
      </c>
      <c r="E154" s="7" t="s">
        <v>0</v>
      </c>
      <c r="F154" s="5"/>
      <c r="G154" s="23"/>
      <c r="H154" s="10">
        <v>0</v>
      </c>
      <c r="I154" s="10">
        <v>0</v>
      </c>
      <c r="J154" s="10">
        <v>0</v>
      </c>
      <c r="K154" s="10">
        <v>0</v>
      </c>
      <c r="L154" s="10">
        <v>2175</v>
      </c>
      <c r="M154" s="10">
        <v>1479</v>
      </c>
      <c r="N154" s="9" cm="1">
        <f t="array" ref="N154">SUM((H154:L154)/5)</f>
        <v>435</v>
      </c>
      <c r="O154" s="10">
        <v>1500</v>
      </c>
      <c r="P154" s="23"/>
      <c r="Q154" s="30">
        <v>49.308</v>
      </c>
      <c r="R154" s="30">
        <v>72.016000000000005</v>
      </c>
      <c r="S154" s="30">
        <v>0.441</v>
      </c>
      <c r="T154" s="30">
        <v>0.441</v>
      </c>
      <c r="U154" s="30">
        <f t="shared" si="17"/>
        <v>600</v>
      </c>
      <c r="V154" s="30">
        <f t="shared" si="18"/>
        <v>900</v>
      </c>
      <c r="W154" s="23"/>
      <c r="X154" s="30">
        <v>15.868</v>
      </c>
      <c r="Y154" s="30">
        <v>27.082809999999998</v>
      </c>
      <c r="Z154" s="53">
        <v>27.082809999999998</v>
      </c>
      <c r="AA154" s="54">
        <f t="shared" si="19"/>
        <v>44.686636499999999</v>
      </c>
      <c r="AB154" s="23"/>
      <c r="AC154" s="4">
        <v>365</v>
      </c>
      <c r="AD154" s="32">
        <f t="shared" si="20"/>
        <v>131.7893</v>
      </c>
      <c r="AE154" s="32">
        <f t="shared" si="21"/>
        <v>144.17600000000002</v>
      </c>
      <c r="AF154" s="32">
        <f t="shared" si="22"/>
        <v>162.5</v>
      </c>
      <c r="AG154" s="32">
        <f t="shared" si="22"/>
        <v>402.18</v>
      </c>
      <c r="AH154" s="78"/>
      <c r="AI154" s="78"/>
      <c r="AJ154" s="55">
        <f t="shared" si="23"/>
        <v>840.64530000000002</v>
      </c>
      <c r="AK154" s="32"/>
      <c r="AL154" s="33"/>
      <c r="AM154" s="23"/>
    </row>
    <row r="155" spans="1:39" ht="15.6" x14ac:dyDescent="0.3">
      <c r="A155" s="64"/>
      <c r="B155" s="64"/>
      <c r="C155" s="5" t="s">
        <v>665</v>
      </c>
      <c r="D155" s="5" t="s">
        <v>120</v>
      </c>
      <c r="E155" s="7" t="s">
        <v>0</v>
      </c>
      <c r="F155" s="5"/>
      <c r="G155" s="23"/>
      <c r="H155" s="10">
        <v>570</v>
      </c>
      <c r="I155" s="10">
        <v>294</v>
      </c>
      <c r="J155" s="10">
        <v>390</v>
      </c>
      <c r="K155" s="10">
        <v>524</v>
      </c>
      <c r="L155" s="10">
        <v>1061</v>
      </c>
      <c r="M155" s="10">
        <v>371</v>
      </c>
      <c r="N155" s="9" cm="1">
        <f t="array" ref="N155">SUM((H155:L155)/5)</f>
        <v>567.79999999999995</v>
      </c>
      <c r="O155" s="10">
        <v>560</v>
      </c>
      <c r="P155" s="23"/>
      <c r="Q155" s="30">
        <v>49.308</v>
      </c>
      <c r="R155" s="30">
        <v>72.016000000000005</v>
      </c>
      <c r="S155" s="30">
        <v>0.441</v>
      </c>
      <c r="T155" s="30">
        <v>0.441</v>
      </c>
      <c r="U155" s="30">
        <f t="shared" si="17"/>
        <v>224</v>
      </c>
      <c r="V155" s="30">
        <f t="shared" si="18"/>
        <v>336</v>
      </c>
      <c r="W155" s="23"/>
      <c r="X155" s="30">
        <v>15.868</v>
      </c>
      <c r="Y155" s="30">
        <v>27.083259999999999</v>
      </c>
      <c r="Z155" s="53">
        <v>27.083259999999999</v>
      </c>
      <c r="AA155" s="54">
        <f t="shared" si="19"/>
        <v>44.687379</v>
      </c>
      <c r="AB155" s="23"/>
      <c r="AC155" s="4">
        <v>365</v>
      </c>
      <c r="AD155" s="32">
        <f t="shared" si="20"/>
        <v>131.7893</v>
      </c>
      <c r="AE155" s="32">
        <f t="shared" si="21"/>
        <v>144.17600000000002</v>
      </c>
      <c r="AF155" s="32">
        <f t="shared" si="22"/>
        <v>60.67</v>
      </c>
      <c r="AG155" s="32">
        <f t="shared" si="22"/>
        <v>150.15</v>
      </c>
      <c r="AH155" s="78"/>
      <c r="AI155" s="78"/>
      <c r="AJ155" s="55">
        <f t="shared" si="23"/>
        <v>486.78530000000001</v>
      </c>
      <c r="AK155" s="32"/>
      <c r="AL155" s="33"/>
      <c r="AM155" s="23"/>
    </row>
    <row r="156" spans="1:39" ht="30" x14ac:dyDescent="0.3">
      <c r="A156" s="64"/>
      <c r="B156" s="64"/>
      <c r="C156" s="5" t="s">
        <v>612</v>
      </c>
      <c r="D156" s="5" t="s">
        <v>120</v>
      </c>
      <c r="E156" s="7" t="s">
        <v>0</v>
      </c>
      <c r="F156" s="5"/>
      <c r="G156" s="23"/>
      <c r="H156" s="10">
        <v>500</v>
      </c>
      <c r="I156" s="10">
        <v>565</v>
      </c>
      <c r="J156" s="10">
        <v>557</v>
      </c>
      <c r="K156" s="10">
        <v>272</v>
      </c>
      <c r="L156" s="10">
        <v>256</v>
      </c>
      <c r="M156" s="10">
        <v>217</v>
      </c>
      <c r="N156" s="9" cm="1">
        <f t="array" ref="N156">SUM((H156:L156)/5)</f>
        <v>429.99999999999994</v>
      </c>
      <c r="O156" s="10">
        <v>430</v>
      </c>
      <c r="P156" s="23"/>
      <c r="Q156" s="30">
        <v>50.334000000000003</v>
      </c>
      <c r="R156" s="30">
        <v>63.256999999999998</v>
      </c>
      <c r="S156" s="30">
        <v>0.441</v>
      </c>
      <c r="T156" s="30">
        <v>0.441</v>
      </c>
      <c r="U156" s="30">
        <f t="shared" si="17"/>
        <v>172</v>
      </c>
      <c r="V156" s="30">
        <f t="shared" si="18"/>
        <v>258</v>
      </c>
      <c r="W156" s="23"/>
      <c r="X156" s="30" t="s">
        <v>167</v>
      </c>
      <c r="Y156" s="30" t="s">
        <v>210</v>
      </c>
      <c r="Z156" s="53">
        <f>SUM(26.73635+25.10401)/2</f>
        <v>25.920180000000002</v>
      </c>
      <c r="AA156" s="54">
        <f t="shared" si="19"/>
        <v>42.768297000000004</v>
      </c>
      <c r="AB156" s="23"/>
      <c r="AC156" s="4">
        <v>365</v>
      </c>
      <c r="AD156" s="32">
        <f t="shared" si="20"/>
        <v>115.7603</v>
      </c>
      <c r="AE156" s="32">
        <f t="shared" si="21"/>
        <v>126.64049999999999</v>
      </c>
      <c r="AF156" s="32">
        <f t="shared" si="22"/>
        <v>44.58</v>
      </c>
      <c r="AG156" s="32">
        <f t="shared" si="22"/>
        <v>110.34</v>
      </c>
      <c r="AH156" s="78"/>
      <c r="AI156" s="78"/>
      <c r="AJ156" s="55">
        <f t="shared" si="23"/>
        <v>397.32079999999996</v>
      </c>
      <c r="AK156" s="32"/>
      <c r="AL156" s="33"/>
      <c r="AM156" s="23"/>
    </row>
    <row r="157" spans="1:39" ht="30" x14ac:dyDescent="0.3">
      <c r="A157" s="64"/>
      <c r="B157" s="64"/>
      <c r="C157" s="5" t="s">
        <v>612</v>
      </c>
      <c r="D157" s="5" t="s">
        <v>120</v>
      </c>
      <c r="E157" s="7" t="s">
        <v>0</v>
      </c>
      <c r="F157" s="5"/>
      <c r="G157" s="23"/>
      <c r="H157" s="10">
        <v>1270</v>
      </c>
      <c r="I157" s="10">
        <v>1382</v>
      </c>
      <c r="J157" s="10">
        <v>1441</v>
      </c>
      <c r="K157" s="10">
        <v>1352</v>
      </c>
      <c r="L157" s="10">
        <v>946</v>
      </c>
      <c r="M157" s="10">
        <v>618</v>
      </c>
      <c r="N157" s="9" cm="1">
        <f t="array" ref="N157">SUM((H157:L157)/5)</f>
        <v>1278.2</v>
      </c>
      <c r="O157" s="10">
        <v>1270</v>
      </c>
      <c r="P157" s="23"/>
      <c r="Q157" s="30">
        <v>50.334000000000003</v>
      </c>
      <c r="R157" s="30">
        <v>63.256999999999998</v>
      </c>
      <c r="S157" s="30">
        <v>0.441</v>
      </c>
      <c r="T157" s="30">
        <v>0.441</v>
      </c>
      <c r="U157" s="30">
        <f t="shared" si="17"/>
        <v>508</v>
      </c>
      <c r="V157" s="30">
        <f t="shared" si="18"/>
        <v>762</v>
      </c>
      <c r="W157" s="23"/>
      <c r="X157" s="30" t="s">
        <v>167</v>
      </c>
      <c r="Y157" s="30" t="s">
        <v>211</v>
      </c>
      <c r="Z157" s="53">
        <f>SUM(26.73425+25.10328)/2</f>
        <v>25.918765</v>
      </c>
      <c r="AA157" s="54">
        <f t="shared" si="19"/>
        <v>42.765962250000001</v>
      </c>
      <c r="AB157" s="23"/>
      <c r="AC157" s="4">
        <v>365</v>
      </c>
      <c r="AD157" s="32">
        <f t="shared" si="20"/>
        <v>115.7603</v>
      </c>
      <c r="AE157" s="32">
        <f t="shared" si="21"/>
        <v>126.64049999999999</v>
      </c>
      <c r="AF157" s="32">
        <f t="shared" si="22"/>
        <v>131.66999999999999</v>
      </c>
      <c r="AG157" s="32">
        <f t="shared" si="22"/>
        <v>325.88</v>
      </c>
      <c r="AH157" s="78"/>
      <c r="AI157" s="78"/>
      <c r="AJ157" s="55">
        <f t="shared" si="23"/>
        <v>699.95079999999996</v>
      </c>
      <c r="AK157" s="32"/>
      <c r="AL157" s="33"/>
      <c r="AM157" s="23"/>
    </row>
    <row r="158" spans="1:39" ht="15.6" x14ac:dyDescent="0.3">
      <c r="A158" s="64"/>
      <c r="B158" s="64"/>
      <c r="C158" s="5" t="s">
        <v>452</v>
      </c>
      <c r="D158" s="5" t="s">
        <v>120</v>
      </c>
      <c r="E158" s="7" t="s">
        <v>0</v>
      </c>
      <c r="F158" s="5"/>
      <c r="G158" s="23"/>
      <c r="H158" s="10">
        <v>2475</v>
      </c>
      <c r="I158" s="10">
        <v>2707</v>
      </c>
      <c r="J158" s="10">
        <v>2291</v>
      </c>
      <c r="K158" s="10">
        <v>2450</v>
      </c>
      <c r="L158" s="10">
        <v>2146</v>
      </c>
      <c r="M158" s="10">
        <v>751</v>
      </c>
      <c r="N158" s="9" cm="1">
        <f t="array" ref="N158">SUM((H158:L158)/5)</f>
        <v>2413.8000000000002</v>
      </c>
      <c r="O158" s="10">
        <v>2400</v>
      </c>
      <c r="P158" s="23"/>
      <c r="Q158" s="30">
        <v>49.828000000000003</v>
      </c>
      <c r="R158" s="30">
        <v>63.256999999999998</v>
      </c>
      <c r="S158" s="30">
        <v>0.441</v>
      </c>
      <c r="T158" s="30">
        <v>0.441</v>
      </c>
      <c r="U158" s="30">
        <f t="shared" si="17"/>
        <v>960</v>
      </c>
      <c r="V158" s="30">
        <f t="shared" si="18"/>
        <v>1440</v>
      </c>
      <c r="W158" s="23"/>
      <c r="X158" s="30">
        <v>15.061999999999999</v>
      </c>
      <c r="Y158" s="30">
        <v>26.506460000000001</v>
      </c>
      <c r="Z158" s="53">
        <v>26.506460000000001</v>
      </c>
      <c r="AA158" s="54">
        <f t="shared" si="19"/>
        <v>43.735658999999998</v>
      </c>
      <c r="AB158" s="23"/>
      <c r="AC158" s="4">
        <v>365</v>
      </c>
      <c r="AD158" s="32">
        <f t="shared" si="20"/>
        <v>115.7603</v>
      </c>
      <c r="AE158" s="32">
        <f t="shared" si="21"/>
        <v>126.64049999999999</v>
      </c>
      <c r="AF158" s="32">
        <f t="shared" si="22"/>
        <v>254.46</v>
      </c>
      <c r="AG158" s="32">
        <f t="shared" si="22"/>
        <v>629.79</v>
      </c>
      <c r="AH158" s="78"/>
      <c r="AI158" s="78"/>
      <c r="AJ158" s="55">
        <f t="shared" si="23"/>
        <v>1126.6507999999999</v>
      </c>
      <c r="AK158" s="32"/>
      <c r="AL158" s="33"/>
      <c r="AM158" s="23"/>
    </row>
    <row r="159" spans="1:39" ht="30" x14ac:dyDescent="0.3">
      <c r="A159" s="64"/>
      <c r="B159" s="64"/>
      <c r="C159" s="5" t="s">
        <v>697</v>
      </c>
      <c r="D159" s="5" t="s">
        <v>120</v>
      </c>
      <c r="E159" s="7" t="s">
        <v>0</v>
      </c>
      <c r="F159" s="5"/>
      <c r="G159" s="23"/>
      <c r="H159" s="10">
        <v>190</v>
      </c>
      <c r="I159" s="10">
        <v>164</v>
      </c>
      <c r="J159" s="10">
        <v>175</v>
      </c>
      <c r="K159" s="10">
        <v>326</v>
      </c>
      <c r="L159" s="10">
        <v>316</v>
      </c>
      <c r="M159" s="10">
        <v>183</v>
      </c>
      <c r="N159" s="9" cm="1">
        <f t="array" ref="N159">SUM((H159:L159)/5)</f>
        <v>234.2</v>
      </c>
      <c r="O159" s="10">
        <v>330</v>
      </c>
      <c r="P159" s="23"/>
      <c r="Q159" s="30">
        <v>50.334000000000003</v>
      </c>
      <c r="R159" s="30">
        <v>63.256999999999998</v>
      </c>
      <c r="S159" s="30">
        <v>0.441</v>
      </c>
      <c r="T159" s="30">
        <v>0.441</v>
      </c>
      <c r="U159" s="30">
        <f t="shared" si="17"/>
        <v>132</v>
      </c>
      <c r="V159" s="30">
        <f t="shared" si="18"/>
        <v>198</v>
      </c>
      <c r="W159" s="23"/>
      <c r="X159" s="30" t="s">
        <v>167</v>
      </c>
      <c r="Y159" s="30" t="s">
        <v>212</v>
      </c>
      <c r="Z159" s="53">
        <f>SUM(26.71671+25.08475)/2</f>
        <v>25.900729999999999</v>
      </c>
      <c r="AA159" s="54">
        <f t="shared" si="19"/>
        <v>42.736204499999999</v>
      </c>
      <c r="AB159" s="23"/>
      <c r="AC159" s="4">
        <v>365</v>
      </c>
      <c r="AD159" s="32">
        <f t="shared" si="20"/>
        <v>115.7603</v>
      </c>
      <c r="AE159" s="32">
        <f t="shared" si="21"/>
        <v>126.64049999999999</v>
      </c>
      <c r="AF159" s="32">
        <f t="shared" si="22"/>
        <v>34.19</v>
      </c>
      <c r="AG159" s="32">
        <f t="shared" si="22"/>
        <v>84.62</v>
      </c>
      <c r="AH159" s="78"/>
      <c r="AI159" s="78"/>
      <c r="AJ159" s="55">
        <f t="shared" si="23"/>
        <v>361.21080000000001</v>
      </c>
      <c r="AK159" s="32"/>
      <c r="AL159" s="33"/>
      <c r="AM159" s="23"/>
    </row>
    <row r="160" spans="1:39" ht="15.6" x14ac:dyDescent="0.3">
      <c r="A160" s="64"/>
      <c r="B160" s="64"/>
      <c r="C160" s="5" t="s">
        <v>501</v>
      </c>
      <c r="D160" s="5" t="s">
        <v>120</v>
      </c>
      <c r="E160" s="7" t="s">
        <v>0</v>
      </c>
      <c r="F160" s="5"/>
      <c r="G160" s="23"/>
      <c r="H160" s="10">
        <v>3092</v>
      </c>
      <c r="I160" s="10">
        <v>3177</v>
      </c>
      <c r="J160" s="10">
        <v>2289</v>
      </c>
      <c r="K160" s="10">
        <v>2602</v>
      </c>
      <c r="L160" s="10">
        <v>3289</v>
      </c>
      <c r="M160" s="10">
        <v>1341</v>
      </c>
      <c r="N160" s="9" cm="1">
        <f t="array" ref="N160">SUM((H160:L160)/5)</f>
        <v>2889.8</v>
      </c>
      <c r="O160" s="10">
        <v>3000</v>
      </c>
      <c r="P160" s="23"/>
      <c r="Q160" s="30">
        <v>49.308</v>
      </c>
      <c r="R160" s="30">
        <v>72.016000000000005</v>
      </c>
      <c r="S160" s="30">
        <v>0.441</v>
      </c>
      <c r="T160" s="30">
        <v>0.441</v>
      </c>
      <c r="U160" s="30">
        <f t="shared" si="17"/>
        <v>1200</v>
      </c>
      <c r="V160" s="30">
        <f t="shared" si="18"/>
        <v>1800</v>
      </c>
      <c r="W160" s="23"/>
      <c r="X160" s="30">
        <v>15.868</v>
      </c>
      <c r="Y160" s="30">
        <v>27.015999999999998</v>
      </c>
      <c r="Z160" s="53">
        <v>27.015999999999998</v>
      </c>
      <c r="AA160" s="54">
        <f t="shared" si="19"/>
        <v>44.576399999999992</v>
      </c>
      <c r="AB160" s="23"/>
      <c r="AC160" s="4">
        <v>365</v>
      </c>
      <c r="AD160" s="32">
        <f t="shared" si="20"/>
        <v>131.7893</v>
      </c>
      <c r="AE160" s="32">
        <f t="shared" si="21"/>
        <v>144.17600000000002</v>
      </c>
      <c r="AF160" s="32">
        <f t="shared" si="22"/>
        <v>324.19</v>
      </c>
      <c r="AG160" s="32">
        <f t="shared" si="22"/>
        <v>802.38</v>
      </c>
      <c r="AH160" s="78"/>
      <c r="AI160" s="78"/>
      <c r="AJ160" s="55">
        <f t="shared" si="23"/>
        <v>1402.5353</v>
      </c>
      <c r="AK160" s="32"/>
      <c r="AL160" s="33"/>
      <c r="AM160" s="23"/>
    </row>
    <row r="161" spans="1:39" ht="15.6" x14ac:dyDescent="0.3">
      <c r="A161" s="64"/>
      <c r="B161" s="64"/>
      <c r="C161" s="5" t="s">
        <v>618</v>
      </c>
      <c r="D161" s="5" t="s">
        <v>120</v>
      </c>
      <c r="E161" s="7" t="s">
        <v>0</v>
      </c>
      <c r="F161" s="5"/>
      <c r="G161" s="23"/>
      <c r="H161" s="10">
        <v>4295</v>
      </c>
      <c r="I161" s="10">
        <v>3809</v>
      </c>
      <c r="J161" s="10">
        <v>4058</v>
      </c>
      <c r="K161" s="10">
        <v>3124</v>
      </c>
      <c r="L161" s="10">
        <v>559</v>
      </c>
      <c r="M161" s="10">
        <v>356</v>
      </c>
      <c r="N161" s="9" cm="1">
        <f t="array" ref="N161">SUM((H161:L161)/5)</f>
        <v>3169</v>
      </c>
      <c r="O161" s="10">
        <v>3100</v>
      </c>
      <c r="P161" s="23"/>
      <c r="Q161" s="30">
        <v>49.308</v>
      </c>
      <c r="R161" s="30">
        <v>72.016000000000005</v>
      </c>
      <c r="S161" s="30">
        <v>0.441</v>
      </c>
      <c r="T161" s="30">
        <v>0.441</v>
      </c>
      <c r="U161" s="30">
        <f t="shared" si="17"/>
        <v>1240</v>
      </c>
      <c r="V161" s="30">
        <f t="shared" si="18"/>
        <v>1860</v>
      </c>
      <c r="W161" s="23"/>
      <c r="X161" s="30">
        <v>15.868</v>
      </c>
      <c r="Y161" s="30">
        <v>27.082709999999999</v>
      </c>
      <c r="Z161" s="53">
        <v>27.082709999999999</v>
      </c>
      <c r="AA161" s="54">
        <f t="shared" si="19"/>
        <v>44.686471499999996</v>
      </c>
      <c r="AB161" s="23"/>
      <c r="AC161" s="4">
        <v>365</v>
      </c>
      <c r="AD161" s="32">
        <f t="shared" si="20"/>
        <v>131.7893</v>
      </c>
      <c r="AE161" s="32">
        <f t="shared" si="21"/>
        <v>144.17600000000002</v>
      </c>
      <c r="AF161" s="32">
        <f t="shared" si="22"/>
        <v>335.83</v>
      </c>
      <c r="AG161" s="32">
        <f t="shared" si="22"/>
        <v>831.17</v>
      </c>
      <c r="AH161" s="78"/>
      <c r="AI161" s="78"/>
      <c r="AJ161" s="55">
        <f t="shared" si="23"/>
        <v>1442.9652999999998</v>
      </c>
      <c r="AK161" s="32"/>
      <c r="AL161" s="33"/>
      <c r="AM161" s="23"/>
    </row>
    <row r="162" spans="1:39" ht="15.6" x14ac:dyDescent="0.3">
      <c r="A162" s="64"/>
      <c r="B162" s="64"/>
      <c r="C162" s="5" t="s">
        <v>633</v>
      </c>
      <c r="D162" s="5" t="s">
        <v>120</v>
      </c>
      <c r="E162" s="7" t="s">
        <v>0</v>
      </c>
      <c r="F162" s="5"/>
      <c r="G162" s="23"/>
      <c r="H162" s="10">
        <v>2633</v>
      </c>
      <c r="I162" s="10">
        <v>2784</v>
      </c>
      <c r="J162" s="10">
        <v>2959</v>
      </c>
      <c r="K162" s="10">
        <v>2849</v>
      </c>
      <c r="L162" s="10">
        <v>3162</v>
      </c>
      <c r="M162" s="10">
        <v>919</v>
      </c>
      <c r="N162" s="9" cm="1">
        <f t="array" ref="N162">SUM((H162:L162)/5)</f>
        <v>2877.4</v>
      </c>
      <c r="O162" s="10">
        <v>3000</v>
      </c>
      <c r="P162" s="23"/>
      <c r="Q162" s="30">
        <v>49.308</v>
      </c>
      <c r="R162" s="30">
        <v>72.016000000000005</v>
      </c>
      <c r="S162" s="30">
        <v>0.441</v>
      </c>
      <c r="T162" s="30">
        <v>0.441</v>
      </c>
      <c r="U162" s="30">
        <f t="shared" si="17"/>
        <v>1200</v>
      </c>
      <c r="V162" s="30">
        <f t="shared" si="18"/>
        <v>1800</v>
      </c>
      <c r="W162" s="23"/>
      <c r="X162" s="30">
        <v>15.868</v>
      </c>
      <c r="Y162" s="30">
        <v>27.082850000000001</v>
      </c>
      <c r="Z162" s="53">
        <v>27.082850000000001</v>
      </c>
      <c r="AA162" s="54">
        <f t="shared" si="19"/>
        <v>44.686702500000003</v>
      </c>
      <c r="AB162" s="23"/>
      <c r="AC162" s="4">
        <v>365</v>
      </c>
      <c r="AD162" s="32">
        <f t="shared" si="20"/>
        <v>131.7893</v>
      </c>
      <c r="AE162" s="32">
        <f t="shared" si="21"/>
        <v>144.17600000000002</v>
      </c>
      <c r="AF162" s="32">
        <f t="shared" si="22"/>
        <v>324.99</v>
      </c>
      <c r="AG162" s="32">
        <f t="shared" si="22"/>
        <v>804.36</v>
      </c>
      <c r="AH162" s="78"/>
      <c r="AI162" s="78"/>
      <c r="AJ162" s="55">
        <f t="shared" si="23"/>
        <v>1405.3153000000002</v>
      </c>
      <c r="AK162" s="32"/>
      <c r="AL162" s="33"/>
      <c r="AM162" s="23"/>
    </row>
    <row r="163" spans="1:39" ht="15.6" x14ac:dyDescent="0.3">
      <c r="A163" s="64"/>
      <c r="B163" s="64"/>
      <c r="C163" s="5" t="s">
        <v>634</v>
      </c>
      <c r="D163" s="5" t="s">
        <v>120</v>
      </c>
      <c r="E163" s="7" t="s">
        <v>0</v>
      </c>
      <c r="F163" s="5"/>
      <c r="G163" s="23"/>
      <c r="H163" s="10">
        <v>2430</v>
      </c>
      <c r="I163" s="10">
        <v>2038</v>
      </c>
      <c r="J163" s="10">
        <v>1918</v>
      </c>
      <c r="K163" s="10">
        <v>1952</v>
      </c>
      <c r="L163" s="10">
        <v>1817</v>
      </c>
      <c r="M163" s="10">
        <v>907</v>
      </c>
      <c r="N163" s="9" cm="1">
        <f t="array" ref="N163">SUM((H163:L163)/5)</f>
        <v>2031</v>
      </c>
      <c r="O163" s="10">
        <v>2030</v>
      </c>
      <c r="P163" s="23"/>
      <c r="Q163" s="30">
        <v>49.308</v>
      </c>
      <c r="R163" s="30">
        <v>72.016000000000005</v>
      </c>
      <c r="S163" s="30">
        <v>0.441</v>
      </c>
      <c r="T163" s="30">
        <v>0.441</v>
      </c>
      <c r="U163" s="30">
        <f t="shared" si="17"/>
        <v>812</v>
      </c>
      <c r="V163" s="30">
        <f t="shared" si="18"/>
        <v>1218</v>
      </c>
      <c r="W163" s="23"/>
      <c r="X163" s="30">
        <v>15.868</v>
      </c>
      <c r="Y163" s="30">
        <v>27.082909999999998</v>
      </c>
      <c r="Z163" s="53">
        <v>27.082909999999998</v>
      </c>
      <c r="AA163" s="54">
        <f t="shared" si="19"/>
        <v>44.686801500000001</v>
      </c>
      <c r="AB163" s="23"/>
      <c r="AC163" s="4">
        <v>365</v>
      </c>
      <c r="AD163" s="32">
        <f t="shared" si="20"/>
        <v>131.7893</v>
      </c>
      <c r="AE163" s="32">
        <f t="shared" si="21"/>
        <v>144.17600000000002</v>
      </c>
      <c r="AF163" s="32">
        <f t="shared" si="22"/>
        <v>219.91</v>
      </c>
      <c r="AG163" s="32">
        <f t="shared" si="22"/>
        <v>544.29</v>
      </c>
      <c r="AH163" s="78"/>
      <c r="AI163" s="78"/>
      <c r="AJ163" s="55">
        <f t="shared" si="23"/>
        <v>1040.1653000000001</v>
      </c>
      <c r="AK163" s="32"/>
      <c r="AL163" s="33"/>
      <c r="AM163" s="23"/>
    </row>
    <row r="164" spans="1:39" ht="15.6" x14ac:dyDescent="0.3">
      <c r="A164" s="64"/>
      <c r="B164" s="64"/>
      <c r="C164" s="5" t="s">
        <v>698</v>
      </c>
      <c r="D164" s="5" t="s">
        <v>120</v>
      </c>
      <c r="E164" s="7" t="s">
        <v>0</v>
      </c>
      <c r="F164" s="5"/>
      <c r="G164" s="23"/>
      <c r="H164" s="10">
        <v>461</v>
      </c>
      <c r="I164" s="10">
        <v>418</v>
      </c>
      <c r="J164" s="10">
        <v>199</v>
      </c>
      <c r="K164" s="10">
        <v>200</v>
      </c>
      <c r="L164" s="10">
        <v>165</v>
      </c>
      <c r="M164" s="10">
        <v>89</v>
      </c>
      <c r="N164" s="9" cm="1">
        <f t="array" ref="N164">SUM((H164:L164)/5)</f>
        <v>288.60000000000002</v>
      </c>
      <c r="O164" s="10">
        <v>290</v>
      </c>
      <c r="P164" s="23"/>
      <c r="Q164" s="30">
        <v>49.828000000000003</v>
      </c>
      <c r="R164" s="30">
        <v>63.256999999999998</v>
      </c>
      <c r="S164" s="30">
        <v>0.441</v>
      </c>
      <c r="T164" s="30">
        <v>0.441</v>
      </c>
      <c r="U164" s="30">
        <f t="shared" si="17"/>
        <v>116</v>
      </c>
      <c r="V164" s="30">
        <f t="shared" si="18"/>
        <v>174</v>
      </c>
      <c r="W164" s="23"/>
      <c r="X164" s="30">
        <v>15.061999999999999</v>
      </c>
      <c r="Y164" s="30">
        <v>26.50825</v>
      </c>
      <c r="Z164" s="53">
        <v>26.50825</v>
      </c>
      <c r="AA164" s="54">
        <f t="shared" si="19"/>
        <v>43.738612500000002</v>
      </c>
      <c r="AB164" s="23"/>
      <c r="AC164" s="4">
        <v>365</v>
      </c>
      <c r="AD164" s="32">
        <f t="shared" si="20"/>
        <v>115.7603</v>
      </c>
      <c r="AE164" s="32">
        <f t="shared" si="21"/>
        <v>126.64049999999999</v>
      </c>
      <c r="AF164" s="32">
        <f t="shared" si="22"/>
        <v>30.75</v>
      </c>
      <c r="AG164" s="32">
        <f t="shared" si="22"/>
        <v>76.11</v>
      </c>
      <c r="AH164" s="78"/>
      <c r="AI164" s="78"/>
      <c r="AJ164" s="55">
        <f t="shared" si="23"/>
        <v>349.26080000000002</v>
      </c>
      <c r="AK164" s="32"/>
      <c r="AL164" s="33"/>
      <c r="AM164" s="23"/>
    </row>
    <row r="165" spans="1:39" ht="45" x14ac:dyDescent="0.3">
      <c r="A165" s="64"/>
      <c r="B165" s="64"/>
      <c r="C165" s="5" t="s">
        <v>453</v>
      </c>
      <c r="D165" s="5" t="s">
        <v>120</v>
      </c>
      <c r="E165" s="7" t="s">
        <v>0</v>
      </c>
      <c r="F165" s="5"/>
      <c r="G165" s="23"/>
      <c r="H165" s="10">
        <v>1028</v>
      </c>
      <c r="I165" s="10">
        <v>1004</v>
      </c>
      <c r="J165" s="10">
        <v>986</v>
      </c>
      <c r="K165" s="10">
        <v>977</v>
      </c>
      <c r="L165" s="10">
        <v>857</v>
      </c>
      <c r="M165" s="10">
        <v>287</v>
      </c>
      <c r="N165" s="9" cm="1">
        <f t="array" ref="N165">SUM((H165:L165)/5)</f>
        <v>970.39999999999986</v>
      </c>
      <c r="O165" s="10">
        <v>970</v>
      </c>
      <c r="P165" s="23"/>
      <c r="Q165" s="30">
        <v>50.334000000000003</v>
      </c>
      <c r="R165" s="30">
        <v>63.256999999999998</v>
      </c>
      <c r="S165" s="30">
        <v>0.441</v>
      </c>
      <c r="T165" s="30">
        <v>0.441</v>
      </c>
      <c r="U165" s="30">
        <f t="shared" si="17"/>
        <v>388</v>
      </c>
      <c r="V165" s="30">
        <f t="shared" si="18"/>
        <v>582</v>
      </c>
      <c r="W165" s="23"/>
      <c r="X165" s="30" t="s">
        <v>213</v>
      </c>
      <c r="Y165" s="30" t="s">
        <v>214</v>
      </c>
      <c r="Z165" s="53">
        <f>SUM(27.47281+25.04099+25.41434)/3</f>
        <v>25.976046666666665</v>
      </c>
      <c r="AA165" s="54">
        <f t="shared" si="19"/>
        <v>42.860477000000003</v>
      </c>
      <c r="AB165" s="23"/>
      <c r="AC165" s="4">
        <v>365</v>
      </c>
      <c r="AD165" s="32">
        <f t="shared" si="20"/>
        <v>115.7603</v>
      </c>
      <c r="AE165" s="32">
        <f t="shared" si="21"/>
        <v>126.64049999999999</v>
      </c>
      <c r="AF165" s="32">
        <f t="shared" si="22"/>
        <v>100.79</v>
      </c>
      <c r="AG165" s="32">
        <f t="shared" si="22"/>
        <v>249.45</v>
      </c>
      <c r="AH165" s="78"/>
      <c r="AI165" s="78"/>
      <c r="AJ165" s="55">
        <f t="shared" si="23"/>
        <v>592.64080000000001</v>
      </c>
      <c r="AK165" s="32"/>
      <c r="AL165" s="33"/>
      <c r="AM165" s="23"/>
    </row>
    <row r="166" spans="1:39" ht="30" x14ac:dyDescent="0.3">
      <c r="A166" s="64"/>
      <c r="B166" s="64"/>
      <c r="C166" s="5" t="s">
        <v>454</v>
      </c>
      <c r="D166" s="5" t="s">
        <v>120</v>
      </c>
      <c r="E166" s="7" t="s">
        <v>0</v>
      </c>
      <c r="F166" s="5"/>
      <c r="G166" s="23"/>
      <c r="H166" s="10">
        <v>686</v>
      </c>
      <c r="I166" s="10">
        <v>641</v>
      </c>
      <c r="J166" s="10">
        <v>532</v>
      </c>
      <c r="K166" s="10">
        <v>550</v>
      </c>
      <c r="L166" s="10">
        <v>2005</v>
      </c>
      <c r="M166" s="10">
        <v>605</v>
      </c>
      <c r="N166" s="9" cm="1">
        <f t="array" ref="N166">SUM((H166:L166)/5)</f>
        <v>882.8</v>
      </c>
      <c r="O166" s="10">
        <v>900</v>
      </c>
      <c r="P166" s="23"/>
      <c r="Q166" s="30">
        <v>49.325000000000003</v>
      </c>
      <c r="R166" s="30">
        <v>72.016000000000005</v>
      </c>
      <c r="S166" s="30">
        <v>0.441</v>
      </c>
      <c r="T166" s="30">
        <v>0.441</v>
      </c>
      <c r="U166" s="30">
        <f t="shared" si="17"/>
        <v>360</v>
      </c>
      <c r="V166" s="30">
        <f t="shared" si="18"/>
        <v>540</v>
      </c>
      <c r="W166" s="23"/>
      <c r="X166" s="30" t="s">
        <v>215</v>
      </c>
      <c r="Y166" s="30" t="s">
        <v>216</v>
      </c>
      <c r="Z166" s="53">
        <f>SUM(27.3401+25.18882)/2</f>
        <v>26.26446</v>
      </c>
      <c r="AA166" s="54">
        <f t="shared" si="19"/>
        <v>43.336359000000002</v>
      </c>
      <c r="AB166" s="23"/>
      <c r="AC166" s="4">
        <v>365</v>
      </c>
      <c r="AD166" s="32">
        <f t="shared" si="20"/>
        <v>131.7893</v>
      </c>
      <c r="AE166" s="32">
        <f t="shared" si="21"/>
        <v>144.17600000000002</v>
      </c>
      <c r="AF166" s="32">
        <f t="shared" si="22"/>
        <v>94.55</v>
      </c>
      <c r="AG166" s="32">
        <f t="shared" si="22"/>
        <v>234.02</v>
      </c>
      <c r="AH166" s="78"/>
      <c r="AI166" s="78"/>
      <c r="AJ166" s="55">
        <f t="shared" si="23"/>
        <v>604.53530000000001</v>
      </c>
      <c r="AK166" s="32"/>
      <c r="AL166" s="33"/>
      <c r="AM166" s="23"/>
    </row>
    <row r="167" spans="1:39" ht="30" x14ac:dyDescent="0.3">
      <c r="A167" s="64"/>
      <c r="B167" s="64"/>
      <c r="C167" s="5" t="s">
        <v>454</v>
      </c>
      <c r="D167" s="5" t="s">
        <v>120</v>
      </c>
      <c r="E167" s="7" t="s">
        <v>0</v>
      </c>
      <c r="F167" s="5"/>
      <c r="G167" s="23"/>
      <c r="H167" s="10">
        <v>512</v>
      </c>
      <c r="I167" s="10">
        <v>435</v>
      </c>
      <c r="J167" s="10">
        <v>634</v>
      </c>
      <c r="K167" s="10">
        <v>904</v>
      </c>
      <c r="L167" s="10">
        <v>704</v>
      </c>
      <c r="M167" s="10">
        <v>474</v>
      </c>
      <c r="N167" s="9" cm="1">
        <f t="array" ref="N167">SUM((H167:L167)/5)</f>
        <v>637.79999999999995</v>
      </c>
      <c r="O167" s="10">
        <v>650</v>
      </c>
      <c r="P167" s="23"/>
      <c r="Q167" s="30">
        <v>49.325000000000003</v>
      </c>
      <c r="R167" s="30">
        <v>72.016000000000005</v>
      </c>
      <c r="S167" s="30">
        <v>0.441</v>
      </c>
      <c r="T167" s="30">
        <v>0.441</v>
      </c>
      <c r="U167" s="30">
        <f t="shared" si="17"/>
        <v>260</v>
      </c>
      <c r="V167" s="30">
        <f t="shared" si="18"/>
        <v>390</v>
      </c>
      <c r="W167" s="23"/>
      <c r="X167" s="30" t="s">
        <v>215</v>
      </c>
      <c r="Y167" s="30" t="s">
        <v>217</v>
      </c>
      <c r="Z167" s="53">
        <f>SUM(27.0791+25.10285)/2</f>
        <v>26.090975</v>
      </c>
      <c r="AA167" s="54">
        <f t="shared" si="19"/>
        <v>43.05010875</v>
      </c>
      <c r="AB167" s="23"/>
      <c r="AC167" s="4">
        <v>365</v>
      </c>
      <c r="AD167" s="32">
        <f t="shared" si="20"/>
        <v>131.7893</v>
      </c>
      <c r="AE167" s="32">
        <f t="shared" si="21"/>
        <v>144.17600000000002</v>
      </c>
      <c r="AF167" s="32">
        <f t="shared" si="22"/>
        <v>67.84</v>
      </c>
      <c r="AG167" s="32">
        <f t="shared" si="22"/>
        <v>167.9</v>
      </c>
      <c r="AH167" s="78"/>
      <c r="AI167" s="78"/>
      <c r="AJ167" s="55">
        <f t="shared" si="23"/>
        <v>511.70529999999997</v>
      </c>
      <c r="AK167" s="32"/>
      <c r="AL167" s="33"/>
      <c r="AM167" s="23"/>
    </row>
    <row r="168" spans="1:39" ht="15.6" x14ac:dyDescent="0.3">
      <c r="A168" s="64"/>
      <c r="B168" s="64"/>
      <c r="C168" s="5" t="s">
        <v>666</v>
      </c>
      <c r="D168" s="5" t="s">
        <v>120</v>
      </c>
      <c r="E168" s="7" t="s">
        <v>0</v>
      </c>
      <c r="F168" s="5"/>
      <c r="G168" s="23"/>
      <c r="H168" s="10">
        <v>340</v>
      </c>
      <c r="I168" s="10">
        <v>370</v>
      </c>
      <c r="J168" s="10">
        <v>354</v>
      </c>
      <c r="K168" s="10">
        <v>93</v>
      </c>
      <c r="L168" s="10">
        <v>2</v>
      </c>
      <c r="M168" s="10">
        <v>14</v>
      </c>
      <c r="N168" s="9" cm="1">
        <f t="array" ref="N168">SUM((H168:L168)/5)</f>
        <v>231.8</v>
      </c>
      <c r="O168" s="10">
        <v>230</v>
      </c>
      <c r="P168" s="23"/>
      <c r="Q168" s="30">
        <v>49.828000000000003</v>
      </c>
      <c r="R168" s="30">
        <v>63.256999999999998</v>
      </c>
      <c r="S168" s="30">
        <v>0.441</v>
      </c>
      <c r="T168" s="30">
        <v>0.441</v>
      </c>
      <c r="U168" s="30">
        <f t="shared" si="17"/>
        <v>92</v>
      </c>
      <c r="V168" s="30">
        <f t="shared" si="18"/>
        <v>138</v>
      </c>
      <c r="W168" s="23"/>
      <c r="X168" s="30">
        <v>15.061999999999999</v>
      </c>
      <c r="Y168" s="30">
        <v>26.51182</v>
      </c>
      <c r="Z168" s="53">
        <v>26.51182</v>
      </c>
      <c r="AA168" s="54">
        <f t="shared" si="19"/>
        <v>43.744503000000002</v>
      </c>
      <c r="AB168" s="23"/>
      <c r="AC168" s="4">
        <v>365</v>
      </c>
      <c r="AD168" s="32">
        <f t="shared" si="20"/>
        <v>115.7603</v>
      </c>
      <c r="AE168" s="32">
        <f t="shared" si="21"/>
        <v>126.64049999999999</v>
      </c>
      <c r="AF168" s="32">
        <f t="shared" si="22"/>
        <v>24.39</v>
      </c>
      <c r="AG168" s="32">
        <f t="shared" si="22"/>
        <v>60.37</v>
      </c>
      <c r="AH168" s="78"/>
      <c r="AI168" s="78"/>
      <c r="AJ168" s="55">
        <f t="shared" si="23"/>
        <v>327.16079999999999</v>
      </c>
      <c r="AK168" s="32"/>
      <c r="AL168" s="33"/>
      <c r="AM168" s="23"/>
    </row>
    <row r="169" spans="1:39" ht="15.6" x14ac:dyDescent="0.3">
      <c r="A169" s="64"/>
      <c r="B169" s="64"/>
      <c r="C169" s="5" t="s">
        <v>650</v>
      </c>
      <c r="D169" s="5" t="s">
        <v>120</v>
      </c>
      <c r="E169" s="7" t="s">
        <v>0</v>
      </c>
      <c r="F169" s="5"/>
      <c r="G169" s="23"/>
      <c r="H169" s="10">
        <v>398</v>
      </c>
      <c r="I169" s="10">
        <v>303</v>
      </c>
      <c r="J169" s="10">
        <v>248</v>
      </c>
      <c r="K169" s="10">
        <v>144</v>
      </c>
      <c r="L169" s="10">
        <v>260</v>
      </c>
      <c r="M169" s="10">
        <v>38</v>
      </c>
      <c r="N169" s="9" cm="1">
        <f t="array" ref="N169">SUM((H169:L169)/5)</f>
        <v>270.60000000000002</v>
      </c>
      <c r="O169" s="10">
        <v>270</v>
      </c>
      <c r="P169" s="23"/>
      <c r="Q169" s="30">
        <v>49.308</v>
      </c>
      <c r="R169" s="30">
        <v>72.016000000000005</v>
      </c>
      <c r="S169" s="30">
        <v>0.441</v>
      </c>
      <c r="T169" s="30">
        <v>0.441</v>
      </c>
      <c r="U169" s="30">
        <f t="shared" si="17"/>
        <v>108</v>
      </c>
      <c r="V169" s="30">
        <f t="shared" si="18"/>
        <v>162</v>
      </c>
      <c r="W169" s="23"/>
      <c r="X169" s="30">
        <v>15.868</v>
      </c>
      <c r="Y169" s="30">
        <v>27.08155</v>
      </c>
      <c r="Z169" s="53">
        <v>27.08155</v>
      </c>
      <c r="AA169" s="54">
        <f t="shared" si="19"/>
        <v>44.684557499999997</v>
      </c>
      <c r="AB169" s="23"/>
      <c r="AC169" s="4">
        <v>365</v>
      </c>
      <c r="AD169" s="32">
        <f t="shared" si="20"/>
        <v>131.7893</v>
      </c>
      <c r="AE169" s="32">
        <f t="shared" si="21"/>
        <v>144.17600000000002</v>
      </c>
      <c r="AF169" s="32">
        <f t="shared" si="22"/>
        <v>29.25</v>
      </c>
      <c r="AG169" s="32">
        <f t="shared" si="22"/>
        <v>72.39</v>
      </c>
      <c r="AH169" s="78"/>
      <c r="AI169" s="78"/>
      <c r="AJ169" s="55">
        <f t="shared" si="23"/>
        <v>377.6053</v>
      </c>
      <c r="AK169" s="32"/>
      <c r="AL169" s="33"/>
      <c r="AM169" s="23"/>
    </row>
    <row r="170" spans="1:39" ht="45" x14ac:dyDescent="0.3">
      <c r="A170" s="64"/>
      <c r="B170" s="64"/>
      <c r="C170" s="5" t="s">
        <v>455</v>
      </c>
      <c r="D170" s="5" t="s">
        <v>120</v>
      </c>
      <c r="E170" s="7" t="s">
        <v>0</v>
      </c>
      <c r="F170" s="5"/>
      <c r="G170" s="23"/>
      <c r="H170" s="10">
        <v>816</v>
      </c>
      <c r="I170" s="10">
        <v>625</v>
      </c>
      <c r="J170" s="10">
        <v>519</v>
      </c>
      <c r="K170" s="10">
        <v>625</v>
      </c>
      <c r="L170" s="10">
        <v>864</v>
      </c>
      <c r="M170" s="10">
        <v>404</v>
      </c>
      <c r="N170" s="9" cm="1">
        <f t="array" ref="N170">SUM((H170:L170)/5)</f>
        <v>689.8</v>
      </c>
      <c r="O170" s="10">
        <v>690</v>
      </c>
      <c r="P170" s="23"/>
      <c r="Q170" s="30">
        <v>50.334000000000003</v>
      </c>
      <c r="R170" s="30">
        <v>63.256999999999998</v>
      </c>
      <c r="S170" s="30">
        <v>0.441</v>
      </c>
      <c r="T170" s="30">
        <v>0.441</v>
      </c>
      <c r="U170" s="30">
        <f t="shared" si="17"/>
        <v>276</v>
      </c>
      <c r="V170" s="30">
        <f t="shared" si="18"/>
        <v>414</v>
      </c>
      <c r="W170" s="23"/>
      <c r="X170" s="30" t="s">
        <v>207</v>
      </c>
      <c r="Y170" s="30" t="s">
        <v>218</v>
      </c>
      <c r="Z170" s="53">
        <f>SUM(27.40719+24.9757+25.35127)/3</f>
        <v>25.911386666666669</v>
      </c>
      <c r="AA170" s="54">
        <f t="shared" si="19"/>
        <v>42.753788</v>
      </c>
      <c r="AB170" s="23"/>
      <c r="AC170" s="4">
        <v>365</v>
      </c>
      <c r="AD170" s="32">
        <f t="shared" si="20"/>
        <v>115.7603</v>
      </c>
      <c r="AE170" s="32">
        <f t="shared" si="21"/>
        <v>126.64049999999999</v>
      </c>
      <c r="AF170" s="32">
        <f t="shared" si="22"/>
        <v>71.52</v>
      </c>
      <c r="AG170" s="32">
        <f t="shared" si="22"/>
        <v>177</v>
      </c>
      <c r="AH170" s="78"/>
      <c r="AI170" s="78"/>
      <c r="AJ170" s="55">
        <f t="shared" si="23"/>
        <v>490.92079999999999</v>
      </c>
      <c r="AK170" s="32"/>
      <c r="AL170" s="33"/>
      <c r="AM170" s="23"/>
    </row>
    <row r="171" spans="1:39" ht="45" x14ac:dyDescent="0.3">
      <c r="A171" s="64"/>
      <c r="B171" s="64"/>
      <c r="C171" s="5" t="s">
        <v>455</v>
      </c>
      <c r="D171" s="5" t="s">
        <v>120</v>
      </c>
      <c r="E171" s="7" t="s">
        <v>0</v>
      </c>
      <c r="F171" s="5"/>
      <c r="G171" s="23"/>
      <c r="H171" s="10">
        <v>517</v>
      </c>
      <c r="I171" s="10">
        <v>530</v>
      </c>
      <c r="J171" s="10">
        <v>782</v>
      </c>
      <c r="K171" s="10">
        <v>704</v>
      </c>
      <c r="L171" s="10">
        <v>707</v>
      </c>
      <c r="M171" s="10">
        <v>335</v>
      </c>
      <c r="N171" s="9" cm="1">
        <f t="array" ref="N171">SUM((H171:L171)/5)</f>
        <v>648</v>
      </c>
      <c r="O171" s="10">
        <v>650</v>
      </c>
      <c r="P171" s="23"/>
      <c r="Q171" s="30">
        <v>50.334000000000003</v>
      </c>
      <c r="R171" s="30">
        <v>63.256999999999998</v>
      </c>
      <c r="S171" s="30">
        <v>0.441</v>
      </c>
      <c r="T171" s="30">
        <v>0.441</v>
      </c>
      <c r="U171" s="30">
        <f t="shared" si="17"/>
        <v>260</v>
      </c>
      <c r="V171" s="30">
        <f t="shared" si="18"/>
        <v>390</v>
      </c>
      <c r="W171" s="23"/>
      <c r="X171" s="30" t="s">
        <v>219</v>
      </c>
      <c r="Y171" s="30" t="s">
        <v>220</v>
      </c>
      <c r="Z171" s="53">
        <f>SUM(27.40378+24.9727+25.34529)/3</f>
        <v>25.907256666666665</v>
      </c>
      <c r="AA171" s="54">
        <f t="shared" si="19"/>
        <v>42.746973499999996</v>
      </c>
      <c r="AB171" s="23"/>
      <c r="AC171" s="4">
        <v>365</v>
      </c>
      <c r="AD171" s="32">
        <f t="shared" si="20"/>
        <v>115.7603</v>
      </c>
      <c r="AE171" s="32">
        <f t="shared" si="21"/>
        <v>126.64049999999999</v>
      </c>
      <c r="AF171" s="32">
        <f t="shared" si="22"/>
        <v>67.36</v>
      </c>
      <c r="AG171" s="32">
        <f t="shared" si="22"/>
        <v>166.71</v>
      </c>
      <c r="AH171" s="78"/>
      <c r="AI171" s="78"/>
      <c r="AJ171" s="55">
        <f t="shared" si="23"/>
        <v>476.47080000000005</v>
      </c>
      <c r="AK171" s="32"/>
      <c r="AL171" s="33"/>
      <c r="AM171" s="23"/>
    </row>
    <row r="172" spans="1:39" ht="15.6" x14ac:dyDescent="0.3">
      <c r="A172" s="64"/>
      <c r="B172" s="64"/>
      <c r="C172" s="5" t="s">
        <v>526</v>
      </c>
      <c r="D172" s="5" t="s">
        <v>120</v>
      </c>
      <c r="E172" s="7" t="s">
        <v>0</v>
      </c>
      <c r="F172" s="5"/>
      <c r="G172" s="23"/>
      <c r="H172" s="10">
        <v>416</v>
      </c>
      <c r="I172" s="10">
        <v>539</v>
      </c>
      <c r="J172" s="10">
        <v>373</v>
      </c>
      <c r="K172" s="10">
        <v>269</v>
      </c>
      <c r="L172" s="10">
        <v>239</v>
      </c>
      <c r="M172" s="10">
        <v>145</v>
      </c>
      <c r="N172" s="9" cm="1">
        <f t="array" ref="N172">SUM((H172:L172)/5)</f>
        <v>367.20000000000005</v>
      </c>
      <c r="O172" s="10">
        <v>360</v>
      </c>
      <c r="P172" s="23"/>
      <c r="Q172" s="30">
        <v>49.308</v>
      </c>
      <c r="R172" s="30">
        <v>72.016000000000005</v>
      </c>
      <c r="S172" s="30">
        <v>0.441</v>
      </c>
      <c r="T172" s="30">
        <v>0.441</v>
      </c>
      <c r="U172" s="30">
        <f t="shared" si="17"/>
        <v>144</v>
      </c>
      <c r="V172" s="30">
        <f t="shared" si="18"/>
        <v>216</v>
      </c>
      <c r="W172" s="23"/>
      <c r="X172" s="30">
        <v>15.868</v>
      </c>
      <c r="Y172" s="30">
        <v>27.08352</v>
      </c>
      <c r="Z172" s="53">
        <v>27.08352</v>
      </c>
      <c r="AA172" s="54">
        <f t="shared" si="19"/>
        <v>44.687808000000004</v>
      </c>
      <c r="AB172" s="23"/>
      <c r="AC172" s="4">
        <v>365</v>
      </c>
      <c r="AD172" s="32">
        <f t="shared" si="20"/>
        <v>131.7893</v>
      </c>
      <c r="AE172" s="32">
        <f t="shared" si="21"/>
        <v>144.17600000000002</v>
      </c>
      <c r="AF172" s="32">
        <f t="shared" si="22"/>
        <v>39</v>
      </c>
      <c r="AG172" s="32">
        <f t="shared" si="22"/>
        <v>96.53</v>
      </c>
      <c r="AH172" s="78"/>
      <c r="AI172" s="78"/>
      <c r="AJ172" s="55">
        <f t="shared" si="23"/>
        <v>411.49530000000004</v>
      </c>
      <c r="AK172" s="32"/>
      <c r="AL172" s="33"/>
      <c r="AM172" s="23"/>
    </row>
    <row r="173" spans="1:39" ht="15.6" x14ac:dyDescent="0.3">
      <c r="A173" s="64"/>
      <c r="B173" s="64"/>
      <c r="C173" s="5" t="s">
        <v>526</v>
      </c>
      <c r="D173" s="5" t="s">
        <v>120</v>
      </c>
      <c r="E173" s="7" t="s">
        <v>0</v>
      </c>
      <c r="F173" s="5"/>
      <c r="G173" s="23"/>
      <c r="H173" s="10">
        <v>248</v>
      </c>
      <c r="I173" s="10">
        <v>452</v>
      </c>
      <c r="J173" s="10">
        <v>297</v>
      </c>
      <c r="K173" s="10">
        <v>302</v>
      </c>
      <c r="L173" s="10">
        <v>383</v>
      </c>
      <c r="M173" s="10">
        <v>199</v>
      </c>
      <c r="N173" s="9" cm="1">
        <f t="array" ref="N173">SUM((H173:L173)/5)</f>
        <v>336.4</v>
      </c>
      <c r="O173" s="10">
        <v>340</v>
      </c>
      <c r="P173" s="23"/>
      <c r="Q173" s="30">
        <v>49.308</v>
      </c>
      <c r="R173" s="30">
        <v>72.016000000000005</v>
      </c>
      <c r="S173" s="30">
        <v>0.441</v>
      </c>
      <c r="T173" s="30">
        <v>0.441</v>
      </c>
      <c r="U173" s="30">
        <f t="shared" si="17"/>
        <v>136</v>
      </c>
      <c r="V173" s="30">
        <f t="shared" si="18"/>
        <v>204</v>
      </c>
      <c r="W173" s="23"/>
      <c r="X173" s="30">
        <v>15.868</v>
      </c>
      <c r="Y173" s="30">
        <v>27.083729999999999</v>
      </c>
      <c r="Z173" s="53">
        <v>27.083729999999999</v>
      </c>
      <c r="AA173" s="54">
        <f t="shared" si="19"/>
        <v>44.688154499999996</v>
      </c>
      <c r="AB173" s="23"/>
      <c r="AC173" s="4">
        <v>365</v>
      </c>
      <c r="AD173" s="32">
        <f t="shared" si="20"/>
        <v>131.7893</v>
      </c>
      <c r="AE173" s="32">
        <f t="shared" si="21"/>
        <v>144.17600000000002</v>
      </c>
      <c r="AF173" s="32">
        <f t="shared" si="22"/>
        <v>36.83</v>
      </c>
      <c r="AG173" s="32">
        <f t="shared" si="22"/>
        <v>91.16</v>
      </c>
      <c r="AH173" s="78"/>
      <c r="AI173" s="78"/>
      <c r="AJ173" s="55">
        <f t="shared" si="23"/>
        <v>403.95529999999997</v>
      </c>
      <c r="AK173" s="32"/>
      <c r="AL173" s="33"/>
      <c r="AM173" s="23"/>
    </row>
    <row r="174" spans="1:39" ht="15.6" x14ac:dyDescent="0.3">
      <c r="A174" s="64"/>
      <c r="B174" s="64"/>
      <c r="C174" s="5" t="s">
        <v>527</v>
      </c>
      <c r="D174" s="5" t="s">
        <v>120</v>
      </c>
      <c r="E174" s="7" t="s">
        <v>0</v>
      </c>
      <c r="F174" s="5"/>
      <c r="G174" s="23"/>
      <c r="H174" s="10">
        <v>186</v>
      </c>
      <c r="I174" s="10">
        <v>307</v>
      </c>
      <c r="J174" s="10">
        <v>196</v>
      </c>
      <c r="K174" s="10">
        <v>201</v>
      </c>
      <c r="L174" s="10">
        <v>202</v>
      </c>
      <c r="M174" s="10">
        <v>36</v>
      </c>
      <c r="N174" s="9" cm="1">
        <f t="array" ref="N174">SUM((H174:L174)/5)</f>
        <v>218.4</v>
      </c>
      <c r="O174" s="10">
        <v>220</v>
      </c>
      <c r="P174" s="23"/>
      <c r="Q174" s="30">
        <v>49.308</v>
      </c>
      <c r="R174" s="30">
        <v>72.016000000000005</v>
      </c>
      <c r="S174" s="30">
        <v>0.441</v>
      </c>
      <c r="T174" s="30">
        <v>0.441</v>
      </c>
      <c r="U174" s="30">
        <f t="shared" si="17"/>
        <v>88</v>
      </c>
      <c r="V174" s="30">
        <f t="shared" si="18"/>
        <v>132</v>
      </c>
      <c r="W174" s="23"/>
      <c r="X174" s="30">
        <v>15.868</v>
      </c>
      <c r="Y174" s="30">
        <v>27.083010000000002</v>
      </c>
      <c r="Z174" s="53">
        <v>27.083010000000002</v>
      </c>
      <c r="AA174" s="54">
        <f t="shared" si="19"/>
        <v>44.686966500000004</v>
      </c>
      <c r="AB174" s="23"/>
      <c r="AC174" s="4">
        <v>365</v>
      </c>
      <c r="AD174" s="32">
        <f t="shared" si="20"/>
        <v>131.7893</v>
      </c>
      <c r="AE174" s="32">
        <f t="shared" si="21"/>
        <v>144.17600000000002</v>
      </c>
      <c r="AF174" s="32">
        <f t="shared" si="22"/>
        <v>23.83</v>
      </c>
      <c r="AG174" s="32">
        <f t="shared" si="22"/>
        <v>58.99</v>
      </c>
      <c r="AH174" s="78"/>
      <c r="AI174" s="78"/>
      <c r="AJ174" s="55">
        <f t="shared" si="23"/>
        <v>358.78530000000001</v>
      </c>
      <c r="AK174" s="32"/>
      <c r="AL174" s="33"/>
      <c r="AM174" s="23"/>
    </row>
    <row r="175" spans="1:39" ht="15.6" x14ac:dyDescent="0.3">
      <c r="A175" s="64"/>
      <c r="B175" s="64"/>
      <c r="C175" s="5" t="s">
        <v>528</v>
      </c>
      <c r="D175" s="5" t="s">
        <v>120</v>
      </c>
      <c r="E175" s="7" t="s">
        <v>0</v>
      </c>
      <c r="F175" s="5"/>
      <c r="G175" s="23"/>
      <c r="H175" s="10">
        <v>261</v>
      </c>
      <c r="I175" s="10">
        <v>196</v>
      </c>
      <c r="J175" s="10">
        <v>95</v>
      </c>
      <c r="K175" s="10">
        <v>88</v>
      </c>
      <c r="L175" s="10">
        <v>89</v>
      </c>
      <c r="M175" s="10">
        <v>44</v>
      </c>
      <c r="N175" s="9" cm="1">
        <f t="array" ref="N175">SUM((H175:L175)/5)</f>
        <v>145.80000000000001</v>
      </c>
      <c r="O175" s="10">
        <v>140</v>
      </c>
      <c r="P175" s="23"/>
      <c r="Q175" s="30">
        <v>49.308</v>
      </c>
      <c r="R175" s="30">
        <v>72.016000000000005</v>
      </c>
      <c r="S175" s="30">
        <v>0.441</v>
      </c>
      <c r="T175" s="30">
        <v>0.441</v>
      </c>
      <c r="U175" s="30">
        <f t="shared" si="17"/>
        <v>56</v>
      </c>
      <c r="V175" s="30">
        <f t="shared" si="18"/>
        <v>84</v>
      </c>
      <c r="W175" s="23"/>
      <c r="X175" s="30">
        <v>15.868</v>
      </c>
      <c r="Y175" s="30">
        <v>27.079840000000001</v>
      </c>
      <c r="Z175" s="53">
        <v>27.079840000000001</v>
      </c>
      <c r="AA175" s="54">
        <f t="shared" si="19"/>
        <v>44.681736000000001</v>
      </c>
      <c r="AB175" s="23"/>
      <c r="AC175" s="4">
        <v>365</v>
      </c>
      <c r="AD175" s="32">
        <f t="shared" si="20"/>
        <v>131.7893</v>
      </c>
      <c r="AE175" s="32">
        <f t="shared" si="21"/>
        <v>144.17600000000002</v>
      </c>
      <c r="AF175" s="32">
        <f t="shared" si="22"/>
        <v>15.16</v>
      </c>
      <c r="AG175" s="32">
        <f t="shared" si="22"/>
        <v>37.53</v>
      </c>
      <c r="AH175" s="78"/>
      <c r="AI175" s="78"/>
      <c r="AJ175" s="55">
        <f t="shared" si="23"/>
        <v>328.65530000000001</v>
      </c>
      <c r="AK175" s="32"/>
      <c r="AL175" s="33"/>
      <c r="AM175" s="23"/>
    </row>
    <row r="176" spans="1:39" ht="15.6" x14ac:dyDescent="0.3">
      <c r="A176" s="64"/>
      <c r="B176" s="64"/>
      <c r="C176" s="5" t="s">
        <v>529</v>
      </c>
      <c r="D176" s="5" t="s">
        <v>120</v>
      </c>
      <c r="E176" s="7" t="s">
        <v>0</v>
      </c>
      <c r="F176" s="5"/>
      <c r="G176" s="23"/>
      <c r="H176" s="10">
        <v>241</v>
      </c>
      <c r="I176" s="10">
        <v>346</v>
      </c>
      <c r="J176" s="10">
        <v>378</v>
      </c>
      <c r="K176" s="10">
        <v>522</v>
      </c>
      <c r="L176" s="10">
        <v>573</v>
      </c>
      <c r="M176" s="10">
        <v>324</v>
      </c>
      <c r="N176" s="9" cm="1">
        <f t="array" ref="N176">SUM((H176:L176)/5)</f>
        <v>412</v>
      </c>
      <c r="O176" s="10">
        <v>550</v>
      </c>
      <c r="P176" s="23"/>
      <c r="Q176" s="30">
        <v>49.828000000000003</v>
      </c>
      <c r="R176" s="30">
        <v>63.256999999999998</v>
      </c>
      <c r="S176" s="30">
        <v>0.441</v>
      </c>
      <c r="T176" s="30">
        <v>0.441</v>
      </c>
      <c r="U176" s="30">
        <f t="shared" si="17"/>
        <v>220</v>
      </c>
      <c r="V176" s="30">
        <f t="shared" si="18"/>
        <v>330</v>
      </c>
      <c r="W176" s="23"/>
      <c r="X176" s="30">
        <v>15.061999999999999</v>
      </c>
      <c r="Y176" s="30">
        <v>26.506270000000001</v>
      </c>
      <c r="Z176" s="53">
        <v>26.506270000000001</v>
      </c>
      <c r="AA176" s="54">
        <f t="shared" si="19"/>
        <v>43.735345500000001</v>
      </c>
      <c r="AB176" s="23"/>
      <c r="AC176" s="4">
        <v>365</v>
      </c>
      <c r="AD176" s="32">
        <f t="shared" si="20"/>
        <v>115.7603</v>
      </c>
      <c r="AE176" s="32">
        <f t="shared" si="21"/>
        <v>126.64049999999999</v>
      </c>
      <c r="AF176" s="32">
        <f t="shared" si="22"/>
        <v>58.31</v>
      </c>
      <c r="AG176" s="32">
        <f t="shared" si="22"/>
        <v>144.33000000000001</v>
      </c>
      <c r="AH176" s="78"/>
      <c r="AI176" s="78"/>
      <c r="AJ176" s="55">
        <f t="shared" si="23"/>
        <v>445.04079999999999</v>
      </c>
      <c r="AK176" s="32"/>
      <c r="AL176" s="33"/>
      <c r="AM176" s="23"/>
    </row>
    <row r="177" spans="1:39" ht="15.6" x14ac:dyDescent="0.3">
      <c r="A177" s="64"/>
      <c r="B177" s="64"/>
      <c r="C177" s="5"/>
      <c r="D177" s="3"/>
      <c r="E177" s="7"/>
      <c r="F177" s="5"/>
      <c r="G177" s="23"/>
      <c r="H177" s="10"/>
      <c r="I177" s="10"/>
      <c r="J177" s="10"/>
      <c r="K177" s="10"/>
      <c r="L177" s="10"/>
      <c r="M177" s="10"/>
      <c r="N177" s="9"/>
      <c r="O177" s="10"/>
      <c r="P177" s="23"/>
      <c r="Q177" s="30"/>
      <c r="R177" s="30"/>
      <c r="S177" s="30"/>
      <c r="T177" s="30"/>
      <c r="U177" s="30"/>
      <c r="V177" s="30"/>
      <c r="W177" s="23"/>
      <c r="X177" s="30"/>
      <c r="Y177" s="30"/>
      <c r="Z177" s="53"/>
      <c r="AA177" s="54"/>
      <c r="AB177" s="23"/>
      <c r="AC177" s="4"/>
      <c r="AD177" s="32"/>
      <c r="AE177" s="32"/>
      <c r="AF177" s="32"/>
      <c r="AG177" s="32"/>
      <c r="AH177" s="78"/>
      <c r="AI177" s="78"/>
      <c r="AJ177" s="55"/>
      <c r="AK177" s="32"/>
      <c r="AL177" s="33"/>
      <c r="AM177" s="23"/>
    </row>
    <row r="178" spans="1:39" ht="15.6" x14ac:dyDescent="0.3">
      <c r="A178" s="64"/>
      <c r="B178" s="64"/>
      <c r="C178" s="5" t="s">
        <v>530</v>
      </c>
      <c r="D178" s="5" t="s">
        <v>120</v>
      </c>
      <c r="E178" s="7" t="s">
        <v>0</v>
      </c>
      <c r="F178" s="5"/>
      <c r="G178" s="23"/>
      <c r="H178" s="10">
        <v>1571</v>
      </c>
      <c r="I178" s="10">
        <v>966</v>
      </c>
      <c r="J178" s="10">
        <v>1531</v>
      </c>
      <c r="K178" s="10">
        <v>1891</v>
      </c>
      <c r="L178" s="10">
        <v>2806</v>
      </c>
      <c r="M178" s="10">
        <v>1121</v>
      </c>
      <c r="N178" s="9" cm="1">
        <f t="array" ref="N178">SUM((H178:L178)/5)</f>
        <v>1753</v>
      </c>
      <c r="O178" s="10">
        <v>1750</v>
      </c>
      <c r="P178" s="23"/>
      <c r="Q178" s="30">
        <v>49.308</v>
      </c>
      <c r="R178" s="30">
        <v>72.016000000000005</v>
      </c>
      <c r="S178" s="30">
        <v>0.441</v>
      </c>
      <c r="T178" s="30">
        <v>0.441</v>
      </c>
      <c r="U178" s="30">
        <f t="shared" ref="U178:U241" si="24">IF(E178="Gas",O178*R173,O178*$R$4)</f>
        <v>700</v>
      </c>
      <c r="V178" s="30">
        <f t="shared" ref="V178:V241" si="25">IF(E178="Gas",O178*T173,O178*$T$4)</f>
        <v>1050</v>
      </c>
      <c r="W178" s="23"/>
      <c r="X178" s="30">
        <v>15.868</v>
      </c>
      <c r="Y178" s="30">
        <v>27.082599999999999</v>
      </c>
      <c r="Z178" s="53">
        <v>27.082599999999999</v>
      </c>
      <c r="AA178" s="54">
        <f t="shared" ref="AA178:AA195" si="26">SUM(Z178+Z178*$AA$4)</f>
        <v>44.68629</v>
      </c>
      <c r="AB178" s="23"/>
      <c r="AC178" s="4">
        <v>365</v>
      </c>
      <c r="AD178" s="32">
        <f t="shared" ref="AD178:AD241" si="27">ROUND(R178*183,2)/100</f>
        <v>131.7893</v>
      </c>
      <c r="AE178" s="32">
        <f t="shared" ref="AE178:AE241" si="28">ROUND((R178+R178*$AE$4)*(365-183),2)/100</f>
        <v>144.17600000000002</v>
      </c>
      <c r="AF178" s="32">
        <f t="shared" ref="AF178:AG241" si="29">ROUND((U178*Z178)/100,2)</f>
        <v>189.58</v>
      </c>
      <c r="AG178" s="32">
        <f t="shared" si="29"/>
        <v>469.21</v>
      </c>
      <c r="AH178" s="78"/>
      <c r="AI178" s="78"/>
      <c r="AJ178" s="55">
        <f t="shared" ref="AJ178:AJ241" si="30">SUM(AD178:AG178)</f>
        <v>934.75530000000003</v>
      </c>
      <c r="AK178" s="32"/>
      <c r="AL178" s="33"/>
      <c r="AM178" s="23"/>
    </row>
    <row r="179" spans="1:39" ht="15.6" x14ac:dyDescent="0.3">
      <c r="A179" s="64"/>
      <c r="B179" s="64"/>
      <c r="C179" s="5" t="s">
        <v>530</v>
      </c>
      <c r="D179" s="5" t="s">
        <v>120</v>
      </c>
      <c r="E179" s="7" t="s">
        <v>0</v>
      </c>
      <c r="F179" s="5"/>
      <c r="G179" s="23"/>
      <c r="H179" s="10">
        <v>2877</v>
      </c>
      <c r="I179" s="10">
        <v>2799</v>
      </c>
      <c r="J179" s="10">
        <v>2308</v>
      </c>
      <c r="K179" s="10">
        <v>2429</v>
      </c>
      <c r="L179" s="10">
        <v>2690</v>
      </c>
      <c r="M179" s="10">
        <v>857</v>
      </c>
      <c r="N179" s="9" cm="1">
        <f t="array" ref="N179">SUM((H179:L179)/5)</f>
        <v>2620.6</v>
      </c>
      <c r="O179" s="10">
        <v>2600</v>
      </c>
      <c r="P179" s="23"/>
      <c r="Q179" s="30">
        <v>49.308</v>
      </c>
      <c r="R179" s="30">
        <v>72.016000000000005</v>
      </c>
      <c r="S179" s="30">
        <v>0.441</v>
      </c>
      <c r="T179" s="30">
        <v>0.441</v>
      </c>
      <c r="U179" s="30">
        <f t="shared" si="24"/>
        <v>1040</v>
      </c>
      <c r="V179" s="30">
        <f t="shared" si="25"/>
        <v>1560</v>
      </c>
      <c r="W179" s="23"/>
      <c r="X179" s="30">
        <v>15.868</v>
      </c>
      <c r="Y179" s="30">
        <v>27.083010000000002</v>
      </c>
      <c r="Z179" s="53">
        <v>27.083010000000002</v>
      </c>
      <c r="AA179" s="54">
        <f t="shared" si="26"/>
        <v>44.686966500000004</v>
      </c>
      <c r="AB179" s="23"/>
      <c r="AC179" s="4">
        <v>365</v>
      </c>
      <c r="AD179" s="32">
        <f t="shared" si="27"/>
        <v>131.7893</v>
      </c>
      <c r="AE179" s="32">
        <f t="shared" si="28"/>
        <v>144.17600000000002</v>
      </c>
      <c r="AF179" s="32">
        <f t="shared" si="29"/>
        <v>281.66000000000003</v>
      </c>
      <c r="AG179" s="32">
        <f t="shared" si="29"/>
        <v>697.12</v>
      </c>
      <c r="AH179" s="78"/>
      <c r="AI179" s="78"/>
      <c r="AJ179" s="55">
        <f t="shared" si="30"/>
        <v>1254.7453</v>
      </c>
      <c r="AK179" s="32"/>
      <c r="AL179" s="33"/>
      <c r="AM179" s="23"/>
    </row>
    <row r="180" spans="1:39" ht="15.6" x14ac:dyDescent="0.3">
      <c r="A180" s="64"/>
      <c r="B180" s="64"/>
      <c r="C180" s="5" t="s">
        <v>530</v>
      </c>
      <c r="D180" s="5" t="s">
        <v>120</v>
      </c>
      <c r="E180" s="7" t="s">
        <v>0</v>
      </c>
      <c r="F180" s="5"/>
      <c r="G180" s="23"/>
      <c r="H180" s="10">
        <v>3059</v>
      </c>
      <c r="I180" s="10">
        <v>3342</v>
      </c>
      <c r="J180" s="10">
        <v>2030</v>
      </c>
      <c r="K180" s="10">
        <v>2361</v>
      </c>
      <c r="L180" s="10">
        <v>3140</v>
      </c>
      <c r="M180" s="10">
        <v>1367</v>
      </c>
      <c r="N180" s="9" cm="1">
        <f t="array" ref="N180">SUM((H180:L180)/5)</f>
        <v>2786.3999999999996</v>
      </c>
      <c r="O180" s="10">
        <v>2750</v>
      </c>
      <c r="P180" s="23"/>
      <c r="Q180" s="30">
        <v>49.308</v>
      </c>
      <c r="R180" s="30">
        <v>72.016000000000005</v>
      </c>
      <c r="S180" s="30">
        <v>0.441</v>
      </c>
      <c r="T180" s="30">
        <v>0.441</v>
      </c>
      <c r="U180" s="30">
        <f t="shared" si="24"/>
        <v>1100</v>
      </c>
      <c r="V180" s="30">
        <f t="shared" si="25"/>
        <v>1650</v>
      </c>
      <c r="W180" s="23"/>
      <c r="X180" s="30">
        <v>15.868</v>
      </c>
      <c r="Y180" s="30">
        <v>27.082809999999998</v>
      </c>
      <c r="Z180" s="53">
        <v>27.082809999999998</v>
      </c>
      <c r="AA180" s="54">
        <f t="shared" si="26"/>
        <v>44.686636499999999</v>
      </c>
      <c r="AB180" s="23"/>
      <c r="AC180" s="4">
        <v>365</v>
      </c>
      <c r="AD180" s="32">
        <f t="shared" si="27"/>
        <v>131.7893</v>
      </c>
      <c r="AE180" s="32">
        <f t="shared" si="28"/>
        <v>144.17600000000002</v>
      </c>
      <c r="AF180" s="32">
        <f t="shared" si="29"/>
        <v>297.91000000000003</v>
      </c>
      <c r="AG180" s="32">
        <f t="shared" si="29"/>
        <v>737.33</v>
      </c>
      <c r="AH180" s="78"/>
      <c r="AI180" s="78"/>
      <c r="AJ180" s="55">
        <f t="shared" si="30"/>
        <v>1311.2053000000001</v>
      </c>
      <c r="AK180" s="32"/>
      <c r="AL180" s="33"/>
      <c r="AM180" s="23"/>
    </row>
    <row r="181" spans="1:39" ht="15.6" x14ac:dyDescent="0.3">
      <c r="A181" s="64"/>
      <c r="B181" s="64"/>
      <c r="C181" s="5" t="s">
        <v>530</v>
      </c>
      <c r="D181" s="5" t="s">
        <v>120</v>
      </c>
      <c r="E181" s="7" t="s">
        <v>0</v>
      </c>
      <c r="F181" s="5"/>
      <c r="G181" s="23"/>
      <c r="H181" s="10">
        <v>2811</v>
      </c>
      <c r="I181" s="10">
        <v>2323</v>
      </c>
      <c r="J181" s="10">
        <v>1881</v>
      </c>
      <c r="K181" s="10">
        <v>1709</v>
      </c>
      <c r="L181" s="10">
        <v>1997</v>
      </c>
      <c r="M181" s="10">
        <v>581</v>
      </c>
      <c r="N181" s="9" cm="1">
        <f t="array" ref="N181">SUM((H181:L181)/5)</f>
        <v>2144.2000000000003</v>
      </c>
      <c r="O181" s="10">
        <v>2000</v>
      </c>
      <c r="P181" s="23"/>
      <c r="Q181" s="30">
        <v>49.308</v>
      </c>
      <c r="R181" s="30">
        <v>72.016000000000005</v>
      </c>
      <c r="S181" s="30">
        <v>0.441</v>
      </c>
      <c r="T181" s="30">
        <v>0.441</v>
      </c>
      <c r="U181" s="30">
        <f t="shared" si="24"/>
        <v>800</v>
      </c>
      <c r="V181" s="30">
        <f t="shared" si="25"/>
        <v>1200</v>
      </c>
      <c r="W181" s="23"/>
      <c r="X181" s="30">
        <v>15.868</v>
      </c>
      <c r="Y181" s="30">
        <v>27.082930000000001</v>
      </c>
      <c r="Z181" s="53">
        <v>27.082930000000001</v>
      </c>
      <c r="AA181" s="54">
        <f t="shared" si="26"/>
        <v>44.686834500000003</v>
      </c>
      <c r="AB181" s="23"/>
      <c r="AC181" s="4">
        <v>365</v>
      </c>
      <c r="AD181" s="32">
        <f t="shared" si="27"/>
        <v>131.7893</v>
      </c>
      <c r="AE181" s="32">
        <f t="shared" si="28"/>
        <v>144.17600000000002</v>
      </c>
      <c r="AF181" s="32">
        <f t="shared" si="29"/>
        <v>216.66</v>
      </c>
      <c r="AG181" s="32">
        <f t="shared" si="29"/>
        <v>536.24</v>
      </c>
      <c r="AH181" s="78"/>
      <c r="AI181" s="78"/>
      <c r="AJ181" s="55">
        <f t="shared" si="30"/>
        <v>1028.8652999999999</v>
      </c>
      <c r="AK181" s="32"/>
      <c r="AL181" s="33"/>
      <c r="AM181" s="23"/>
    </row>
    <row r="182" spans="1:39" ht="15.6" x14ac:dyDescent="0.3">
      <c r="A182" s="64"/>
      <c r="B182" s="64"/>
      <c r="C182" s="5" t="s">
        <v>530</v>
      </c>
      <c r="D182" s="5" t="s">
        <v>120</v>
      </c>
      <c r="E182" s="7" t="s">
        <v>0</v>
      </c>
      <c r="F182" s="5"/>
      <c r="G182" s="23"/>
      <c r="H182" s="10">
        <v>2979</v>
      </c>
      <c r="I182" s="10">
        <v>2573</v>
      </c>
      <c r="J182" s="10">
        <v>2371</v>
      </c>
      <c r="K182" s="10">
        <v>2226</v>
      </c>
      <c r="L182" s="10">
        <v>1262</v>
      </c>
      <c r="M182" s="10">
        <v>867</v>
      </c>
      <c r="N182" s="9" cm="1">
        <f t="array" ref="N182">SUM((H182:L182)/5)</f>
        <v>2282.2000000000003</v>
      </c>
      <c r="O182" s="10">
        <v>2200</v>
      </c>
      <c r="P182" s="23"/>
      <c r="Q182" s="30">
        <v>49.308</v>
      </c>
      <c r="R182" s="30">
        <v>72.016000000000005</v>
      </c>
      <c r="S182" s="30">
        <v>0.441</v>
      </c>
      <c r="T182" s="30">
        <v>0.441</v>
      </c>
      <c r="U182" s="30">
        <f t="shared" si="24"/>
        <v>880</v>
      </c>
      <c r="V182" s="30">
        <f t="shared" si="25"/>
        <v>1320</v>
      </c>
      <c r="W182" s="23"/>
      <c r="X182" s="30">
        <v>15.868</v>
      </c>
      <c r="Y182" s="30">
        <v>27.08259</v>
      </c>
      <c r="Z182" s="53">
        <v>27.08259</v>
      </c>
      <c r="AA182" s="54">
        <f t="shared" si="26"/>
        <v>44.686273499999999</v>
      </c>
      <c r="AB182" s="23"/>
      <c r="AC182" s="4">
        <v>365</v>
      </c>
      <c r="AD182" s="32">
        <f t="shared" si="27"/>
        <v>131.7893</v>
      </c>
      <c r="AE182" s="32">
        <f t="shared" si="28"/>
        <v>144.17600000000002</v>
      </c>
      <c r="AF182" s="32">
        <f t="shared" si="29"/>
        <v>238.33</v>
      </c>
      <c r="AG182" s="32">
        <f t="shared" si="29"/>
        <v>589.86</v>
      </c>
      <c r="AH182" s="78"/>
      <c r="AI182" s="78"/>
      <c r="AJ182" s="55">
        <f t="shared" si="30"/>
        <v>1104.1552999999999</v>
      </c>
      <c r="AK182" s="32"/>
      <c r="AL182" s="33"/>
      <c r="AM182" s="23"/>
    </row>
    <row r="183" spans="1:39" ht="15.6" x14ac:dyDescent="0.3">
      <c r="A183" s="64"/>
      <c r="B183" s="64"/>
      <c r="C183" s="5" t="s">
        <v>530</v>
      </c>
      <c r="D183" s="5" t="s">
        <v>120</v>
      </c>
      <c r="E183" s="7" t="s">
        <v>0</v>
      </c>
      <c r="F183" s="5"/>
      <c r="G183" s="23"/>
      <c r="H183" s="10">
        <v>2526</v>
      </c>
      <c r="I183" s="10">
        <v>2745</v>
      </c>
      <c r="J183" s="10">
        <v>2805</v>
      </c>
      <c r="K183" s="10">
        <v>2554</v>
      </c>
      <c r="L183" s="10">
        <v>1877</v>
      </c>
      <c r="M183" s="10">
        <v>977</v>
      </c>
      <c r="N183" s="9" cm="1">
        <f t="array" ref="N183">SUM((H183:L183)/5)</f>
        <v>2501.4</v>
      </c>
      <c r="O183" s="10">
        <v>2500</v>
      </c>
      <c r="P183" s="23"/>
      <c r="Q183" s="30">
        <v>49.308</v>
      </c>
      <c r="R183" s="30">
        <v>72.016000000000005</v>
      </c>
      <c r="S183" s="30">
        <v>0.441</v>
      </c>
      <c r="T183" s="30">
        <v>0.441</v>
      </c>
      <c r="U183" s="30">
        <f t="shared" si="24"/>
        <v>1000</v>
      </c>
      <c r="V183" s="30">
        <f t="shared" si="25"/>
        <v>1500</v>
      </c>
      <c r="W183" s="23"/>
      <c r="X183" s="30">
        <v>15.868</v>
      </c>
      <c r="Y183" s="30">
        <v>27.082689999999999</v>
      </c>
      <c r="Z183" s="53">
        <v>27.082689999999999</v>
      </c>
      <c r="AA183" s="54">
        <f t="shared" si="26"/>
        <v>44.686438500000001</v>
      </c>
      <c r="AB183" s="23"/>
      <c r="AC183" s="4">
        <v>365</v>
      </c>
      <c r="AD183" s="32">
        <f t="shared" si="27"/>
        <v>131.7893</v>
      </c>
      <c r="AE183" s="32">
        <f t="shared" si="28"/>
        <v>144.17600000000002</v>
      </c>
      <c r="AF183" s="32">
        <f t="shared" si="29"/>
        <v>270.83</v>
      </c>
      <c r="AG183" s="32">
        <f t="shared" si="29"/>
        <v>670.3</v>
      </c>
      <c r="AH183" s="78"/>
      <c r="AI183" s="78"/>
      <c r="AJ183" s="55">
        <f t="shared" si="30"/>
        <v>1217.0953</v>
      </c>
      <c r="AK183" s="32"/>
      <c r="AL183" s="33"/>
      <c r="AM183" s="23"/>
    </row>
    <row r="184" spans="1:39" ht="15.6" x14ac:dyDescent="0.3">
      <c r="A184" s="64"/>
      <c r="B184" s="64"/>
      <c r="C184" s="5" t="s">
        <v>530</v>
      </c>
      <c r="D184" s="5" t="s">
        <v>120</v>
      </c>
      <c r="E184" s="7" t="s">
        <v>0</v>
      </c>
      <c r="F184" s="5"/>
      <c r="G184" s="23"/>
      <c r="H184" s="10">
        <v>2745</v>
      </c>
      <c r="I184" s="10">
        <v>2958</v>
      </c>
      <c r="J184" s="10">
        <v>2713</v>
      </c>
      <c r="K184" s="10">
        <v>2633</v>
      </c>
      <c r="L184" s="10">
        <v>2109</v>
      </c>
      <c r="M184" s="10">
        <v>1306</v>
      </c>
      <c r="N184" s="9" cm="1">
        <f t="array" ref="N184">SUM((H184:L184)/5)</f>
        <v>2631.6</v>
      </c>
      <c r="O184" s="10">
        <v>2400</v>
      </c>
      <c r="P184" s="23"/>
      <c r="Q184" s="30">
        <v>49.308</v>
      </c>
      <c r="R184" s="30">
        <v>72.016000000000005</v>
      </c>
      <c r="S184" s="30">
        <v>0.441</v>
      </c>
      <c r="T184" s="30">
        <v>0.441</v>
      </c>
      <c r="U184" s="30">
        <f t="shared" si="24"/>
        <v>960</v>
      </c>
      <c r="V184" s="30">
        <f t="shared" si="25"/>
        <v>1440</v>
      </c>
      <c r="W184" s="23"/>
      <c r="X184" s="30">
        <v>15.868</v>
      </c>
      <c r="Y184" s="30">
        <v>27.082850000000001</v>
      </c>
      <c r="Z184" s="53">
        <v>27.082850000000001</v>
      </c>
      <c r="AA184" s="54">
        <f t="shared" si="26"/>
        <v>44.686702500000003</v>
      </c>
      <c r="AB184" s="23"/>
      <c r="AC184" s="4">
        <v>365</v>
      </c>
      <c r="AD184" s="32">
        <f t="shared" si="27"/>
        <v>131.7893</v>
      </c>
      <c r="AE184" s="32">
        <f t="shared" si="28"/>
        <v>144.17600000000002</v>
      </c>
      <c r="AF184" s="32">
        <f t="shared" si="29"/>
        <v>260</v>
      </c>
      <c r="AG184" s="32">
        <f t="shared" si="29"/>
        <v>643.49</v>
      </c>
      <c r="AH184" s="78"/>
      <c r="AI184" s="78"/>
      <c r="AJ184" s="55">
        <f t="shared" si="30"/>
        <v>1179.4553000000001</v>
      </c>
      <c r="AK184" s="32"/>
      <c r="AL184" s="33"/>
      <c r="AM184" s="23"/>
    </row>
    <row r="185" spans="1:39" ht="15.6" x14ac:dyDescent="0.3">
      <c r="A185" s="64"/>
      <c r="B185" s="64"/>
      <c r="C185" s="5" t="s">
        <v>456</v>
      </c>
      <c r="D185" s="5" t="s">
        <v>120</v>
      </c>
      <c r="E185" s="7" t="s">
        <v>0</v>
      </c>
      <c r="F185" s="5"/>
      <c r="G185" s="23"/>
      <c r="H185" s="10">
        <v>250</v>
      </c>
      <c r="I185" s="10">
        <v>267</v>
      </c>
      <c r="J185" s="10">
        <v>420</v>
      </c>
      <c r="K185" s="10">
        <v>462</v>
      </c>
      <c r="L185" s="10">
        <v>873</v>
      </c>
      <c r="M185" s="10">
        <v>433</v>
      </c>
      <c r="N185" s="9" cm="1">
        <f t="array" ref="N185">SUM((H185:L185)/5)</f>
        <v>454.4</v>
      </c>
      <c r="O185" s="10">
        <v>460</v>
      </c>
      <c r="P185" s="23"/>
      <c r="Q185" s="30">
        <v>49.828000000000003</v>
      </c>
      <c r="R185" s="30">
        <v>63.256999999999998</v>
      </c>
      <c r="S185" s="30">
        <v>0.441</v>
      </c>
      <c r="T185" s="30">
        <v>0.441</v>
      </c>
      <c r="U185" s="30">
        <f t="shared" si="24"/>
        <v>184</v>
      </c>
      <c r="V185" s="30">
        <f t="shared" si="25"/>
        <v>276</v>
      </c>
      <c r="W185" s="23"/>
      <c r="X185" s="30">
        <v>15.061999999999999</v>
      </c>
      <c r="Y185" s="30">
        <v>26.505980000000001</v>
      </c>
      <c r="Z185" s="53">
        <v>26.505980000000001</v>
      </c>
      <c r="AA185" s="54">
        <f t="shared" si="26"/>
        <v>43.734867000000001</v>
      </c>
      <c r="AB185" s="23"/>
      <c r="AC185" s="4">
        <v>365</v>
      </c>
      <c r="AD185" s="32">
        <f t="shared" si="27"/>
        <v>115.7603</v>
      </c>
      <c r="AE185" s="32">
        <f t="shared" si="28"/>
        <v>126.64049999999999</v>
      </c>
      <c r="AF185" s="32">
        <f t="shared" si="29"/>
        <v>48.77</v>
      </c>
      <c r="AG185" s="32">
        <f t="shared" si="29"/>
        <v>120.71</v>
      </c>
      <c r="AH185" s="78"/>
      <c r="AI185" s="78"/>
      <c r="AJ185" s="55">
        <f t="shared" si="30"/>
        <v>411.88079999999997</v>
      </c>
      <c r="AK185" s="32"/>
      <c r="AL185" s="33"/>
      <c r="AM185" s="23"/>
    </row>
    <row r="186" spans="1:39" ht="15.6" x14ac:dyDescent="0.3">
      <c r="A186" s="64"/>
      <c r="B186" s="64"/>
      <c r="C186" s="5" t="s">
        <v>456</v>
      </c>
      <c r="D186" s="5" t="s">
        <v>120</v>
      </c>
      <c r="E186" s="7" t="s">
        <v>0</v>
      </c>
      <c r="F186" s="5"/>
      <c r="G186" s="23"/>
      <c r="H186" s="10">
        <v>18</v>
      </c>
      <c r="I186" s="10">
        <v>116</v>
      </c>
      <c r="J186" s="10">
        <v>469</v>
      </c>
      <c r="K186" s="10">
        <v>477</v>
      </c>
      <c r="L186" s="10">
        <v>474</v>
      </c>
      <c r="M186" s="10">
        <v>229</v>
      </c>
      <c r="N186" s="9" cm="1">
        <f t="array" ref="N186">SUM((H186:L186)/5)</f>
        <v>310.8</v>
      </c>
      <c r="O186" s="10">
        <v>475</v>
      </c>
      <c r="P186" s="23"/>
      <c r="Q186" s="30">
        <v>49.828000000000003</v>
      </c>
      <c r="R186" s="30">
        <v>63.256999999999998</v>
      </c>
      <c r="S186" s="30">
        <v>0.441</v>
      </c>
      <c r="T186" s="30">
        <v>0.441</v>
      </c>
      <c r="U186" s="30">
        <f t="shared" si="24"/>
        <v>190</v>
      </c>
      <c r="V186" s="30">
        <f t="shared" si="25"/>
        <v>285</v>
      </c>
      <c r="W186" s="23"/>
      <c r="X186" s="30">
        <v>15.061999999999999</v>
      </c>
      <c r="Y186" s="30">
        <v>26.505559999999999</v>
      </c>
      <c r="Z186" s="53">
        <v>26.505559999999999</v>
      </c>
      <c r="AA186" s="54">
        <f t="shared" si="26"/>
        <v>43.734173999999996</v>
      </c>
      <c r="AB186" s="23"/>
      <c r="AC186" s="4">
        <v>365</v>
      </c>
      <c r="AD186" s="32">
        <f t="shared" si="27"/>
        <v>115.7603</v>
      </c>
      <c r="AE186" s="32">
        <f t="shared" si="28"/>
        <v>126.64049999999999</v>
      </c>
      <c r="AF186" s="32">
        <f t="shared" si="29"/>
        <v>50.36</v>
      </c>
      <c r="AG186" s="32">
        <f t="shared" si="29"/>
        <v>124.64</v>
      </c>
      <c r="AH186" s="78"/>
      <c r="AI186" s="78"/>
      <c r="AJ186" s="55">
        <f t="shared" si="30"/>
        <v>417.4008</v>
      </c>
      <c r="AK186" s="32"/>
      <c r="AL186" s="33"/>
      <c r="AM186" s="23"/>
    </row>
    <row r="187" spans="1:39" ht="15.6" x14ac:dyDescent="0.3">
      <c r="A187" s="64"/>
      <c r="B187" s="64"/>
      <c r="C187" s="5" t="s">
        <v>495</v>
      </c>
      <c r="D187" s="5" t="s">
        <v>120</v>
      </c>
      <c r="E187" s="7" t="s">
        <v>0</v>
      </c>
      <c r="F187" s="5"/>
      <c r="G187" s="23"/>
      <c r="H187" s="10">
        <v>416</v>
      </c>
      <c r="I187" s="10">
        <v>415</v>
      </c>
      <c r="J187" s="10">
        <v>425</v>
      </c>
      <c r="K187" s="10">
        <v>421</v>
      </c>
      <c r="L187" s="10">
        <v>305</v>
      </c>
      <c r="M187" s="10">
        <v>214</v>
      </c>
      <c r="N187" s="9" cm="1">
        <f t="array" ref="N187">SUM((H187:L187)/5)</f>
        <v>396.4</v>
      </c>
      <c r="O187" s="10">
        <v>380</v>
      </c>
      <c r="P187" s="23"/>
      <c r="Q187" s="30">
        <v>49.828000000000003</v>
      </c>
      <c r="R187" s="30">
        <v>63.256999999999998</v>
      </c>
      <c r="S187" s="30">
        <v>0.441</v>
      </c>
      <c r="T187" s="30">
        <v>0.441</v>
      </c>
      <c r="U187" s="30">
        <f t="shared" si="24"/>
        <v>152</v>
      </c>
      <c r="V187" s="30">
        <f t="shared" si="25"/>
        <v>228</v>
      </c>
      <c r="W187" s="23"/>
      <c r="X187" s="30">
        <v>15.061999999999999</v>
      </c>
      <c r="Y187" s="30">
        <v>26.505949999999999</v>
      </c>
      <c r="Z187" s="53">
        <v>26.505949999999999</v>
      </c>
      <c r="AA187" s="54">
        <f t="shared" si="26"/>
        <v>43.734817499999998</v>
      </c>
      <c r="AB187" s="23"/>
      <c r="AC187" s="4">
        <v>365</v>
      </c>
      <c r="AD187" s="32">
        <f t="shared" si="27"/>
        <v>115.7603</v>
      </c>
      <c r="AE187" s="32">
        <f t="shared" si="28"/>
        <v>126.64049999999999</v>
      </c>
      <c r="AF187" s="32">
        <f t="shared" si="29"/>
        <v>40.29</v>
      </c>
      <c r="AG187" s="32">
        <f t="shared" si="29"/>
        <v>99.72</v>
      </c>
      <c r="AH187" s="78"/>
      <c r="AI187" s="78"/>
      <c r="AJ187" s="55">
        <f t="shared" si="30"/>
        <v>382.41079999999999</v>
      </c>
      <c r="AK187" s="32"/>
      <c r="AL187" s="33"/>
      <c r="AM187" s="23"/>
    </row>
    <row r="188" spans="1:39" ht="15.6" x14ac:dyDescent="0.3">
      <c r="A188" s="64"/>
      <c r="B188" s="64"/>
      <c r="C188" s="5" t="s">
        <v>495</v>
      </c>
      <c r="D188" s="5" t="s">
        <v>120</v>
      </c>
      <c r="E188" s="7" t="s">
        <v>0</v>
      </c>
      <c r="F188" s="5"/>
      <c r="G188" s="23"/>
      <c r="H188" s="10">
        <v>538</v>
      </c>
      <c r="I188" s="10">
        <v>589</v>
      </c>
      <c r="J188" s="10">
        <v>488</v>
      </c>
      <c r="K188" s="10">
        <v>592</v>
      </c>
      <c r="L188" s="10">
        <v>456</v>
      </c>
      <c r="M188" s="10">
        <v>263</v>
      </c>
      <c r="N188" s="9" cm="1">
        <f t="array" ref="N188">SUM((H188:L188)/5)</f>
        <v>532.6</v>
      </c>
      <c r="O188" s="10">
        <v>530</v>
      </c>
      <c r="P188" s="23"/>
      <c r="Q188" s="30">
        <v>49.828000000000003</v>
      </c>
      <c r="R188" s="30">
        <v>63.256999999999998</v>
      </c>
      <c r="S188" s="30">
        <v>0.441</v>
      </c>
      <c r="T188" s="30">
        <v>0.441</v>
      </c>
      <c r="U188" s="30">
        <f t="shared" si="24"/>
        <v>212</v>
      </c>
      <c r="V188" s="30">
        <f t="shared" si="25"/>
        <v>318</v>
      </c>
      <c r="W188" s="23"/>
      <c r="X188" s="30">
        <v>15.061999999999999</v>
      </c>
      <c r="Y188" s="30">
        <v>26.50657</v>
      </c>
      <c r="Z188" s="53">
        <v>26.50657</v>
      </c>
      <c r="AA188" s="54">
        <f t="shared" si="26"/>
        <v>43.735840500000002</v>
      </c>
      <c r="AB188" s="23"/>
      <c r="AC188" s="4">
        <v>365</v>
      </c>
      <c r="AD188" s="32">
        <f t="shared" si="27"/>
        <v>115.7603</v>
      </c>
      <c r="AE188" s="32">
        <f t="shared" si="28"/>
        <v>126.64049999999999</v>
      </c>
      <c r="AF188" s="32">
        <f t="shared" si="29"/>
        <v>56.19</v>
      </c>
      <c r="AG188" s="32">
        <f t="shared" si="29"/>
        <v>139.08000000000001</v>
      </c>
      <c r="AH188" s="78"/>
      <c r="AI188" s="78"/>
      <c r="AJ188" s="55">
        <f t="shared" si="30"/>
        <v>437.67079999999999</v>
      </c>
      <c r="AK188" s="32"/>
      <c r="AL188" s="33"/>
      <c r="AM188" s="23"/>
    </row>
    <row r="189" spans="1:39" ht="15.6" x14ac:dyDescent="0.3">
      <c r="A189" s="64"/>
      <c r="B189" s="64"/>
      <c r="C189" s="5" t="s">
        <v>495</v>
      </c>
      <c r="D189" s="5" t="s">
        <v>120</v>
      </c>
      <c r="E189" s="7" t="s">
        <v>0</v>
      </c>
      <c r="F189" s="5"/>
      <c r="G189" s="23"/>
      <c r="H189" s="10">
        <v>359</v>
      </c>
      <c r="I189" s="10">
        <v>261</v>
      </c>
      <c r="J189" s="10">
        <v>262</v>
      </c>
      <c r="K189" s="10">
        <v>262</v>
      </c>
      <c r="L189" s="10">
        <v>195</v>
      </c>
      <c r="M189" s="10">
        <v>127</v>
      </c>
      <c r="N189" s="9" cm="1">
        <f t="array" ref="N189">SUM((H189:L189)/5)</f>
        <v>267.8</v>
      </c>
      <c r="O189" s="10">
        <v>270</v>
      </c>
      <c r="P189" s="23"/>
      <c r="Q189" s="30">
        <v>49.828000000000003</v>
      </c>
      <c r="R189" s="30">
        <v>63.256999999999998</v>
      </c>
      <c r="S189" s="30">
        <v>0.441</v>
      </c>
      <c r="T189" s="30">
        <v>0.441</v>
      </c>
      <c r="U189" s="30">
        <f t="shared" si="24"/>
        <v>108</v>
      </c>
      <c r="V189" s="30">
        <f t="shared" si="25"/>
        <v>162</v>
      </c>
      <c r="W189" s="23"/>
      <c r="X189" s="30">
        <v>15.061999999999999</v>
      </c>
      <c r="Y189" s="30">
        <v>26.505089999999999</v>
      </c>
      <c r="Z189" s="53">
        <v>26.505089999999999</v>
      </c>
      <c r="AA189" s="54">
        <f t="shared" si="26"/>
        <v>43.7333985</v>
      </c>
      <c r="AB189" s="23"/>
      <c r="AC189" s="4">
        <v>365</v>
      </c>
      <c r="AD189" s="32">
        <f t="shared" si="27"/>
        <v>115.7603</v>
      </c>
      <c r="AE189" s="32">
        <f t="shared" si="28"/>
        <v>126.64049999999999</v>
      </c>
      <c r="AF189" s="32">
        <f t="shared" si="29"/>
        <v>28.63</v>
      </c>
      <c r="AG189" s="32">
        <f t="shared" si="29"/>
        <v>70.849999999999994</v>
      </c>
      <c r="AH189" s="78"/>
      <c r="AI189" s="78"/>
      <c r="AJ189" s="55">
        <f t="shared" si="30"/>
        <v>341.88080000000002</v>
      </c>
      <c r="AK189" s="32"/>
      <c r="AL189" s="33"/>
      <c r="AM189" s="23"/>
    </row>
    <row r="190" spans="1:39" ht="45" x14ac:dyDescent="0.3">
      <c r="A190" s="64"/>
      <c r="B190" s="64"/>
      <c r="C190" s="5" t="s">
        <v>457</v>
      </c>
      <c r="D190" s="5" t="s">
        <v>120</v>
      </c>
      <c r="E190" s="7" t="s">
        <v>0</v>
      </c>
      <c r="F190" s="5"/>
      <c r="G190" s="23"/>
      <c r="H190" s="10">
        <v>1506</v>
      </c>
      <c r="I190" s="10">
        <v>1329</v>
      </c>
      <c r="J190" s="10">
        <v>684</v>
      </c>
      <c r="K190" s="10">
        <v>682</v>
      </c>
      <c r="L190" s="10">
        <v>286</v>
      </c>
      <c r="M190" s="10">
        <v>0</v>
      </c>
      <c r="N190" s="9" cm="1">
        <f t="array" ref="N190">SUM((H190:L190)/5)</f>
        <v>897.4</v>
      </c>
      <c r="O190" s="10">
        <v>800</v>
      </c>
      <c r="P190" s="23"/>
      <c r="Q190" s="56">
        <v>0</v>
      </c>
      <c r="R190" s="56"/>
      <c r="S190" s="30">
        <v>0.441</v>
      </c>
      <c r="T190" s="30">
        <v>0.441</v>
      </c>
      <c r="U190" s="30">
        <f t="shared" si="24"/>
        <v>320</v>
      </c>
      <c r="V190" s="30">
        <f t="shared" si="25"/>
        <v>480</v>
      </c>
      <c r="W190" s="23"/>
      <c r="X190" s="30" t="s">
        <v>222</v>
      </c>
      <c r="Y190" s="56"/>
      <c r="Z190" s="57"/>
      <c r="AA190" s="54">
        <f t="shared" si="26"/>
        <v>0</v>
      </c>
      <c r="AB190" s="23"/>
      <c r="AC190" s="4">
        <v>365</v>
      </c>
      <c r="AD190" s="32">
        <f t="shared" si="27"/>
        <v>0</v>
      </c>
      <c r="AE190" s="32">
        <f t="shared" si="28"/>
        <v>0</v>
      </c>
      <c r="AF190" s="32">
        <f t="shared" si="29"/>
        <v>0</v>
      </c>
      <c r="AG190" s="32">
        <f t="shared" si="29"/>
        <v>0</v>
      </c>
      <c r="AH190" s="78"/>
      <c r="AI190" s="78"/>
      <c r="AJ190" s="55">
        <f t="shared" si="30"/>
        <v>0</v>
      </c>
      <c r="AK190" s="32"/>
      <c r="AL190" s="33"/>
      <c r="AM190" s="23"/>
    </row>
    <row r="191" spans="1:39" ht="15.6" x14ac:dyDescent="0.3">
      <c r="A191" s="64"/>
      <c r="B191" s="64"/>
      <c r="C191" s="5" t="s">
        <v>531</v>
      </c>
      <c r="D191" s="5" t="s">
        <v>120</v>
      </c>
      <c r="E191" s="7" t="s">
        <v>0</v>
      </c>
      <c r="F191" s="5"/>
      <c r="G191" s="23"/>
      <c r="H191" s="10">
        <v>1071</v>
      </c>
      <c r="I191" s="10">
        <v>995</v>
      </c>
      <c r="J191" s="10">
        <v>876</v>
      </c>
      <c r="K191" s="10">
        <v>847</v>
      </c>
      <c r="L191" s="10">
        <v>714</v>
      </c>
      <c r="M191" s="10">
        <v>443</v>
      </c>
      <c r="N191" s="9" cm="1">
        <f t="array" ref="N191">SUM((H191:L191)/5)</f>
        <v>900.59999999999991</v>
      </c>
      <c r="O191" s="10">
        <v>900</v>
      </c>
      <c r="P191" s="23"/>
      <c r="Q191" s="30">
        <v>49.308</v>
      </c>
      <c r="R191" s="30">
        <v>72.016000000000005</v>
      </c>
      <c r="S191" s="30">
        <v>0.441</v>
      </c>
      <c r="T191" s="30">
        <v>0.441</v>
      </c>
      <c r="U191" s="30">
        <f t="shared" si="24"/>
        <v>360</v>
      </c>
      <c r="V191" s="30">
        <f t="shared" si="25"/>
        <v>540</v>
      </c>
      <c r="W191" s="23"/>
      <c r="X191" s="30">
        <v>15.868</v>
      </c>
      <c r="Y191" s="30">
        <v>27.082329999999999</v>
      </c>
      <c r="Z191" s="53">
        <v>27.082329999999999</v>
      </c>
      <c r="AA191" s="54">
        <f t="shared" si="26"/>
        <v>44.685844500000002</v>
      </c>
      <c r="AB191" s="23"/>
      <c r="AC191" s="4">
        <v>365</v>
      </c>
      <c r="AD191" s="32">
        <f t="shared" si="27"/>
        <v>131.7893</v>
      </c>
      <c r="AE191" s="32">
        <f t="shared" si="28"/>
        <v>144.17600000000002</v>
      </c>
      <c r="AF191" s="32">
        <f t="shared" si="29"/>
        <v>97.5</v>
      </c>
      <c r="AG191" s="32">
        <f t="shared" si="29"/>
        <v>241.3</v>
      </c>
      <c r="AH191" s="78"/>
      <c r="AI191" s="78"/>
      <c r="AJ191" s="55">
        <f t="shared" si="30"/>
        <v>614.76530000000002</v>
      </c>
      <c r="AK191" s="32"/>
      <c r="AL191" s="33"/>
      <c r="AM191" s="23"/>
    </row>
    <row r="192" spans="1:39" ht="15.6" x14ac:dyDescent="0.3">
      <c r="A192" s="64"/>
      <c r="B192" s="64"/>
      <c r="C192" s="5" t="s">
        <v>531</v>
      </c>
      <c r="D192" s="5" t="s">
        <v>120</v>
      </c>
      <c r="E192" s="7" t="s">
        <v>0</v>
      </c>
      <c r="F192" s="5"/>
      <c r="G192" s="23"/>
      <c r="H192" s="10">
        <v>1370</v>
      </c>
      <c r="I192" s="10">
        <v>1257</v>
      </c>
      <c r="J192" s="10">
        <v>1093</v>
      </c>
      <c r="K192" s="10">
        <v>1139</v>
      </c>
      <c r="L192" s="10">
        <v>2068</v>
      </c>
      <c r="M192" s="10">
        <v>875</v>
      </c>
      <c r="N192" s="9" cm="1">
        <f t="array" ref="N192">SUM((H192:L192)/5)</f>
        <v>1385.4</v>
      </c>
      <c r="O192" s="10">
        <v>1500</v>
      </c>
      <c r="P192" s="23"/>
      <c r="Q192" s="30">
        <v>49.308</v>
      </c>
      <c r="R192" s="30">
        <v>72.016000000000005</v>
      </c>
      <c r="S192" s="30">
        <v>0.441</v>
      </c>
      <c r="T192" s="30">
        <v>0.441</v>
      </c>
      <c r="U192" s="30">
        <f t="shared" si="24"/>
        <v>600</v>
      </c>
      <c r="V192" s="30">
        <f t="shared" si="25"/>
        <v>900</v>
      </c>
      <c r="W192" s="23"/>
      <c r="X192" s="30">
        <v>15.868</v>
      </c>
      <c r="Y192" s="30">
        <v>27.082899999999999</v>
      </c>
      <c r="Z192" s="53">
        <v>27.082899999999999</v>
      </c>
      <c r="AA192" s="54">
        <f t="shared" si="26"/>
        <v>44.686785</v>
      </c>
      <c r="AB192" s="23"/>
      <c r="AC192" s="4">
        <v>365</v>
      </c>
      <c r="AD192" s="32">
        <f t="shared" si="27"/>
        <v>131.7893</v>
      </c>
      <c r="AE192" s="32">
        <f t="shared" si="28"/>
        <v>144.17600000000002</v>
      </c>
      <c r="AF192" s="32">
        <f t="shared" si="29"/>
        <v>162.5</v>
      </c>
      <c r="AG192" s="32">
        <f t="shared" si="29"/>
        <v>402.18</v>
      </c>
      <c r="AH192" s="78"/>
      <c r="AI192" s="78"/>
      <c r="AJ192" s="55">
        <f t="shared" si="30"/>
        <v>840.64530000000002</v>
      </c>
      <c r="AK192" s="32"/>
      <c r="AL192" s="33"/>
      <c r="AM192" s="23"/>
    </row>
    <row r="193" spans="1:39" ht="15.6" x14ac:dyDescent="0.3">
      <c r="A193" s="64"/>
      <c r="B193" s="64"/>
      <c r="C193" s="5" t="s">
        <v>532</v>
      </c>
      <c r="D193" s="5" t="s">
        <v>120</v>
      </c>
      <c r="E193" s="7" t="s">
        <v>0</v>
      </c>
      <c r="F193" s="5"/>
      <c r="G193" s="23"/>
      <c r="H193" s="10">
        <v>790</v>
      </c>
      <c r="I193" s="10">
        <v>1132</v>
      </c>
      <c r="J193" s="10">
        <v>1013</v>
      </c>
      <c r="K193" s="10">
        <v>787</v>
      </c>
      <c r="L193" s="10">
        <v>717</v>
      </c>
      <c r="M193" s="10">
        <v>424</v>
      </c>
      <c r="N193" s="9" cm="1">
        <f t="array" ref="N193">SUM((H193:L193)/5)</f>
        <v>887.8</v>
      </c>
      <c r="O193" s="10">
        <v>800</v>
      </c>
      <c r="P193" s="23"/>
      <c r="Q193" s="30">
        <v>49.308</v>
      </c>
      <c r="R193" s="30">
        <v>72.016000000000005</v>
      </c>
      <c r="S193" s="30">
        <v>0.441</v>
      </c>
      <c r="T193" s="30">
        <v>0.441</v>
      </c>
      <c r="U193" s="30">
        <f t="shared" si="24"/>
        <v>320</v>
      </c>
      <c r="V193" s="30">
        <f t="shared" si="25"/>
        <v>480</v>
      </c>
      <c r="W193" s="23"/>
      <c r="X193" s="30">
        <v>15.868</v>
      </c>
      <c r="Y193" s="30">
        <v>27.082699999999999</v>
      </c>
      <c r="Z193" s="53">
        <v>27.082699999999999</v>
      </c>
      <c r="AA193" s="54">
        <f t="shared" si="26"/>
        <v>44.686454999999995</v>
      </c>
      <c r="AB193" s="23"/>
      <c r="AC193" s="4">
        <v>365</v>
      </c>
      <c r="AD193" s="32">
        <f t="shared" si="27"/>
        <v>131.7893</v>
      </c>
      <c r="AE193" s="32">
        <f t="shared" si="28"/>
        <v>144.17600000000002</v>
      </c>
      <c r="AF193" s="32">
        <f t="shared" si="29"/>
        <v>86.66</v>
      </c>
      <c r="AG193" s="32">
        <f t="shared" si="29"/>
        <v>214.49</v>
      </c>
      <c r="AH193" s="78"/>
      <c r="AI193" s="78"/>
      <c r="AJ193" s="55">
        <f t="shared" si="30"/>
        <v>577.11530000000005</v>
      </c>
      <c r="AK193" s="32"/>
      <c r="AL193" s="33"/>
      <c r="AM193" s="23"/>
    </row>
    <row r="194" spans="1:39" ht="15.6" x14ac:dyDescent="0.3">
      <c r="A194" s="64"/>
      <c r="B194" s="64"/>
      <c r="C194" s="5" t="s">
        <v>533</v>
      </c>
      <c r="D194" s="5" t="s">
        <v>120</v>
      </c>
      <c r="E194" s="7" t="s">
        <v>0</v>
      </c>
      <c r="F194" s="5"/>
      <c r="G194" s="23"/>
      <c r="H194" s="10">
        <v>1048</v>
      </c>
      <c r="I194" s="10">
        <v>961</v>
      </c>
      <c r="J194" s="10">
        <v>1029</v>
      </c>
      <c r="K194" s="10">
        <v>874</v>
      </c>
      <c r="L194" s="10">
        <v>755</v>
      </c>
      <c r="M194" s="10">
        <v>397</v>
      </c>
      <c r="N194" s="9" cm="1">
        <f t="array" ref="N194">SUM((H194:L194)/5)</f>
        <v>933.39999999999986</v>
      </c>
      <c r="O194" s="10">
        <v>900</v>
      </c>
      <c r="P194" s="23"/>
      <c r="Q194" s="30">
        <v>49.308</v>
      </c>
      <c r="R194" s="30">
        <v>72.016000000000005</v>
      </c>
      <c r="S194" s="30">
        <v>0.441</v>
      </c>
      <c r="T194" s="30">
        <v>0.441</v>
      </c>
      <c r="U194" s="30">
        <f t="shared" si="24"/>
        <v>360</v>
      </c>
      <c r="V194" s="30">
        <f t="shared" si="25"/>
        <v>540</v>
      </c>
      <c r="W194" s="23"/>
      <c r="X194" s="30">
        <v>15.868</v>
      </c>
      <c r="Y194" s="30">
        <v>27.082689999999999</v>
      </c>
      <c r="Z194" s="53">
        <v>27.082689999999999</v>
      </c>
      <c r="AA194" s="54">
        <f t="shared" si="26"/>
        <v>44.686438500000001</v>
      </c>
      <c r="AB194" s="23"/>
      <c r="AC194" s="4">
        <v>365</v>
      </c>
      <c r="AD194" s="32">
        <f t="shared" si="27"/>
        <v>131.7893</v>
      </c>
      <c r="AE194" s="32">
        <f t="shared" si="28"/>
        <v>144.17600000000002</v>
      </c>
      <c r="AF194" s="32">
        <f t="shared" si="29"/>
        <v>97.5</v>
      </c>
      <c r="AG194" s="32">
        <f t="shared" si="29"/>
        <v>241.31</v>
      </c>
      <c r="AH194" s="78"/>
      <c r="AI194" s="78"/>
      <c r="AJ194" s="55">
        <f t="shared" si="30"/>
        <v>614.77530000000002</v>
      </c>
      <c r="AK194" s="32"/>
      <c r="AL194" s="33"/>
      <c r="AM194" s="23"/>
    </row>
    <row r="195" spans="1:39" ht="15.6" x14ac:dyDescent="0.3">
      <c r="A195" s="64"/>
      <c r="B195" s="64"/>
      <c r="C195" s="5" t="s">
        <v>534</v>
      </c>
      <c r="D195" s="5" t="s">
        <v>120</v>
      </c>
      <c r="E195" s="7" t="s">
        <v>0</v>
      </c>
      <c r="F195" s="5"/>
      <c r="G195" s="23"/>
      <c r="H195" s="10">
        <v>715</v>
      </c>
      <c r="I195" s="10">
        <v>505</v>
      </c>
      <c r="J195" s="10">
        <v>370</v>
      </c>
      <c r="K195" s="10">
        <v>374</v>
      </c>
      <c r="L195" s="10">
        <v>304</v>
      </c>
      <c r="M195" s="10">
        <v>166</v>
      </c>
      <c r="N195" s="9" cm="1">
        <f t="array" ref="N195">SUM((H195:L195)/5)</f>
        <v>453.6</v>
      </c>
      <c r="O195" s="10">
        <v>420</v>
      </c>
      <c r="P195" s="23"/>
      <c r="Q195" s="30">
        <v>49.308</v>
      </c>
      <c r="R195" s="30">
        <v>72.016000000000005</v>
      </c>
      <c r="S195" s="30">
        <v>0.441</v>
      </c>
      <c r="T195" s="30">
        <v>0.441</v>
      </c>
      <c r="U195" s="30">
        <f t="shared" si="24"/>
        <v>168</v>
      </c>
      <c r="V195" s="30">
        <f t="shared" si="25"/>
        <v>252</v>
      </c>
      <c r="W195" s="23"/>
      <c r="X195" s="30">
        <v>15.868</v>
      </c>
      <c r="Y195" s="30">
        <v>27.083729999999999</v>
      </c>
      <c r="Z195" s="53">
        <v>27.083729999999999</v>
      </c>
      <c r="AA195" s="54">
        <f t="shared" si="26"/>
        <v>44.688154499999996</v>
      </c>
      <c r="AB195" s="23"/>
      <c r="AC195" s="4">
        <v>365</v>
      </c>
      <c r="AD195" s="32">
        <f t="shared" si="27"/>
        <v>131.7893</v>
      </c>
      <c r="AE195" s="32">
        <f t="shared" si="28"/>
        <v>144.17600000000002</v>
      </c>
      <c r="AF195" s="32">
        <f t="shared" si="29"/>
        <v>45.5</v>
      </c>
      <c r="AG195" s="32">
        <f t="shared" si="29"/>
        <v>112.61</v>
      </c>
      <c r="AH195" s="78"/>
      <c r="AI195" s="78"/>
      <c r="AJ195" s="55">
        <f t="shared" si="30"/>
        <v>434.07530000000003</v>
      </c>
      <c r="AK195" s="32"/>
      <c r="AL195" s="33"/>
      <c r="AM195" s="23"/>
    </row>
    <row r="196" spans="1:39" ht="30" x14ac:dyDescent="0.3">
      <c r="A196" s="64"/>
      <c r="B196" s="64"/>
      <c r="C196" s="5" t="s">
        <v>458</v>
      </c>
      <c r="D196" s="5" t="s">
        <v>120</v>
      </c>
      <c r="E196" s="7" t="s">
        <v>0</v>
      </c>
      <c r="F196" s="5"/>
      <c r="G196" s="23"/>
      <c r="H196" s="10">
        <v>420</v>
      </c>
      <c r="I196" s="10">
        <v>537</v>
      </c>
      <c r="J196" s="10">
        <v>457</v>
      </c>
      <c r="K196" s="10">
        <v>436</v>
      </c>
      <c r="L196" s="10">
        <v>430</v>
      </c>
      <c r="M196" s="10">
        <v>0</v>
      </c>
      <c r="N196" s="9" cm="1">
        <f t="array" ref="N196">SUM((H196:L196)/5)</f>
        <v>456</v>
      </c>
      <c r="O196" s="10">
        <v>450</v>
      </c>
      <c r="P196" s="23"/>
      <c r="Q196" s="30">
        <v>42.325000000000003</v>
      </c>
      <c r="R196" s="30">
        <v>72.016000000000005</v>
      </c>
      <c r="S196" s="30">
        <v>0.441</v>
      </c>
      <c r="T196" s="30">
        <v>0.441</v>
      </c>
      <c r="U196" s="30">
        <f t="shared" si="24"/>
        <v>180</v>
      </c>
      <c r="V196" s="30">
        <f t="shared" si="25"/>
        <v>270</v>
      </c>
      <c r="W196" s="23"/>
      <c r="X196" s="30" t="s">
        <v>223</v>
      </c>
      <c r="Y196" s="30" t="s">
        <v>224</v>
      </c>
      <c r="Z196" s="53">
        <f>SUM(27.21193+25.23511)/2</f>
        <v>26.223520000000001</v>
      </c>
      <c r="AA196" s="54">
        <f t="shared" ref="AA196:AA259" si="31">SUM(Z196+Z196*$AA$4)</f>
        <v>43.268808</v>
      </c>
      <c r="AB196" s="23"/>
      <c r="AC196" s="4">
        <v>365</v>
      </c>
      <c r="AD196" s="32">
        <f t="shared" si="27"/>
        <v>131.7893</v>
      </c>
      <c r="AE196" s="32">
        <f t="shared" si="28"/>
        <v>144.17600000000002</v>
      </c>
      <c r="AF196" s="32">
        <f t="shared" si="29"/>
        <v>47.2</v>
      </c>
      <c r="AG196" s="32">
        <f t="shared" si="29"/>
        <v>116.83</v>
      </c>
      <c r="AH196" s="78"/>
      <c r="AI196" s="78"/>
      <c r="AJ196" s="55">
        <f t="shared" si="30"/>
        <v>439.99529999999999</v>
      </c>
      <c r="AK196" s="32"/>
      <c r="AL196" s="33"/>
      <c r="AM196" s="23"/>
    </row>
    <row r="197" spans="1:39" ht="15.6" x14ac:dyDescent="0.3">
      <c r="A197" s="64"/>
      <c r="B197" s="64"/>
      <c r="C197" s="5" t="s">
        <v>496</v>
      </c>
      <c r="D197" s="5" t="s">
        <v>120</v>
      </c>
      <c r="E197" s="7" t="s">
        <v>0</v>
      </c>
      <c r="F197" s="5"/>
      <c r="G197" s="23"/>
      <c r="H197" s="10">
        <v>247</v>
      </c>
      <c r="I197" s="10">
        <v>280</v>
      </c>
      <c r="J197" s="10">
        <v>672</v>
      </c>
      <c r="K197" s="10">
        <v>658</v>
      </c>
      <c r="L197" s="10">
        <v>872</v>
      </c>
      <c r="M197" s="10">
        <v>355</v>
      </c>
      <c r="N197" s="9" cm="1">
        <f t="array" ref="N197">SUM((H197:L197)/5)</f>
        <v>545.79999999999995</v>
      </c>
      <c r="O197" s="10">
        <v>750</v>
      </c>
      <c r="P197" s="23"/>
      <c r="Q197" s="30">
        <v>49.828000000000003</v>
      </c>
      <c r="R197" s="30">
        <v>63.256999999999998</v>
      </c>
      <c r="S197" s="30">
        <v>0.441</v>
      </c>
      <c r="T197" s="30">
        <v>0.441</v>
      </c>
      <c r="U197" s="30">
        <f t="shared" si="24"/>
        <v>300</v>
      </c>
      <c r="V197" s="30">
        <f t="shared" si="25"/>
        <v>450</v>
      </c>
      <c r="W197" s="23"/>
      <c r="X197" s="30">
        <v>15.061999999999999</v>
      </c>
      <c r="Y197" s="30">
        <v>26.505990000000001</v>
      </c>
      <c r="Z197" s="53">
        <v>26.505990000000001</v>
      </c>
      <c r="AA197" s="54">
        <f t="shared" si="31"/>
        <v>43.734883500000002</v>
      </c>
      <c r="AB197" s="23"/>
      <c r="AC197" s="4">
        <v>365</v>
      </c>
      <c r="AD197" s="32">
        <f t="shared" si="27"/>
        <v>115.7603</v>
      </c>
      <c r="AE197" s="32">
        <f t="shared" si="28"/>
        <v>126.64049999999999</v>
      </c>
      <c r="AF197" s="32">
        <f t="shared" si="29"/>
        <v>79.52</v>
      </c>
      <c r="AG197" s="32">
        <f t="shared" si="29"/>
        <v>196.81</v>
      </c>
      <c r="AH197" s="78"/>
      <c r="AI197" s="78"/>
      <c r="AJ197" s="55">
        <f t="shared" si="30"/>
        <v>518.73080000000004</v>
      </c>
      <c r="AK197" s="32"/>
      <c r="AL197" s="33"/>
      <c r="AM197" s="23"/>
    </row>
    <row r="198" spans="1:39" ht="15.6" x14ac:dyDescent="0.3">
      <c r="A198" s="64"/>
      <c r="B198" s="64"/>
      <c r="C198" s="5" t="s">
        <v>459</v>
      </c>
      <c r="D198" s="5" t="s">
        <v>120</v>
      </c>
      <c r="E198" s="7" t="s">
        <v>0</v>
      </c>
      <c r="F198" s="5"/>
      <c r="G198" s="23"/>
      <c r="H198" s="10">
        <v>506</v>
      </c>
      <c r="I198" s="10">
        <v>426</v>
      </c>
      <c r="J198" s="10">
        <v>455</v>
      </c>
      <c r="K198" s="10">
        <v>402</v>
      </c>
      <c r="L198" s="10">
        <v>341</v>
      </c>
      <c r="M198" s="10">
        <v>261</v>
      </c>
      <c r="N198" s="9" cm="1">
        <f t="array" ref="N198">SUM((H198:L198)/5)</f>
        <v>425.99999999999994</v>
      </c>
      <c r="O198" s="10">
        <v>430</v>
      </c>
      <c r="P198" s="23"/>
      <c r="Q198" s="30">
        <v>49.828000000000003</v>
      </c>
      <c r="R198" s="30">
        <v>63.256999999999998</v>
      </c>
      <c r="S198" s="30">
        <v>0.441</v>
      </c>
      <c r="T198" s="30">
        <v>0.441</v>
      </c>
      <c r="U198" s="30">
        <f t="shared" si="24"/>
        <v>172</v>
      </c>
      <c r="V198" s="30">
        <f t="shared" si="25"/>
        <v>258</v>
      </c>
      <c r="W198" s="23"/>
      <c r="X198" s="30">
        <v>15.061999999999999</v>
      </c>
      <c r="Y198" s="30">
        <v>26.50572</v>
      </c>
      <c r="Z198" s="53">
        <v>26.50572</v>
      </c>
      <c r="AA198" s="54">
        <f t="shared" si="31"/>
        <v>43.734437999999997</v>
      </c>
      <c r="AB198" s="23"/>
      <c r="AC198" s="4">
        <v>365</v>
      </c>
      <c r="AD198" s="32">
        <f t="shared" si="27"/>
        <v>115.7603</v>
      </c>
      <c r="AE198" s="32">
        <f t="shared" si="28"/>
        <v>126.64049999999999</v>
      </c>
      <c r="AF198" s="32">
        <f t="shared" si="29"/>
        <v>45.59</v>
      </c>
      <c r="AG198" s="32">
        <f t="shared" si="29"/>
        <v>112.83</v>
      </c>
      <c r="AH198" s="78"/>
      <c r="AI198" s="78"/>
      <c r="AJ198" s="55">
        <f t="shared" si="30"/>
        <v>400.82080000000002</v>
      </c>
      <c r="AK198" s="32"/>
      <c r="AL198" s="33"/>
      <c r="AM198" s="23"/>
    </row>
    <row r="199" spans="1:39" ht="15.6" x14ac:dyDescent="0.3">
      <c r="A199" s="64"/>
      <c r="B199" s="64"/>
      <c r="C199" s="5" t="s">
        <v>535</v>
      </c>
      <c r="D199" s="5" t="s">
        <v>120</v>
      </c>
      <c r="E199" s="7" t="s">
        <v>0</v>
      </c>
      <c r="F199" s="5"/>
      <c r="G199" s="23"/>
      <c r="H199" s="10">
        <v>1875</v>
      </c>
      <c r="I199" s="10">
        <v>1826</v>
      </c>
      <c r="J199" s="10">
        <v>1275</v>
      </c>
      <c r="K199" s="10">
        <v>998</v>
      </c>
      <c r="L199" s="10">
        <v>701</v>
      </c>
      <c r="M199" s="10">
        <v>493</v>
      </c>
      <c r="N199" s="9" cm="1">
        <f t="array" ref="N199">SUM((H199:L199)/5)</f>
        <v>1335</v>
      </c>
      <c r="O199" s="10">
        <v>1200</v>
      </c>
      <c r="P199" s="23"/>
      <c r="Q199" s="30">
        <v>49.828000000000003</v>
      </c>
      <c r="R199" s="30">
        <v>63.256999999999998</v>
      </c>
      <c r="S199" s="30">
        <v>0.441</v>
      </c>
      <c r="T199" s="30">
        <v>0.441</v>
      </c>
      <c r="U199" s="30">
        <f t="shared" si="24"/>
        <v>480</v>
      </c>
      <c r="V199" s="30">
        <f t="shared" si="25"/>
        <v>720</v>
      </c>
      <c r="W199" s="23"/>
      <c r="X199" s="30">
        <v>15.061999999999999</v>
      </c>
      <c r="Y199" s="30">
        <v>26.50572</v>
      </c>
      <c r="Z199" s="53">
        <v>26.50572</v>
      </c>
      <c r="AA199" s="54">
        <f t="shared" si="31"/>
        <v>43.734437999999997</v>
      </c>
      <c r="AB199" s="23"/>
      <c r="AC199" s="4">
        <v>365</v>
      </c>
      <c r="AD199" s="32">
        <f t="shared" si="27"/>
        <v>115.7603</v>
      </c>
      <c r="AE199" s="32">
        <f t="shared" si="28"/>
        <v>126.64049999999999</v>
      </c>
      <c r="AF199" s="32">
        <f t="shared" si="29"/>
        <v>127.23</v>
      </c>
      <c r="AG199" s="32">
        <f t="shared" si="29"/>
        <v>314.89</v>
      </c>
      <c r="AH199" s="78"/>
      <c r="AI199" s="78"/>
      <c r="AJ199" s="55">
        <f t="shared" si="30"/>
        <v>684.52080000000001</v>
      </c>
      <c r="AK199" s="32"/>
      <c r="AL199" s="33"/>
      <c r="AM199" s="23"/>
    </row>
    <row r="200" spans="1:39" ht="30" x14ac:dyDescent="0.3">
      <c r="A200" s="64"/>
      <c r="B200" s="64"/>
      <c r="C200" s="5" t="s">
        <v>536</v>
      </c>
      <c r="D200" s="5" t="s">
        <v>120</v>
      </c>
      <c r="E200" s="7" t="s">
        <v>0</v>
      </c>
      <c r="F200" s="5"/>
      <c r="G200" s="23"/>
      <c r="H200" s="10">
        <v>1197</v>
      </c>
      <c r="I200" s="10">
        <v>1175</v>
      </c>
      <c r="J200" s="10">
        <v>1153</v>
      </c>
      <c r="K200" s="10">
        <v>1470</v>
      </c>
      <c r="L200" s="10">
        <v>1358</v>
      </c>
      <c r="M200" s="10">
        <v>913</v>
      </c>
      <c r="N200" s="9" cm="1">
        <f t="array" ref="N200">SUM((H200:L200)/5)</f>
        <v>1270.5999999999999</v>
      </c>
      <c r="O200" s="10">
        <v>1400</v>
      </c>
      <c r="P200" s="23"/>
      <c r="Q200" s="30">
        <v>49.325000000000003</v>
      </c>
      <c r="R200" s="30">
        <v>72.016000000000005</v>
      </c>
      <c r="S200" s="30">
        <v>0.441</v>
      </c>
      <c r="T200" s="30">
        <v>0.441</v>
      </c>
      <c r="U200" s="30">
        <f t="shared" si="24"/>
        <v>560</v>
      </c>
      <c r="V200" s="30">
        <f t="shared" si="25"/>
        <v>840</v>
      </c>
      <c r="W200" s="23"/>
      <c r="X200" s="30" t="s">
        <v>225</v>
      </c>
      <c r="Y200" s="30" t="s">
        <v>226</v>
      </c>
      <c r="Z200" s="53">
        <f>SUM(27.21361+25.09042)/2</f>
        <v>26.152014999999999</v>
      </c>
      <c r="AA200" s="54">
        <f t="shared" si="31"/>
        <v>43.150824749999998</v>
      </c>
      <c r="AB200" s="23"/>
      <c r="AC200" s="4">
        <v>365</v>
      </c>
      <c r="AD200" s="32">
        <f t="shared" si="27"/>
        <v>131.7893</v>
      </c>
      <c r="AE200" s="32">
        <f t="shared" si="28"/>
        <v>144.17600000000002</v>
      </c>
      <c r="AF200" s="32">
        <f t="shared" si="29"/>
        <v>146.44999999999999</v>
      </c>
      <c r="AG200" s="32">
        <f t="shared" si="29"/>
        <v>362.47</v>
      </c>
      <c r="AH200" s="78"/>
      <c r="AI200" s="78"/>
      <c r="AJ200" s="55">
        <f t="shared" si="30"/>
        <v>784.88530000000003</v>
      </c>
      <c r="AK200" s="32"/>
      <c r="AL200" s="33"/>
      <c r="AM200" s="23"/>
    </row>
    <row r="201" spans="1:39" ht="15.6" x14ac:dyDescent="0.3">
      <c r="A201" s="64"/>
      <c r="B201" s="64"/>
      <c r="C201" s="5" t="s">
        <v>536</v>
      </c>
      <c r="D201" s="5" t="s">
        <v>120</v>
      </c>
      <c r="E201" s="7" t="s">
        <v>0</v>
      </c>
      <c r="F201" s="5"/>
      <c r="G201" s="23"/>
      <c r="H201" s="10">
        <v>1247</v>
      </c>
      <c r="I201" s="10">
        <v>898</v>
      </c>
      <c r="J201" s="10">
        <v>989</v>
      </c>
      <c r="K201" s="10">
        <v>1273</v>
      </c>
      <c r="L201" s="10">
        <v>903</v>
      </c>
      <c r="M201" s="10">
        <v>699</v>
      </c>
      <c r="N201" s="9" cm="1">
        <f t="array" ref="N201">SUM((H201:L201)/5)</f>
        <v>1062</v>
      </c>
      <c r="O201" s="10">
        <v>1100</v>
      </c>
      <c r="P201" s="23"/>
      <c r="Q201" s="30">
        <v>49.308</v>
      </c>
      <c r="R201" s="30">
        <v>72.016000000000005</v>
      </c>
      <c r="S201" s="30">
        <v>0.441</v>
      </c>
      <c r="T201" s="30">
        <v>0.441</v>
      </c>
      <c r="U201" s="30">
        <f t="shared" si="24"/>
        <v>440</v>
      </c>
      <c r="V201" s="30">
        <f t="shared" si="25"/>
        <v>660</v>
      </c>
      <c r="W201" s="23"/>
      <c r="X201" s="30">
        <v>15.868</v>
      </c>
      <c r="Y201" s="30">
        <v>27.082820000000002</v>
      </c>
      <c r="Z201" s="53">
        <v>27.082820000000002</v>
      </c>
      <c r="AA201" s="54">
        <f t="shared" si="31"/>
        <v>44.686653000000007</v>
      </c>
      <c r="AB201" s="23"/>
      <c r="AC201" s="4">
        <v>365</v>
      </c>
      <c r="AD201" s="32">
        <f t="shared" si="27"/>
        <v>131.7893</v>
      </c>
      <c r="AE201" s="32">
        <f t="shared" si="28"/>
        <v>144.17600000000002</v>
      </c>
      <c r="AF201" s="32">
        <f t="shared" si="29"/>
        <v>119.16</v>
      </c>
      <c r="AG201" s="32">
        <f t="shared" si="29"/>
        <v>294.93</v>
      </c>
      <c r="AH201" s="78"/>
      <c r="AI201" s="78"/>
      <c r="AJ201" s="55">
        <f t="shared" si="30"/>
        <v>690.05529999999999</v>
      </c>
      <c r="AK201" s="32"/>
      <c r="AL201" s="33"/>
      <c r="AM201" s="23"/>
    </row>
    <row r="202" spans="1:39" ht="30" x14ac:dyDescent="0.3">
      <c r="A202" s="64"/>
      <c r="B202" s="64"/>
      <c r="C202" s="5" t="s">
        <v>537</v>
      </c>
      <c r="D202" s="5" t="s">
        <v>120</v>
      </c>
      <c r="E202" s="7" t="s">
        <v>0</v>
      </c>
      <c r="F202" s="5"/>
      <c r="G202" s="23"/>
      <c r="H202" s="10">
        <v>115</v>
      </c>
      <c r="I202" s="10">
        <v>708</v>
      </c>
      <c r="J202" s="10">
        <v>639</v>
      </c>
      <c r="K202" s="10">
        <v>818</v>
      </c>
      <c r="L202" s="10">
        <v>597</v>
      </c>
      <c r="M202" s="10">
        <v>415</v>
      </c>
      <c r="N202" s="9" cm="1">
        <f t="array" ref="N202">SUM((H202:L202)/5)</f>
        <v>575.4</v>
      </c>
      <c r="O202" s="10">
        <v>700</v>
      </c>
      <c r="P202" s="23"/>
      <c r="Q202" s="30">
        <v>49.325000000000003</v>
      </c>
      <c r="R202" s="30">
        <v>72.016000000000005</v>
      </c>
      <c r="S202" s="30">
        <v>0.441</v>
      </c>
      <c r="T202" s="30">
        <v>0.441</v>
      </c>
      <c r="U202" s="30">
        <f t="shared" si="24"/>
        <v>280</v>
      </c>
      <c r="V202" s="30">
        <f t="shared" si="25"/>
        <v>420</v>
      </c>
      <c r="W202" s="23"/>
      <c r="X202" s="30" t="s">
        <v>227</v>
      </c>
      <c r="Y202" s="30" t="s">
        <v>228</v>
      </c>
      <c r="Z202" s="53">
        <f>SUM(27.21495+25.09089)/2</f>
        <v>26.152920000000002</v>
      </c>
      <c r="AA202" s="54">
        <f t="shared" si="31"/>
        <v>43.152318000000008</v>
      </c>
      <c r="AB202" s="23"/>
      <c r="AC202" s="4">
        <v>365</v>
      </c>
      <c r="AD202" s="32">
        <f t="shared" si="27"/>
        <v>131.7893</v>
      </c>
      <c r="AE202" s="32">
        <f t="shared" si="28"/>
        <v>144.17600000000002</v>
      </c>
      <c r="AF202" s="32">
        <f t="shared" si="29"/>
        <v>73.23</v>
      </c>
      <c r="AG202" s="32">
        <f t="shared" si="29"/>
        <v>181.24</v>
      </c>
      <c r="AH202" s="78"/>
      <c r="AI202" s="78"/>
      <c r="AJ202" s="55">
        <f t="shared" si="30"/>
        <v>530.4353000000001</v>
      </c>
      <c r="AK202" s="32"/>
      <c r="AL202" s="33"/>
      <c r="AM202" s="23"/>
    </row>
    <row r="203" spans="1:39" ht="15.6" x14ac:dyDescent="0.3">
      <c r="A203" s="64"/>
      <c r="B203" s="64"/>
      <c r="C203" s="5" t="s">
        <v>538</v>
      </c>
      <c r="D203" s="5" t="s">
        <v>120</v>
      </c>
      <c r="E203" s="7" t="s">
        <v>0</v>
      </c>
      <c r="F203" s="5"/>
      <c r="G203" s="23"/>
      <c r="H203" s="10">
        <v>408</v>
      </c>
      <c r="I203" s="10">
        <v>572</v>
      </c>
      <c r="J203" s="10">
        <v>474</v>
      </c>
      <c r="K203" s="10">
        <v>170</v>
      </c>
      <c r="L203" s="10">
        <v>178</v>
      </c>
      <c r="M203" s="10">
        <v>89</v>
      </c>
      <c r="N203" s="9" cm="1">
        <f t="array" ref="N203">SUM((H203:L203)/5)</f>
        <v>360.40000000000003</v>
      </c>
      <c r="O203" s="10">
        <v>360</v>
      </c>
      <c r="P203" s="23"/>
      <c r="Q203" s="30">
        <v>49.308</v>
      </c>
      <c r="R203" s="30">
        <v>72.016000000000005</v>
      </c>
      <c r="S203" s="30">
        <v>0.441</v>
      </c>
      <c r="T203" s="30">
        <v>0.441</v>
      </c>
      <c r="U203" s="30">
        <f t="shared" si="24"/>
        <v>144</v>
      </c>
      <c r="V203" s="30">
        <f t="shared" si="25"/>
        <v>216</v>
      </c>
      <c r="W203" s="23"/>
      <c r="X203" s="30">
        <v>15.868</v>
      </c>
      <c r="Y203" s="30">
        <v>27.082519999999999</v>
      </c>
      <c r="Z203" s="53">
        <v>27.082519999999999</v>
      </c>
      <c r="AA203" s="54">
        <f t="shared" si="31"/>
        <v>44.686157999999999</v>
      </c>
      <c r="AB203" s="23"/>
      <c r="AC203" s="4">
        <v>365</v>
      </c>
      <c r="AD203" s="32">
        <f t="shared" si="27"/>
        <v>131.7893</v>
      </c>
      <c r="AE203" s="32">
        <f t="shared" si="28"/>
        <v>144.17600000000002</v>
      </c>
      <c r="AF203" s="32">
        <f t="shared" si="29"/>
        <v>39</v>
      </c>
      <c r="AG203" s="32">
        <f t="shared" si="29"/>
        <v>96.52</v>
      </c>
      <c r="AH203" s="78"/>
      <c r="AI203" s="78"/>
      <c r="AJ203" s="55">
        <f t="shared" si="30"/>
        <v>411.4853</v>
      </c>
      <c r="AK203" s="32"/>
      <c r="AL203" s="33"/>
      <c r="AM203" s="23"/>
    </row>
    <row r="204" spans="1:39" ht="15.6" x14ac:dyDescent="0.3">
      <c r="A204" s="64"/>
      <c r="B204" s="64"/>
      <c r="C204" s="5" t="s">
        <v>538</v>
      </c>
      <c r="D204" s="5" t="s">
        <v>120</v>
      </c>
      <c r="E204" s="7" t="s">
        <v>0</v>
      </c>
      <c r="F204" s="5"/>
      <c r="G204" s="23"/>
      <c r="H204" s="10">
        <v>225</v>
      </c>
      <c r="I204" s="10">
        <v>174</v>
      </c>
      <c r="J204" s="10">
        <v>92</v>
      </c>
      <c r="K204" s="10">
        <v>30</v>
      </c>
      <c r="L204" s="10">
        <v>115</v>
      </c>
      <c r="M204" s="10">
        <v>71</v>
      </c>
      <c r="N204" s="9" cm="1">
        <f t="array" ref="N204">SUM((H204:L204)/5)</f>
        <v>127.19999999999999</v>
      </c>
      <c r="O204" s="10">
        <v>120</v>
      </c>
      <c r="P204" s="23"/>
      <c r="Q204" s="30">
        <v>49.308</v>
      </c>
      <c r="R204" s="30">
        <v>72.016000000000005</v>
      </c>
      <c r="S204" s="30">
        <v>0.441</v>
      </c>
      <c r="T204" s="30">
        <v>0.441</v>
      </c>
      <c r="U204" s="30">
        <f t="shared" si="24"/>
        <v>48</v>
      </c>
      <c r="V204" s="30">
        <f t="shared" si="25"/>
        <v>72</v>
      </c>
      <c r="W204" s="23"/>
      <c r="X204" s="30">
        <v>15.868</v>
      </c>
      <c r="Y204" s="30">
        <v>27.083500000000001</v>
      </c>
      <c r="Z204" s="53">
        <v>27.083500000000001</v>
      </c>
      <c r="AA204" s="54">
        <f t="shared" si="31"/>
        <v>44.687775000000002</v>
      </c>
      <c r="AB204" s="23"/>
      <c r="AC204" s="4">
        <v>365</v>
      </c>
      <c r="AD204" s="32">
        <f t="shared" si="27"/>
        <v>131.7893</v>
      </c>
      <c r="AE204" s="32">
        <f t="shared" si="28"/>
        <v>144.17600000000002</v>
      </c>
      <c r="AF204" s="32">
        <f t="shared" si="29"/>
        <v>13</v>
      </c>
      <c r="AG204" s="32">
        <f t="shared" si="29"/>
        <v>32.18</v>
      </c>
      <c r="AH204" s="78"/>
      <c r="AI204" s="78"/>
      <c r="AJ204" s="55">
        <f t="shared" si="30"/>
        <v>321.14530000000002</v>
      </c>
      <c r="AK204" s="32"/>
      <c r="AL204" s="33"/>
      <c r="AM204" s="23"/>
    </row>
    <row r="205" spans="1:39" ht="15.6" x14ac:dyDescent="0.3">
      <c r="A205" s="64"/>
      <c r="B205" s="64"/>
      <c r="C205" s="5" t="s">
        <v>460</v>
      </c>
      <c r="D205" s="5" t="s">
        <v>120</v>
      </c>
      <c r="E205" s="7" t="s">
        <v>0</v>
      </c>
      <c r="F205" s="5"/>
      <c r="G205" s="23"/>
      <c r="H205" s="10">
        <v>240</v>
      </c>
      <c r="I205" s="10">
        <v>239</v>
      </c>
      <c r="J205" s="10">
        <v>248</v>
      </c>
      <c r="K205" s="10">
        <v>250</v>
      </c>
      <c r="L205" s="10">
        <v>218</v>
      </c>
      <c r="M205" s="10">
        <v>488</v>
      </c>
      <c r="N205" s="9" cm="1">
        <f t="array" ref="N205">SUM((H205:L205)/5)</f>
        <v>239</v>
      </c>
      <c r="O205" s="10">
        <v>240</v>
      </c>
      <c r="P205" s="23"/>
      <c r="Q205" s="30">
        <v>49.308</v>
      </c>
      <c r="R205" s="30">
        <v>72.016000000000005</v>
      </c>
      <c r="S205" s="30">
        <v>0.441</v>
      </c>
      <c r="T205" s="30">
        <v>0.441</v>
      </c>
      <c r="U205" s="30">
        <f t="shared" si="24"/>
        <v>96</v>
      </c>
      <c r="V205" s="30">
        <f t="shared" si="25"/>
        <v>144</v>
      </c>
      <c r="W205" s="23"/>
      <c r="X205" s="30">
        <v>15.868</v>
      </c>
      <c r="Y205" s="30">
        <v>27.082070000000002</v>
      </c>
      <c r="Z205" s="53">
        <v>27.082070000000002</v>
      </c>
      <c r="AA205" s="54">
        <f t="shared" si="31"/>
        <v>44.685415500000005</v>
      </c>
      <c r="AB205" s="23"/>
      <c r="AC205" s="4">
        <v>365</v>
      </c>
      <c r="AD205" s="32">
        <f t="shared" si="27"/>
        <v>131.7893</v>
      </c>
      <c r="AE205" s="32">
        <f t="shared" si="28"/>
        <v>144.17600000000002</v>
      </c>
      <c r="AF205" s="32">
        <f t="shared" si="29"/>
        <v>26</v>
      </c>
      <c r="AG205" s="32">
        <f t="shared" si="29"/>
        <v>64.349999999999994</v>
      </c>
      <c r="AH205" s="78"/>
      <c r="AI205" s="78"/>
      <c r="AJ205" s="55">
        <f t="shared" si="30"/>
        <v>366.31529999999998</v>
      </c>
      <c r="AK205" s="32"/>
      <c r="AL205" s="33"/>
      <c r="AM205" s="23"/>
    </row>
    <row r="206" spans="1:39" ht="15.6" x14ac:dyDescent="0.3">
      <c r="A206" s="64"/>
      <c r="B206" s="64"/>
      <c r="C206" s="5" t="s">
        <v>539</v>
      </c>
      <c r="D206" s="5" t="s">
        <v>120</v>
      </c>
      <c r="E206" s="7" t="s">
        <v>0</v>
      </c>
      <c r="F206" s="5"/>
      <c r="G206" s="23"/>
      <c r="H206" s="10">
        <v>667</v>
      </c>
      <c r="I206" s="10">
        <v>510</v>
      </c>
      <c r="J206" s="10">
        <v>528</v>
      </c>
      <c r="K206" s="10">
        <v>827</v>
      </c>
      <c r="L206" s="10">
        <v>1106</v>
      </c>
      <c r="M206" s="10">
        <v>603</v>
      </c>
      <c r="N206" s="9" cm="1">
        <f t="array" ref="N206">SUM((H206:L206)/5)</f>
        <v>727.59999999999991</v>
      </c>
      <c r="O206" s="10">
        <v>850</v>
      </c>
      <c r="P206" s="23"/>
      <c r="Q206" s="30">
        <v>49.308</v>
      </c>
      <c r="R206" s="30">
        <v>72.016000000000005</v>
      </c>
      <c r="S206" s="30">
        <v>0.441</v>
      </c>
      <c r="T206" s="30">
        <v>0.441</v>
      </c>
      <c r="U206" s="30">
        <f t="shared" si="24"/>
        <v>340</v>
      </c>
      <c r="V206" s="30">
        <f t="shared" si="25"/>
        <v>510</v>
      </c>
      <c r="W206" s="23"/>
      <c r="X206" s="30">
        <v>15.868</v>
      </c>
      <c r="Y206" s="30">
        <v>27.08258</v>
      </c>
      <c r="Z206" s="53">
        <v>27.08258</v>
      </c>
      <c r="AA206" s="54">
        <f t="shared" si="31"/>
        <v>44.686256999999998</v>
      </c>
      <c r="AB206" s="23"/>
      <c r="AC206" s="4">
        <v>365</v>
      </c>
      <c r="AD206" s="32">
        <f t="shared" si="27"/>
        <v>131.7893</v>
      </c>
      <c r="AE206" s="32">
        <f t="shared" si="28"/>
        <v>144.17600000000002</v>
      </c>
      <c r="AF206" s="32">
        <f t="shared" si="29"/>
        <v>92.08</v>
      </c>
      <c r="AG206" s="32">
        <f t="shared" si="29"/>
        <v>227.9</v>
      </c>
      <c r="AH206" s="78"/>
      <c r="AI206" s="78"/>
      <c r="AJ206" s="55">
        <f t="shared" si="30"/>
        <v>595.94529999999997</v>
      </c>
      <c r="AK206" s="32"/>
      <c r="AL206" s="33"/>
      <c r="AM206" s="23"/>
    </row>
    <row r="207" spans="1:39" ht="15.6" x14ac:dyDescent="0.3">
      <c r="A207" s="64"/>
      <c r="B207" s="64"/>
      <c r="C207" s="5" t="s">
        <v>539</v>
      </c>
      <c r="D207" s="5" t="s">
        <v>120</v>
      </c>
      <c r="E207" s="7" t="s">
        <v>0</v>
      </c>
      <c r="F207" s="5"/>
      <c r="G207" s="23"/>
      <c r="H207" s="10">
        <v>578</v>
      </c>
      <c r="I207" s="10">
        <v>606</v>
      </c>
      <c r="J207" s="10">
        <v>1185</v>
      </c>
      <c r="K207" s="10">
        <v>807</v>
      </c>
      <c r="L207" s="10">
        <v>817</v>
      </c>
      <c r="M207" s="10">
        <v>416</v>
      </c>
      <c r="N207" s="9" cm="1">
        <f t="array" ref="N207">SUM((H207:L207)/5)</f>
        <v>798.6</v>
      </c>
      <c r="O207" s="10">
        <v>810</v>
      </c>
      <c r="P207" s="23"/>
      <c r="Q207" s="30">
        <v>49.308</v>
      </c>
      <c r="R207" s="30">
        <v>72.016000000000005</v>
      </c>
      <c r="S207" s="30">
        <v>0.441</v>
      </c>
      <c r="T207" s="30">
        <v>0.441</v>
      </c>
      <c r="U207" s="30">
        <f t="shared" si="24"/>
        <v>324</v>
      </c>
      <c r="V207" s="30">
        <f t="shared" si="25"/>
        <v>486</v>
      </c>
      <c r="W207" s="23"/>
      <c r="X207" s="30">
        <v>15.868</v>
      </c>
      <c r="Y207" s="30">
        <v>27.082280000000001</v>
      </c>
      <c r="Z207" s="53">
        <v>27.082280000000001</v>
      </c>
      <c r="AA207" s="54">
        <f t="shared" si="31"/>
        <v>44.685761999999997</v>
      </c>
      <c r="AB207" s="23"/>
      <c r="AC207" s="4">
        <v>365</v>
      </c>
      <c r="AD207" s="32">
        <f t="shared" si="27"/>
        <v>131.7893</v>
      </c>
      <c r="AE207" s="32">
        <f t="shared" si="28"/>
        <v>144.17600000000002</v>
      </c>
      <c r="AF207" s="32">
        <f t="shared" si="29"/>
        <v>87.75</v>
      </c>
      <c r="AG207" s="32">
        <f t="shared" si="29"/>
        <v>217.17</v>
      </c>
      <c r="AH207" s="78"/>
      <c r="AI207" s="78"/>
      <c r="AJ207" s="55">
        <f t="shared" si="30"/>
        <v>580.88530000000003</v>
      </c>
      <c r="AK207" s="32"/>
      <c r="AL207" s="33"/>
      <c r="AM207" s="23"/>
    </row>
    <row r="208" spans="1:39" ht="30" x14ac:dyDescent="0.3">
      <c r="A208" s="64"/>
      <c r="B208" s="64"/>
      <c r="C208" s="5" t="s">
        <v>539</v>
      </c>
      <c r="D208" s="5" t="s">
        <v>120</v>
      </c>
      <c r="E208" s="7" t="s">
        <v>0</v>
      </c>
      <c r="F208" s="5"/>
      <c r="G208" s="23"/>
      <c r="H208" s="10">
        <v>1256</v>
      </c>
      <c r="I208" s="10">
        <v>1034</v>
      </c>
      <c r="J208" s="10">
        <v>961</v>
      </c>
      <c r="K208" s="10">
        <v>1593</v>
      </c>
      <c r="L208" s="10">
        <v>1241</v>
      </c>
      <c r="M208" s="10">
        <v>741</v>
      </c>
      <c r="N208" s="9" cm="1">
        <f t="array" ref="N208">SUM((H208:L208)/5)</f>
        <v>1217</v>
      </c>
      <c r="O208" s="10">
        <v>1350</v>
      </c>
      <c r="P208" s="23"/>
      <c r="Q208" s="30">
        <v>50.344000000000001</v>
      </c>
      <c r="R208" s="30">
        <v>63.256999999999998</v>
      </c>
      <c r="S208" s="30">
        <v>0.441</v>
      </c>
      <c r="T208" s="30">
        <v>0.441</v>
      </c>
      <c r="U208" s="30">
        <f t="shared" si="24"/>
        <v>540</v>
      </c>
      <c r="V208" s="30">
        <f t="shared" si="25"/>
        <v>810</v>
      </c>
      <c r="W208" s="23"/>
      <c r="X208" s="30" t="s">
        <v>229</v>
      </c>
      <c r="Y208" s="30" t="s">
        <v>230</v>
      </c>
      <c r="Z208" s="53">
        <f>SUM(26.72093+25.09016)/2</f>
        <v>25.905545</v>
      </c>
      <c r="AA208" s="54">
        <f t="shared" si="31"/>
        <v>42.74414925</v>
      </c>
      <c r="AB208" s="23"/>
      <c r="AC208" s="4">
        <v>365</v>
      </c>
      <c r="AD208" s="32">
        <f t="shared" si="27"/>
        <v>115.7603</v>
      </c>
      <c r="AE208" s="32">
        <f t="shared" si="28"/>
        <v>126.64049999999999</v>
      </c>
      <c r="AF208" s="32">
        <f t="shared" si="29"/>
        <v>139.88999999999999</v>
      </c>
      <c r="AG208" s="32">
        <f t="shared" si="29"/>
        <v>346.23</v>
      </c>
      <c r="AH208" s="78"/>
      <c r="AI208" s="78"/>
      <c r="AJ208" s="55">
        <f t="shared" si="30"/>
        <v>728.52080000000001</v>
      </c>
      <c r="AK208" s="32"/>
      <c r="AL208" s="33"/>
      <c r="AM208" s="23"/>
    </row>
    <row r="209" spans="1:39" ht="15.6" x14ac:dyDescent="0.3">
      <c r="A209" s="64"/>
      <c r="B209" s="64"/>
      <c r="C209" s="5" t="s">
        <v>539</v>
      </c>
      <c r="D209" s="5" t="s">
        <v>120</v>
      </c>
      <c r="E209" s="7" t="s">
        <v>0</v>
      </c>
      <c r="F209" s="5"/>
      <c r="G209" s="23"/>
      <c r="H209" s="10">
        <v>797</v>
      </c>
      <c r="I209" s="10">
        <v>1078</v>
      </c>
      <c r="J209" s="10">
        <v>939</v>
      </c>
      <c r="K209" s="10">
        <v>524</v>
      </c>
      <c r="L209" s="10">
        <v>665</v>
      </c>
      <c r="M209" s="10">
        <v>386</v>
      </c>
      <c r="N209" s="9" cm="1">
        <f t="array" ref="N209">SUM((H209:L209)/5)</f>
        <v>800.59999999999991</v>
      </c>
      <c r="O209" s="10">
        <v>800</v>
      </c>
      <c r="P209" s="23"/>
      <c r="Q209" s="30">
        <v>49.308</v>
      </c>
      <c r="R209" s="30">
        <v>72.016000000000005</v>
      </c>
      <c r="S209" s="30">
        <v>0.441</v>
      </c>
      <c r="T209" s="30">
        <v>0.441</v>
      </c>
      <c r="U209" s="30">
        <f t="shared" si="24"/>
        <v>320</v>
      </c>
      <c r="V209" s="30">
        <f t="shared" si="25"/>
        <v>480</v>
      </c>
      <c r="W209" s="23"/>
      <c r="X209" s="30">
        <v>15.868</v>
      </c>
      <c r="Y209" s="30">
        <v>27.082319999999999</v>
      </c>
      <c r="Z209" s="53">
        <v>27.082319999999999</v>
      </c>
      <c r="AA209" s="54">
        <f t="shared" si="31"/>
        <v>44.685828000000001</v>
      </c>
      <c r="AB209" s="23"/>
      <c r="AC209" s="4">
        <v>365</v>
      </c>
      <c r="AD209" s="32">
        <f t="shared" si="27"/>
        <v>131.7893</v>
      </c>
      <c r="AE209" s="32">
        <f t="shared" si="28"/>
        <v>144.17600000000002</v>
      </c>
      <c r="AF209" s="32">
        <f t="shared" si="29"/>
        <v>86.66</v>
      </c>
      <c r="AG209" s="32">
        <f t="shared" si="29"/>
        <v>214.49</v>
      </c>
      <c r="AH209" s="78"/>
      <c r="AI209" s="78"/>
      <c r="AJ209" s="55">
        <f t="shared" si="30"/>
        <v>577.11530000000005</v>
      </c>
      <c r="AK209" s="32"/>
      <c r="AL209" s="33"/>
      <c r="AM209" s="23"/>
    </row>
    <row r="210" spans="1:39" ht="15.6" x14ac:dyDescent="0.3">
      <c r="A210" s="64"/>
      <c r="B210" s="64"/>
      <c r="C210" s="5" t="s">
        <v>540</v>
      </c>
      <c r="D210" s="5" t="s">
        <v>120</v>
      </c>
      <c r="E210" s="7" t="s">
        <v>0</v>
      </c>
      <c r="F210" s="5"/>
      <c r="G210" s="23"/>
      <c r="H210" s="10">
        <v>924</v>
      </c>
      <c r="I210" s="10">
        <v>1167</v>
      </c>
      <c r="J210" s="10">
        <v>1339</v>
      </c>
      <c r="K210" s="10">
        <v>1105</v>
      </c>
      <c r="L210" s="10">
        <v>686</v>
      </c>
      <c r="M210" s="10">
        <v>343</v>
      </c>
      <c r="N210" s="9" cm="1">
        <f t="array" ref="N210">SUM((H210:L210)/5)</f>
        <v>1044.2</v>
      </c>
      <c r="O210" s="10">
        <v>1000</v>
      </c>
      <c r="P210" s="23"/>
      <c r="Q210" s="30">
        <v>49.308</v>
      </c>
      <c r="R210" s="30">
        <v>72.016000000000005</v>
      </c>
      <c r="S210" s="30">
        <v>0.441</v>
      </c>
      <c r="T210" s="30">
        <v>0.441</v>
      </c>
      <c r="U210" s="30">
        <f t="shared" si="24"/>
        <v>400</v>
      </c>
      <c r="V210" s="30">
        <f t="shared" si="25"/>
        <v>600</v>
      </c>
      <c r="W210" s="23"/>
      <c r="X210" s="30">
        <v>15.868</v>
      </c>
      <c r="Y210" s="30">
        <v>27.082640000000001</v>
      </c>
      <c r="Z210" s="53">
        <v>27.082640000000001</v>
      </c>
      <c r="AA210" s="54">
        <f t="shared" si="31"/>
        <v>44.686356000000004</v>
      </c>
      <c r="AB210" s="23"/>
      <c r="AC210" s="4">
        <v>365</v>
      </c>
      <c r="AD210" s="32">
        <f t="shared" si="27"/>
        <v>131.7893</v>
      </c>
      <c r="AE210" s="32">
        <f t="shared" si="28"/>
        <v>144.17600000000002</v>
      </c>
      <c r="AF210" s="32">
        <f t="shared" si="29"/>
        <v>108.33</v>
      </c>
      <c r="AG210" s="32">
        <f t="shared" si="29"/>
        <v>268.12</v>
      </c>
      <c r="AH210" s="78"/>
      <c r="AI210" s="78"/>
      <c r="AJ210" s="55">
        <f t="shared" si="30"/>
        <v>652.4153</v>
      </c>
      <c r="AK210" s="32"/>
      <c r="AL210" s="33"/>
      <c r="AM210" s="23"/>
    </row>
    <row r="211" spans="1:39" ht="15.6" x14ac:dyDescent="0.3">
      <c r="A211" s="64"/>
      <c r="B211" s="64"/>
      <c r="C211" s="5" t="s">
        <v>541</v>
      </c>
      <c r="D211" s="5" t="s">
        <v>120</v>
      </c>
      <c r="E211" s="7" t="s">
        <v>0</v>
      </c>
      <c r="F211" s="5"/>
      <c r="G211" s="23"/>
      <c r="H211" s="10">
        <v>34</v>
      </c>
      <c r="I211" s="10">
        <v>10</v>
      </c>
      <c r="J211" s="10">
        <v>103</v>
      </c>
      <c r="K211" s="10">
        <v>102</v>
      </c>
      <c r="L211" s="10">
        <v>2</v>
      </c>
      <c r="M211" s="10">
        <v>1</v>
      </c>
      <c r="N211" s="9" cm="1">
        <f t="array" ref="N211">SUM((H211:L211)/5)</f>
        <v>50.199999999999996</v>
      </c>
      <c r="O211" s="10">
        <v>50</v>
      </c>
      <c r="P211" s="23"/>
      <c r="Q211" s="30">
        <v>49.828000000000003</v>
      </c>
      <c r="R211" s="30">
        <v>63.274999999999999</v>
      </c>
      <c r="S211" s="30">
        <v>0.441</v>
      </c>
      <c r="T211" s="30">
        <v>0.441</v>
      </c>
      <c r="U211" s="30">
        <f t="shared" si="24"/>
        <v>20</v>
      </c>
      <c r="V211" s="30">
        <f t="shared" si="25"/>
        <v>30</v>
      </c>
      <c r="W211" s="23"/>
      <c r="X211" s="30">
        <v>15.061999999999999</v>
      </c>
      <c r="Y211" s="30">
        <v>26.37893</v>
      </c>
      <c r="Z211" s="53">
        <v>26.37893</v>
      </c>
      <c r="AA211" s="54">
        <f t="shared" si="31"/>
        <v>43.525234499999996</v>
      </c>
      <c r="AB211" s="23"/>
      <c r="AC211" s="4">
        <v>365</v>
      </c>
      <c r="AD211" s="32">
        <f t="shared" si="27"/>
        <v>115.7933</v>
      </c>
      <c r="AE211" s="32">
        <f t="shared" si="28"/>
        <v>126.67659999999999</v>
      </c>
      <c r="AF211" s="32">
        <f t="shared" si="29"/>
        <v>5.28</v>
      </c>
      <c r="AG211" s="32">
        <f t="shared" si="29"/>
        <v>13.06</v>
      </c>
      <c r="AH211" s="78"/>
      <c r="AI211" s="78"/>
      <c r="AJ211" s="55">
        <f t="shared" si="30"/>
        <v>260.80989999999997</v>
      </c>
      <c r="AK211" s="32"/>
      <c r="AL211" s="33"/>
      <c r="AM211" s="23"/>
    </row>
    <row r="212" spans="1:39" ht="15.6" x14ac:dyDescent="0.3">
      <c r="A212" s="64"/>
      <c r="B212" s="64"/>
      <c r="C212" s="5" t="s">
        <v>542</v>
      </c>
      <c r="D212" s="5" t="s">
        <v>120</v>
      </c>
      <c r="E212" s="7" t="s">
        <v>0</v>
      </c>
      <c r="F212" s="5"/>
      <c r="G212" s="23"/>
      <c r="H212" s="10">
        <v>318</v>
      </c>
      <c r="I212" s="10">
        <v>360</v>
      </c>
      <c r="J212" s="10">
        <v>374</v>
      </c>
      <c r="K212" s="10">
        <v>348</v>
      </c>
      <c r="L212" s="10">
        <v>7</v>
      </c>
      <c r="M212" s="10">
        <v>1</v>
      </c>
      <c r="N212" s="9" cm="1">
        <f t="array" ref="N212">SUM((H212:L212)/5)</f>
        <v>281.39999999999998</v>
      </c>
      <c r="O212" s="10">
        <v>280</v>
      </c>
      <c r="P212" s="23"/>
      <c r="Q212" s="30">
        <v>49.308</v>
      </c>
      <c r="R212" s="30">
        <v>72.016000000000005</v>
      </c>
      <c r="S212" s="30">
        <v>0.441</v>
      </c>
      <c r="T212" s="30">
        <v>0.441</v>
      </c>
      <c r="U212" s="30">
        <f t="shared" si="24"/>
        <v>112</v>
      </c>
      <c r="V212" s="30">
        <f t="shared" si="25"/>
        <v>168</v>
      </c>
      <c r="W212" s="23"/>
      <c r="X212" s="30">
        <v>15.868</v>
      </c>
      <c r="Y212" s="30">
        <v>27.16957</v>
      </c>
      <c r="Z212" s="53">
        <v>27.16957</v>
      </c>
      <c r="AA212" s="54">
        <f t="shared" si="31"/>
        <v>44.829790500000001</v>
      </c>
      <c r="AB212" s="23"/>
      <c r="AC212" s="4">
        <v>365</v>
      </c>
      <c r="AD212" s="32">
        <f t="shared" si="27"/>
        <v>131.7893</v>
      </c>
      <c r="AE212" s="32">
        <f t="shared" si="28"/>
        <v>144.17600000000002</v>
      </c>
      <c r="AF212" s="32">
        <f t="shared" si="29"/>
        <v>30.43</v>
      </c>
      <c r="AG212" s="32">
        <f t="shared" si="29"/>
        <v>75.31</v>
      </c>
      <c r="AH212" s="78"/>
      <c r="AI212" s="78"/>
      <c r="AJ212" s="55">
        <f t="shared" si="30"/>
        <v>381.70530000000002</v>
      </c>
      <c r="AK212" s="32"/>
      <c r="AL212" s="33"/>
      <c r="AM212" s="23"/>
    </row>
    <row r="213" spans="1:39" ht="15.6" x14ac:dyDescent="0.3">
      <c r="A213" s="64"/>
      <c r="B213" s="64"/>
      <c r="C213" s="5" t="s">
        <v>543</v>
      </c>
      <c r="D213" s="5" t="s">
        <v>120</v>
      </c>
      <c r="E213" s="7" t="s">
        <v>0</v>
      </c>
      <c r="F213" s="5"/>
      <c r="G213" s="23"/>
      <c r="H213" s="10">
        <v>556</v>
      </c>
      <c r="I213" s="10">
        <v>502</v>
      </c>
      <c r="J213" s="10">
        <v>472</v>
      </c>
      <c r="K213" s="10">
        <v>640</v>
      </c>
      <c r="L213" s="10">
        <v>531</v>
      </c>
      <c r="M213" s="10">
        <v>134</v>
      </c>
      <c r="N213" s="9" cm="1">
        <f t="array" ref="N213">SUM((H213:L213)/5)</f>
        <v>540.20000000000005</v>
      </c>
      <c r="O213" s="10">
        <v>540</v>
      </c>
      <c r="P213" s="23"/>
      <c r="Q213" s="30">
        <v>49.308</v>
      </c>
      <c r="R213" s="30">
        <v>72.016000000000005</v>
      </c>
      <c r="S213" s="30">
        <v>0.441</v>
      </c>
      <c r="T213" s="30">
        <v>0.441</v>
      </c>
      <c r="U213" s="30">
        <f t="shared" si="24"/>
        <v>216</v>
      </c>
      <c r="V213" s="30">
        <f t="shared" si="25"/>
        <v>324</v>
      </c>
      <c r="W213" s="23"/>
      <c r="X213" s="30">
        <v>15.868</v>
      </c>
      <c r="Y213" s="30">
        <v>27.08361</v>
      </c>
      <c r="Z213" s="53">
        <v>27.08361</v>
      </c>
      <c r="AA213" s="54">
        <f t="shared" si="31"/>
        <v>44.687956499999999</v>
      </c>
      <c r="AB213" s="23"/>
      <c r="AC213" s="4">
        <v>365</v>
      </c>
      <c r="AD213" s="32">
        <f t="shared" si="27"/>
        <v>131.7893</v>
      </c>
      <c r="AE213" s="32">
        <f t="shared" si="28"/>
        <v>144.17600000000002</v>
      </c>
      <c r="AF213" s="32">
        <f t="shared" si="29"/>
        <v>58.5</v>
      </c>
      <c r="AG213" s="32">
        <f t="shared" si="29"/>
        <v>144.79</v>
      </c>
      <c r="AH213" s="78"/>
      <c r="AI213" s="78"/>
      <c r="AJ213" s="55">
        <f t="shared" si="30"/>
        <v>479.25530000000003</v>
      </c>
      <c r="AK213" s="32"/>
      <c r="AL213" s="33"/>
      <c r="AM213" s="23"/>
    </row>
    <row r="214" spans="1:39" ht="15.6" x14ac:dyDescent="0.3">
      <c r="A214" s="64"/>
      <c r="B214" s="64"/>
      <c r="C214" s="5" t="s">
        <v>544</v>
      </c>
      <c r="D214" s="5" t="s">
        <v>120</v>
      </c>
      <c r="E214" s="7" t="s">
        <v>0</v>
      </c>
      <c r="F214" s="5"/>
      <c r="G214" s="23"/>
      <c r="H214" s="10">
        <v>515</v>
      </c>
      <c r="I214" s="10">
        <v>507</v>
      </c>
      <c r="J214" s="10">
        <v>350</v>
      </c>
      <c r="K214" s="10">
        <v>339</v>
      </c>
      <c r="L214" s="10">
        <v>409</v>
      </c>
      <c r="M214" s="10">
        <v>213</v>
      </c>
      <c r="N214" s="9" cm="1">
        <f t="array" ref="N214">SUM((H214:L214)/5)</f>
        <v>424</v>
      </c>
      <c r="O214" s="10">
        <v>430</v>
      </c>
      <c r="P214" s="23"/>
      <c r="Q214" s="30">
        <v>49.308</v>
      </c>
      <c r="R214" s="30">
        <v>72.016000000000005</v>
      </c>
      <c r="S214" s="30">
        <v>0.441</v>
      </c>
      <c r="T214" s="30">
        <v>0.441</v>
      </c>
      <c r="U214" s="30">
        <f t="shared" si="24"/>
        <v>172</v>
      </c>
      <c r="V214" s="30">
        <f t="shared" si="25"/>
        <v>258</v>
      </c>
      <c r="W214" s="23"/>
      <c r="X214" s="30">
        <v>15.868</v>
      </c>
      <c r="Y214" s="30">
        <v>27.08229</v>
      </c>
      <c r="Z214" s="53">
        <v>27.08229</v>
      </c>
      <c r="AA214" s="54">
        <f t="shared" si="31"/>
        <v>44.685778499999998</v>
      </c>
      <c r="AB214" s="23"/>
      <c r="AC214" s="4">
        <v>365</v>
      </c>
      <c r="AD214" s="32">
        <f t="shared" si="27"/>
        <v>131.7893</v>
      </c>
      <c r="AE214" s="32">
        <f t="shared" si="28"/>
        <v>144.17600000000002</v>
      </c>
      <c r="AF214" s="32">
        <f t="shared" si="29"/>
        <v>46.58</v>
      </c>
      <c r="AG214" s="32">
        <f t="shared" si="29"/>
        <v>115.29</v>
      </c>
      <c r="AH214" s="78"/>
      <c r="AI214" s="78"/>
      <c r="AJ214" s="55">
        <f t="shared" si="30"/>
        <v>437.83530000000002</v>
      </c>
      <c r="AK214" s="32"/>
      <c r="AL214" s="33"/>
      <c r="AM214" s="23"/>
    </row>
    <row r="215" spans="1:39" ht="30" x14ac:dyDescent="0.3">
      <c r="A215" s="64"/>
      <c r="B215" s="64"/>
      <c r="C215" s="5" t="s">
        <v>545</v>
      </c>
      <c r="D215" s="5" t="s">
        <v>120</v>
      </c>
      <c r="E215" s="7" t="s">
        <v>0</v>
      </c>
      <c r="F215" s="5"/>
      <c r="G215" s="23"/>
      <c r="H215" s="10">
        <v>3329</v>
      </c>
      <c r="I215" s="10">
        <v>3284</v>
      </c>
      <c r="J215" s="10">
        <v>3394</v>
      </c>
      <c r="K215" s="10">
        <v>3318</v>
      </c>
      <c r="L215" s="10">
        <v>2193</v>
      </c>
      <c r="M215" s="10">
        <v>1294</v>
      </c>
      <c r="N215" s="9" cm="1">
        <f t="array" ref="N215">SUM((H215:L215)/5)</f>
        <v>3103.6</v>
      </c>
      <c r="O215" s="10">
        <v>3100</v>
      </c>
      <c r="P215" s="23"/>
      <c r="Q215" s="30">
        <v>49.325000000000003</v>
      </c>
      <c r="R215" s="30">
        <v>72.016000000000005</v>
      </c>
      <c r="S215" s="30">
        <v>0.441</v>
      </c>
      <c r="T215" s="30">
        <v>0.441</v>
      </c>
      <c r="U215" s="30">
        <f t="shared" si="24"/>
        <v>1240</v>
      </c>
      <c r="V215" s="30">
        <f t="shared" si="25"/>
        <v>1860</v>
      </c>
      <c r="W215" s="23"/>
      <c r="X215" s="30" t="s">
        <v>231</v>
      </c>
      <c r="Y215" s="30" t="s">
        <v>232</v>
      </c>
      <c r="Z215" s="53">
        <f>SUM(27.21426+25.09115)/2</f>
        <v>26.152704999999997</v>
      </c>
      <c r="AA215" s="54">
        <f t="shared" si="31"/>
        <v>43.151963249999994</v>
      </c>
      <c r="AB215" s="23"/>
      <c r="AC215" s="4">
        <v>365</v>
      </c>
      <c r="AD215" s="32">
        <f t="shared" si="27"/>
        <v>131.7893</v>
      </c>
      <c r="AE215" s="32">
        <f t="shared" si="28"/>
        <v>144.17600000000002</v>
      </c>
      <c r="AF215" s="32">
        <f t="shared" si="29"/>
        <v>324.29000000000002</v>
      </c>
      <c r="AG215" s="32">
        <f t="shared" si="29"/>
        <v>802.63</v>
      </c>
      <c r="AH215" s="78"/>
      <c r="AI215" s="78"/>
      <c r="AJ215" s="55">
        <f t="shared" si="30"/>
        <v>1402.8852999999999</v>
      </c>
      <c r="AK215" s="32"/>
      <c r="AL215" s="33"/>
      <c r="AM215" s="23"/>
    </row>
    <row r="216" spans="1:39" ht="30" x14ac:dyDescent="0.3">
      <c r="A216" s="64"/>
      <c r="B216" s="64"/>
      <c r="C216" s="5" t="s">
        <v>545</v>
      </c>
      <c r="D216" s="5" t="s">
        <v>120</v>
      </c>
      <c r="E216" s="7" t="s">
        <v>0</v>
      </c>
      <c r="F216" s="5"/>
      <c r="G216" s="23"/>
      <c r="H216" s="10">
        <v>1966</v>
      </c>
      <c r="I216" s="10">
        <v>1345</v>
      </c>
      <c r="J216" s="10">
        <v>1969</v>
      </c>
      <c r="K216" s="10">
        <v>1858</v>
      </c>
      <c r="L216" s="10">
        <v>1520</v>
      </c>
      <c r="M216" s="10">
        <v>664</v>
      </c>
      <c r="N216" s="9" cm="1">
        <f t="array" ref="N216">SUM((H216:L216)/5)</f>
        <v>1731.6</v>
      </c>
      <c r="O216" s="10">
        <v>1730</v>
      </c>
      <c r="P216" s="23"/>
      <c r="Q216" s="30">
        <v>49.325000000000003</v>
      </c>
      <c r="R216" s="30">
        <v>72.016000000000005</v>
      </c>
      <c r="S216" s="30">
        <v>0.441</v>
      </c>
      <c r="T216" s="30">
        <v>0.441</v>
      </c>
      <c r="U216" s="30">
        <f t="shared" si="24"/>
        <v>692</v>
      </c>
      <c r="V216" s="30">
        <f t="shared" si="25"/>
        <v>1038</v>
      </c>
      <c r="W216" s="23"/>
      <c r="X216" s="30" t="s">
        <v>231</v>
      </c>
      <c r="Y216" s="30" t="s">
        <v>233</v>
      </c>
      <c r="Z216" s="53">
        <f>SUM(27.21409+25.09091)/2</f>
        <v>26.1525</v>
      </c>
      <c r="AA216" s="54">
        <f t="shared" si="31"/>
        <v>43.151624999999996</v>
      </c>
      <c r="AB216" s="23"/>
      <c r="AC216" s="4">
        <v>365</v>
      </c>
      <c r="AD216" s="32">
        <f t="shared" si="27"/>
        <v>131.7893</v>
      </c>
      <c r="AE216" s="32">
        <f t="shared" si="28"/>
        <v>144.17600000000002</v>
      </c>
      <c r="AF216" s="32">
        <f t="shared" si="29"/>
        <v>180.98</v>
      </c>
      <c r="AG216" s="32">
        <f t="shared" si="29"/>
        <v>447.91</v>
      </c>
      <c r="AH216" s="78"/>
      <c r="AI216" s="78"/>
      <c r="AJ216" s="55">
        <f t="shared" si="30"/>
        <v>904.85529999999994</v>
      </c>
      <c r="AK216" s="32"/>
      <c r="AL216" s="33"/>
      <c r="AM216" s="23"/>
    </row>
    <row r="217" spans="1:39" ht="30" x14ac:dyDescent="0.3">
      <c r="A217" s="64"/>
      <c r="B217" s="64"/>
      <c r="C217" s="5" t="s">
        <v>545</v>
      </c>
      <c r="D217" s="5" t="s">
        <v>120</v>
      </c>
      <c r="E217" s="7" t="s">
        <v>0</v>
      </c>
      <c r="F217" s="5"/>
      <c r="G217" s="23"/>
      <c r="H217" s="10">
        <v>774</v>
      </c>
      <c r="I217" s="10">
        <v>723</v>
      </c>
      <c r="J217" s="10">
        <v>644</v>
      </c>
      <c r="K217" s="10">
        <v>643</v>
      </c>
      <c r="L217" s="10">
        <v>628</v>
      </c>
      <c r="M217" s="10">
        <v>237</v>
      </c>
      <c r="N217" s="9" cm="1">
        <f t="array" ref="N217">SUM((H217:L217)/5)</f>
        <v>682.4</v>
      </c>
      <c r="O217" s="10">
        <v>680</v>
      </c>
      <c r="P217" s="23"/>
      <c r="Q217" s="30">
        <v>49.325000000000003</v>
      </c>
      <c r="R217" s="30">
        <v>72.016000000000005</v>
      </c>
      <c r="S217" s="30">
        <v>0.441</v>
      </c>
      <c r="T217" s="30">
        <v>0.441</v>
      </c>
      <c r="U217" s="30">
        <f t="shared" si="24"/>
        <v>272</v>
      </c>
      <c r="V217" s="30">
        <f t="shared" si="25"/>
        <v>408</v>
      </c>
      <c r="W217" s="23"/>
      <c r="X217" s="30" t="s">
        <v>231</v>
      </c>
      <c r="Y217" s="30" t="s">
        <v>234</v>
      </c>
      <c r="Z217" s="53">
        <f>SUM(27.14636+25.02359)/2</f>
        <v>26.084975</v>
      </c>
      <c r="AA217" s="54">
        <f t="shared" si="31"/>
        <v>43.040208750000005</v>
      </c>
      <c r="AB217" s="23"/>
      <c r="AC217" s="4">
        <v>365</v>
      </c>
      <c r="AD217" s="32">
        <f t="shared" si="27"/>
        <v>131.7893</v>
      </c>
      <c r="AE217" s="32">
        <f t="shared" si="28"/>
        <v>144.17600000000002</v>
      </c>
      <c r="AF217" s="32">
        <f t="shared" si="29"/>
        <v>70.95</v>
      </c>
      <c r="AG217" s="32">
        <f t="shared" si="29"/>
        <v>175.6</v>
      </c>
      <c r="AH217" s="78"/>
      <c r="AI217" s="78"/>
      <c r="AJ217" s="55">
        <f t="shared" si="30"/>
        <v>522.51530000000002</v>
      </c>
      <c r="AK217" s="32"/>
      <c r="AL217" s="33"/>
      <c r="AM217" s="23"/>
    </row>
    <row r="218" spans="1:39" ht="30" x14ac:dyDescent="0.3">
      <c r="A218" s="64"/>
      <c r="B218" s="64"/>
      <c r="C218" s="5" t="s">
        <v>545</v>
      </c>
      <c r="D218" s="5" t="s">
        <v>120</v>
      </c>
      <c r="E218" s="7" t="s">
        <v>0</v>
      </c>
      <c r="F218" s="5"/>
      <c r="G218" s="23"/>
      <c r="H218" s="10">
        <v>2033</v>
      </c>
      <c r="I218" s="10">
        <v>2120</v>
      </c>
      <c r="J218" s="10">
        <v>2036</v>
      </c>
      <c r="K218" s="10">
        <v>1605</v>
      </c>
      <c r="L218" s="10">
        <v>1224</v>
      </c>
      <c r="M218" s="10">
        <v>535</v>
      </c>
      <c r="N218" s="9" cm="1">
        <f t="array" ref="N218">SUM((H218:L218)/5)</f>
        <v>1803.6</v>
      </c>
      <c r="O218" s="10">
        <v>1800</v>
      </c>
      <c r="P218" s="23"/>
      <c r="Q218" s="30">
        <v>49.325000000000003</v>
      </c>
      <c r="R218" s="30">
        <v>72.016000000000005</v>
      </c>
      <c r="S218" s="30">
        <v>0.441</v>
      </c>
      <c r="T218" s="30">
        <v>0.441</v>
      </c>
      <c r="U218" s="30">
        <f t="shared" si="24"/>
        <v>720</v>
      </c>
      <c r="V218" s="30">
        <f t="shared" si="25"/>
        <v>1080</v>
      </c>
      <c r="W218" s="23"/>
      <c r="X218" s="30" t="s">
        <v>231</v>
      </c>
      <c r="Y218" s="30" t="s">
        <v>235</v>
      </c>
      <c r="Z218" s="53">
        <f>SUM(27.14667+25.0236)/2</f>
        <v>26.085135000000001</v>
      </c>
      <c r="AA218" s="54">
        <f t="shared" si="31"/>
        <v>43.040472750000006</v>
      </c>
      <c r="AB218" s="23"/>
      <c r="AC218" s="4">
        <v>365</v>
      </c>
      <c r="AD218" s="32">
        <f t="shared" si="27"/>
        <v>131.7893</v>
      </c>
      <c r="AE218" s="32">
        <f t="shared" si="28"/>
        <v>144.17600000000002</v>
      </c>
      <c r="AF218" s="32">
        <f t="shared" si="29"/>
        <v>187.81</v>
      </c>
      <c r="AG218" s="32">
        <f t="shared" si="29"/>
        <v>464.84</v>
      </c>
      <c r="AH218" s="78"/>
      <c r="AI218" s="78"/>
      <c r="AJ218" s="55">
        <f t="shared" si="30"/>
        <v>928.61529999999993</v>
      </c>
      <c r="AK218" s="32"/>
      <c r="AL218" s="33"/>
      <c r="AM218" s="23"/>
    </row>
    <row r="219" spans="1:39" ht="15.6" x14ac:dyDescent="0.3">
      <c r="A219" s="64"/>
      <c r="B219" s="64"/>
      <c r="C219" s="5" t="s">
        <v>461</v>
      </c>
      <c r="D219" s="5" t="s">
        <v>120</v>
      </c>
      <c r="E219" s="7" t="s">
        <v>0</v>
      </c>
      <c r="F219" s="5"/>
      <c r="G219" s="23"/>
      <c r="H219" s="10">
        <v>1152</v>
      </c>
      <c r="I219" s="10">
        <v>1096</v>
      </c>
      <c r="J219" s="10">
        <v>943</v>
      </c>
      <c r="K219" s="10">
        <v>1222</v>
      </c>
      <c r="L219" s="10">
        <v>1030</v>
      </c>
      <c r="M219" s="10">
        <v>703</v>
      </c>
      <c r="N219" s="9" cm="1">
        <f t="array" ref="N219">SUM((H219:L219)/5)</f>
        <v>1088.5999999999999</v>
      </c>
      <c r="O219" s="10">
        <v>1100</v>
      </c>
      <c r="P219" s="23"/>
      <c r="Q219" s="30">
        <v>49.828000000000003</v>
      </c>
      <c r="R219" s="30">
        <v>63.256999999999998</v>
      </c>
      <c r="S219" s="30">
        <v>0.441</v>
      </c>
      <c r="T219" s="30">
        <v>0.441</v>
      </c>
      <c r="U219" s="30">
        <f t="shared" si="24"/>
        <v>440</v>
      </c>
      <c r="V219" s="30">
        <f t="shared" si="25"/>
        <v>660</v>
      </c>
      <c r="W219" s="23"/>
      <c r="X219" s="30">
        <v>15.62</v>
      </c>
      <c r="Y219" s="30">
        <v>26.50648</v>
      </c>
      <c r="Z219" s="53">
        <v>26.50648</v>
      </c>
      <c r="AA219" s="54">
        <f t="shared" si="31"/>
        <v>43.735692</v>
      </c>
      <c r="AB219" s="23"/>
      <c r="AC219" s="4">
        <v>365</v>
      </c>
      <c r="AD219" s="32">
        <f t="shared" si="27"/>
        <v>115.7603</v>
      </c>
      <c r="AE219" s="32">
        <f t="shared" si="28"/>
        <v>126.64049999999999</v>
      </c>
      <c r="AF219" s="32">
        <f t="shared" si="29"/>
        <v>116.63</v>
      </c>
      <c r="AG219" s="32">
        <f t="shared" si="29"/>
        <v>288.66000000000003</v>
      </c>
      <c r="AH219" s="78"/>
      <c r="AI219" s="78"/>
      <c r="AJ219" s="55">
        <f t="shared" si="30"/>
        <v>647.69080000000008</v>
      </c>
      <c r="AK219" s="32"/>
      <c r="AL219" s="33"/>
      <c r="AM219" s="23"/>
    </row>
    <row r="220" spans="1:39" ht="15.6" x14ac:dyDescent="0.3">
      <c r="A220" s="64"/>
      <c r="B220" s="64"/>
      <c r="C220" s="5" t="s">
        <v>546</v>
      </c>
      <c r="D220" s="5" t="s">
        <v>120</v>
      </c>
      <c r="E220" s="7" t="s">
        <v>0</v>
      </c>
      <c r="F220" s="5"/>
      <c r="G220" s="23"/>
      <c r="H220" s="10">
        <v>425</v>
      </c>
      <c r="I220" s="10">
        <v>360</v>
      </c>
      <c r="J220" s="10">
        <v>280</v>
      </c>
      <c r="K220" s="10">
        <v>245</v>
      </c>
      <c r="L220" s="10">
        <v>192</v>
      </c>
      <c r="M220" s="10">
        <v>1</v>
      </c>
      <c r="N220" s="9" cm="1">
        <f t="array" ref="N220">SUM((H220:L220)/5)</f>
        <v>300.39999999999998</v>
      </c>
      <c r="O220" s="10">
        <v>300</v>
      </c>
      <c r="P220" s="23"/>
      <c r="Q220" s="30">
        <v>49.308</v>
      </c>
      <c r="R220" s="30">
        <v>63.256999999999998</v>
      </c>
      <c r="S220" s="30">
        <v>0.441</v>
      </c>
      <c r="T220" s="30">
        <v>0.441</v>
      </c>
      <c r="U220" s="30">
        <f t="shared" si="24"/>
        <v>120</v>
      </c>
      <c r="V220" s="30">
        <f t="shared" si="25"/>
        <v>180</v>
      </c>
      <c r="W220" s="23"/>
      <c r="X220" s="30">
        <v>15.868</v>
      </c>
      <c r="Y220" s="30">
        <v>27.083590000000001</v>
      </c>
      <c r="Z220" s="53">
        <v>27.083590000000001</v>
      </c>
      <c r="AA220" s="54">
        <f t="shared" si="31"/>
        <v>44.687923500000004</v>
      </c>
      <c r="AB220" s="23"/>
      <c r="AC220" s="4">
        <v>365</v>
      </c>
      <c r="AD220" s="32">
        <f t="shared" si="27"/>
        <v>115.7603</v>
      </c>
      <c r="AE220" s="32">
        <f t="shared" si="28"/>
        <v>126.64049999999999</v>
      </c>
      <c r="AF220" s="32">
        <f t="shared" si="29"/>
        <v>32.5</v>
      </c>
      <c r="AG220" s="32">
        <f t="shared" si="29"/>
        <v>80.44</v>
      </c>
      <c r="AH220" s="78"/>
      <c r="AI220" s="78"/>
      <c r="AJ220" s="55">
        <f t="shared" si="30"/>
        <v>355.3408</v>
      </c>
      <c r="AK220" s="32"/>
      <c r="AL220" s="33"/>
      <c r="AM220" s="23"/>
    </row>
    <row r="221" spans="1:39" ht="15.6" x14ac:dyDescent="0.3">
      <c r="A221" s="64"/>
      <c r="B221" s="64"/>
      <c r="C221" s="5" t="s">
        <v>546</v>
      </c>
      <c r="D221" s="5" t="s">
        <v>120</v>
      </c>
      <c r="E221" s="7" t="s">
        <v>0</v>
      </c>
      <c r="F221" s="5"/>
      <c r="G221" s="23"/>
      <c r="H221" s="10">
        <v>380</v>
      </c>
      <c r="I221" s="10">
        <v>282</v>
      </c>
      <c r="J221" s="10">
        <v>503</v>
      </c>
      <c r="K221" s="10">
        <v>424</v>
      </c>
      <c r="L221" s="10">
        <v>355</v>
      </c>
      <c r="M221" s="10">
        <v>195</v>
      </c>
      <c r="N221" s="9" cm="1">
        <f t="array" ref="N221">SUM((H221:L221)/5)</f>
        <v>388.8</v>
      </c>
      <c r="O221" s="10">
        <v>390</v>
      </c>
      <c r="P221" s="23"/>
      <c r="Q221" s="30">
        <v>49.308</v>
      </c>
      <c r="R221" s="30">
        <v>72.016000000000005</v>
      </c>
      <c r="S221" s="30">
        <v>0.441</v>
      </c>
      <c r="T221" s="30">
        <v>0.441</v>
      </c>
      <c r="U221" s="30">
        <f t="shared" si="24"/>
        <v>156</v>
      </c>
      <c r="V221" s="30">
        <f t="shared" si="25"/>
        <v>234</v>
      </c>
      <c r="W221" s="23"/>
      <c r="X221" s="30">
        <v>15.868</v>
      </c>
      <c r="Y221" s="30">
        <v>27.0839</v>
      </c>
      <c r="Z221" s="53">
        <v>27.0839</v>
      </c>
      <c r="AA221" s="54">
        <f t="shared" si="31"/>
        <v>44.688434999999998</v>
      </c>
      <c r="AB221" s="23"/>
      <c r="AC221" s="4">
        <v>365</v>
      </c>
      <c r="AD221" s="32">
        <f t="shared" si="27"/>
        <v>131.7893</v>
      </c>
      <c r="AE221" s="32">
        <f t="shared" si="28"/>
        <v>144.17600000000002</v>
      </c>
      <c r="AF221" s="32">
        <f t="shared" si="29"/>
        <v>42.25</v>
      </c>
      <c r="AG221" s="32">
        <f t="shared" si="29"/>
        <v>104.57</v>
      </c>
      <c r="AH221" s="78"/>
      <c r="AI221" s="78"/>
      <c r="AJ221" s="55">
        <f t="shared" si="30"/>
        <v>422.78530000000001</v>
      </c>
      <c r="AK221" s="32"/>
      <c r="AL221" s="33"/>
      <c r="AM221" s="23"/>
    </row>
    <row r="222" spans="1:39" ht="15.6" x14ac:dyDescent="0.3">
      <c r="A222" s="64"/>
      <c r="B222" s="64"/>
      <c r="C222" s="5" t="s">
        <v>497</v>
      </c>
      <c r="D222" s="5" t="s">
        <v>120</v>
      </c>
      <c r="E222" s="7" t="s">
        <v>0</v>
      </c>
      <c r="F222" s="5"/>
      <c r="G222" s="23"/>
      <c r="H222" s="10">
        <v>368</v>
      </c>
      <c r="I222" s="10">
        <v>356</v>
      </c>
      <c r="J222" s="10">
        <v>322</v>
      </c>
      <c r="K222" s="10">
        <v>280</v>
      </c>
      <c r="L222" s="10">
        <v>192</v>
      </c>
      <c r="M222" s="10">
        <v>74</v>
      </c>
      <c r="N222" s="9" cm="1">
        <f t="array" ref="N222">SUM((H222:L222)/5)</f>
        <v>303.60000000000002</v>
      </c>
      <c r="O222" s="10">
        <v>300</v>
      </c>
      <c r="P222" s="23"/>
      <c r="Q222" s="30">
        <v>49.308</v>
      </c>
      <c r="R222" s="30">
        <v>72.016000000000005</v>
      </c>
      <c r="S222" s="30">
        <v>0.441</v>
      </c>
      <c r="T222" s="30">
        <v>0.441</v>
      </c>
      <c r="U222" s="30">
        <f t="shared" si="24"/>
        <v>120</v>
      </c>
      <c r="V222" s="30">
        <f t="shared" si="25"/>
        <v>180</v>
      </c>
      <c r="W222" s="23"/>
      <c r="X222" s="30">
        <v>15.868</v>
      </c>
      <c r="Y222" s="30">
        <v>27.084820000000001</v>
      </c>
      <c r="Z222" s="53">
        <v>27.084820000000001</v>
      </c>
      <c r="AA222" s="54">
        <f t="shared" si="31"/>
        <v>44.689953000000003</v>
      </c>
      <c r="AB222" s="23"/>
      <c r="AC222" s="4">
        <v>365</v>
      </c>
      <c r="AD222" s="32">
        <f t="shared" si="27"/>
        <v>131.7893</v>
      </c>
      <c r="AE222" s="32">
        <f t="shared" si="28"/>
        <v>144.17600000000002</v>
      </c>
      <c r="AF222" s="32">
        <f t="shared" si="29"/>
        <v>32.5</v>
      </c>
      <c r="AG222" s="32">
        <f t="shared" si="29"/>
        <v>80.44</v>
      </c>
      <c r="AH222" s="78"/>
      <c r="AI222" s="78"/>
      <c r="AJ222" s="55">
        <f t="shared" si="30"/>
        <v>388.90530000000001</v>
      </c>
      <c r="AK222" s="32"/>
      <c r="AL222" s="33"/>
      <c r="AM222" s="23"/>
    </row>
    <row r="223" spans="1:39" ht="15.6" x14ac:dyDescent="0.3">
      <c r="A223" s="64"/>
      <c r="B223" s="64"/>
      <c r="C223" s="5" t="s">
        <v>547</v>
      </c>
      <c r="D223" s="5" t="s">
        <v>120</v>
      </c>
      <c r="E223" s="7" t="s">
        <v>0</v>
      </c>
      <c r="F223" s="5"/>
      <c r="G223" s="23"/>
      <c r="H223" s="10">
        <v>353</v>
      </c>
      <c r="I223" s="10">
        <v>346</v>
      </c>
      <c r="J223" s="10">
        <v>160</v>
      </c>
      <c r="K223" s="10">
        <v>224</v>
      </c>
      <c r="L223" s="10">
        <v>226</v>
      </c>
      <c r="M223" s="10">
        <v>89</v>
      </c>
      <c r="N223" s="9" cm="1">
        <f t="array" ref="N223">SUM((H223:L223)/5)</f>
        <v>261.8</v>
      </c>
      <c r="O223" s="10">
        <v>260</v>
      </c>
      <c r="P223" s="23"/>
      <c r="Q223" s="30">
        <v>49.308</v>
      </c>
      <c r="R223" s="30">
        <v>72.016000000000005</v>
      </c>
      <c r="S223" s="30">
        <v>0.441</v>
      </c>
      <c r="T223" s="30">
        <v>0.441</v>
      </c>
      <c r="U223" s="30">
        <f t="shared" si="24"/>
        <v>104</v>
      </c>
      <c r="V223" s="30">
        <f t="shared" si="25"/>
        <v>156</v>
      </c>
      <c r="W223" s="23"/>
      <c r="X223" s="30">
        <v>15.868</v>
      </c>
      <c r="Y223" s="30">
        <v>27.0824</v>
      </c>
      <c r="Z223" s="53">
        <v>27.0824</v>
      </c>
      <c r="AA223" s="54">
        <f t="shared" si="31"/>
        <v>44.685960000000001</v>
      </c>
      <c r="AB223" s="23"/>
      <c r="AC223" s="4">
        <v>365</v>
      </c>
      <c r="AD223" s="32">
        <f t="shared" si="27"/>
        <v>131.7893</v>
      </c>
      <c r="AE223" s="32">
        <f t="shared" si="28"/>
        <v>144.17600000000002</v>
      </c>
      <c r="AF223" s="32">
        <f t="shared" si="29"/>
        <v>28.17</v>
      </c>
      <c r="AG223" s="32">
        <f t="shared" si="29"/>
        <v>69.709999999999994</v>
      </c>
      <c r="AH223" s="78"/>
      <c r="AI223" s="78"/>
      <c r="AJ223" s="55">
        <f t="shared" si="30"/>
        <v>373.84530000000001</v>
      </c>
      <c r="AK223" s="32"/>
      <c r="AL223" s="33"/>
      <c r="AM223" s="23"/>
    </row>
    <row r="224" spans="1:39" ht="30" x14ac:dyDescent="0.3">
      <c r="A224" s="64"/>
      <c r="B224" s="64"/>
      <c r="C224" s="5" t="s">
        <v>548</v>
      </c>
      <c r="D224" s="5" t="s">
        <v>120</v>
      </c>
      <c r="E224" s="7" t="s">
        <v>0</v>
      </c>
      <c r="F224" s="5"/>
      <c r="G224" s="23"/>
      <c r="H224" s="10">
        <v>1104</v>
      </c>
      <c r="I224" s="10">
        <v>1036</v>
      </c>
      <c r="J224" s="10">
        <v>837</v>
      </c>
      <c r="K224" s="10">
        <v>784</v>
      </c>
      <c r="L224" s="10">
        <v>846</v>
      </c>
      <c r="M224" s="10">
        <v>336</v>
      </c>
      <c r="N224" s="9" cm="1">
        <f t="array" ref="N224">SUM((H224:L224)/5)</f>
        <v>921.40000000000009</v>
      </c>
      <c r="O224" s="10">
        <v>920</v>
      </c>
      <c r="P224" s="23"/>
      <c r="Q224" s="30">
        <v>49.325000000000003</v>
      </c>
      <c r="R224" s="30">
        <v>72.016000000000005</v>
      </c>
      <c r="S224" s="30">
        <v>0.441</v>
      </c>
      <c r="T224" s="30">
        <v>0.441</v>
      </c>
      <c r="U224" s="30">
        <f t="shared" si="24"/>
        <v>368</v>
      </c>
      <c r="V224" s="30">
        <f t="shared" si="25"/>
        <v>552</v>
      </c>
      <c r="W224" s="23"/>
      <c r="X224" s="30" t="s">
        <v>231</v>
      </c>
      <c r="Y224" s="30" t="s">
        <v>236</v>
      </c>
      <c r="Z224" s="53">
        <f>SUM(27.18209+25.05878)/2</f>
        <v>26.120435000000001</v>
      </c>
      <c r="AA224" s="54">
        <f t="shared" si="31"/>
        <v>43.098717750000006</v>
      </c>
      <c r="AB224" s="23"/>
      <c r="AC224" s="4">
        <v>365</v>
      </c>
      <c r="AD224" s="32">
        <f t="shared" si="27"/>
        <v>131.7893</v>
      </c>
      <c r="AE224" s="32">
        <f t="shared" si="28"/>
        <v>144.17600000000002</v>
      </c>
      <c r="AF224" s="32">
        <f t="shared" si="29"/>
        <v>96.12</v>
      </c>
      <c r="AG224" s="32">
        <f t="shared" si="29"/>
        <v>237.9</v>
      </c>
      <c r="AH224" s="78"/>
      <c r="AI224" s="78"/>
      <c r="AJ224" s="55">
        <f t="shared" si="30"/>
        <v>609.98530000000005</v>
      </c>
      <c r="AK224" s="32"/>
      <c r="AL224" s="33"/>
      <c r="AM224" s="23"/>
    </row>
    <row r="225" spans="1:39" ht="15.6" x14ac:dyDescent="0.3">
      <c r="A225" s="64"/>
      <c r="B225" s="64"/>
      <c r="C225" s="5" t="s">
        <v>548</v>
      </c>
      <c r="D225" s="5" t="s">
        <v>120</v>
      </c>
      <c r="E225" s="7" t="s">
        <v>0</v>
      </c>
      <c r="F225" s="5"/>
      <c r="G225" s="23"/>
      <c r="H225" s="10">
        <v>292</v>
      </c>
      <c r="I225" s="10">
        <v>292</v>
      </c>
      <c r="J225" s="10">
        <v>283</v>
      </c>
      <c r="K225" s="10">
        <v>266</v>
      </c>
      <c r="L225" s="10">
        <v>229</v>
      </c>
      <c r="M225" s="10">
        <v>113</v>
      </c>
      <c r="N225" s="9" cm="1">
        <f t="array" ref="N225">SUM((H225:L225)/5)</f>
        <v>272.40000000000003</v>
      </c>
      <c r="O225" s="10">
        <v>270</v>
      </c>
      <c r="P225" s="23"/>
      <c r="Q225" s="30">
        <v>49.828000000000003</v>
      </c>
      <c r="R225" s="30">
        <v>63.256999999999998</v>
      </c>
      <c r="S225" s="30">
        <v>0.441</v>
      </c>
      <c r="T225" s="30">
        <v>0.441</v>
      </c>
      <c r="U225" s="30">
        <f t="shared" si="24"/>
        <v>108</v>
      </c>
      <c r="V225" s="30">
        <f t="shared" si="25"/>
        <v>162</v>
      </c>
      <c r="W225" s="23"/>
      <c r="X225" s="30">
        <v>15.061999999999999</v>
      </c>
      <c r="Y225" s="30">
        <v>26.50742</v>
      </c>
      <c r="Z225" s="53">
        <v>26.50742</v>
      </c>
      <c r="AA225" s="54">
        <f t="shared" si="31"/>
        <v>43.737242999999999</v>
      </c>
      <c r="AB225" s="23"/>
      <c r="AC225" s="4">
        <v>365</v>
      </c>
      <c r="AD225" s="32">
        <f t="shared" si="27"/>
        <v>115.7603</v>
      </c>
      <c r="AE225" s="32">
        <f t="shared" si="28"/>
        <v>126.64049999999999</v>
      </c>
      <c r="AF225" s="32">
        <f t="shared" si="29"/>
        <v>28.63</v>
      </c>
      <c r="AG225" s="32">
        <f t="shared" si="29"/>
        <v>70.849999999999994</v>
      </c>
      <c r="AH225" s="78"/>
      <c r="AI225" s="78"/>
      <c r="AJ225" s="55">
        <f t="shared" si="30"/>
        <v>341.88080000000002</v>
      </c>
      <c r="AK225" s="32"/>
      <c r="AL225" s="33"/>
      <c r="AM225" s="23"/>
    </row>
    <row r="226" spans="1:39" ht="15.6" x14ac:dyDescent="0.3">
      <c r="A226" s="64"/>
      <c r="B226" s="64"/>
      <c r="C226" s="5" t="s">
        <v>548</v>
      </c>
      <c r="D226" s="5" t="s">
        <v>120</v>
      </c>
      <c r="E226" s="7" t="s">
        <v>0</v>
      </c>
      <c r="F226" s="5"/>
      <c r="G226" s="23"/>
      <c r="H226" s="10">
        <v>144</v>
      </c>
      <c r="I226" s="10">
        <v>94</v>
      </c>
      <c r="J226" s="10">
        <v>112</v>
      </c>
      <c r="K226" s="10">
        <v>88</v>
      </c>
      <c r="L226" s="10">
        <v>65</v>
      </c>
      <c r="M226" s="10">
        <v>31</v>
      </c>
      <c r="N226" s="9" cm="1">
        <f t="array" ref="N226">SUM((H226:L226)/5)</f>
        <v>100.6</v>
      </c>
      <c r="O226" s="10">
        <v>100</v>
      </c>
      <c r="P226" s="23"/>
      <c r="Q226" s="30">
        <v>49.828000000000003</v>
      </c>
      <c r="R226" s="30">
        <v>63.256999999999998</v>
      </c>
      <c r="S226" s="30">
        <v>0.441</v>
      </c>
      <c r="T226" s="30">
        <v>0.441</v>
      </c>
      <c r="U226" s="30">
        <f t="shared" si="24"/>
        <v>40</v>
      </c>
      <c r="V226" s="30">
        <f t="shared" si="25"/>
        <v>60</v>
      </c>
      <c r="W226" s="23"/>
      <c r="X226" s="30">
        <v>15.061999999999999</v>
      </c>
      <c r="Y226" s="30">
        <v>26.505120000000002</v>
      </c>
      <c r="Z226" s="53">
        <v>26.505120000000002</v>
      </c>
      <c r="AA226" s="54">
        <f t="shared" si="31"/>
        <v>43.733448000000003</v>
      </c>
      <c r="AB226" s="23"/>
      <c r="AC226" s="4">
        <v>365</v>
      </c>
      <c r="AD226" s="32">
        <f t="shared" si="27"/>
        <v>115.7603</v>
      </c>
      <c r="AE226" s="32">
        <f t="shared" si="28"/>
        <v>126.64049999999999</v>
      </c>
      <c r="AF226" s="32">
        <f t="shared" si="29"/>
        <v>10.6</v>
      </c>
      <c r="AG226" s="32">
        <f t="shared" si="29"/>
        <v>26.24</v>
      </c>
      <c r="AH226" s="78"/>
      <c r="AI226" s="78"/>
      <c r="AJ226" s="55">
        <f t="shared" si="30"/>
        <v>279.24079999999998</v>
      </c>
      <c r="AK226" s="32"/>
      <c r="AL226" s="33"/>
      <c r="AM226" s="23"/>
    </row>
    <row r="227" spans="1:39" ht="45" x14ac:dyDescent="0.3">
      <c r="A227" s="64"/>
      <c r="B227" s="64"/>
      <c r="C227" s="5" t="s">
        <v>549</v>
      </c>
      <c r="D227" s="5" t="s">
        <v>120</v>
      </c>
      <c r="E227" s="7" t="s">
        <v>0</v>
      </c>
      <c r="F227" s="5"/>
      <c r="G227" s="23"/>
      <c r="H227" s="10">
        <v>2945</v>
      </c>
      <c r="I227" s="10">
        <v>1928</v>
      </c>
      <c r="J227" s="10">
        <v>1547</v>
      </c>
      <c r="K227" s="10">
        <v>1408</v>
      </c>
      <c r="L227" s="10">
        <v>1313</v>
      </c>
      <c r="M227" s="10">
        <v>924</v>
      </c>
      <c r="N227" s="9" cm="1">
        <f t="array" ref="N227">SUM((H227:L227)/5)</f>
        <v>1828.1999999999998</v>
      </c>
      <c r="O227" s="10">
        <v>1800</v>
      </c>
      <c r="P227" s="23"/>
      <c r="Q227" s="30">
        <v>50.334000000000003</v>
      </c>
      <c r="R227" s="30">
        <v>63.256999999999998</v>
      </c>
      <c r="S227" s="30">
        <v>0.441</v>
      </c>
      <c r="T227" s="30">
        <v>0.441</v>
      </c>
      <c r="U227" s="30">
        <f t="shared" si="24"/>
        <v>720</v>
      </c>
      <c r="V227" s="30">
        <f t="shared" si="25"/>
        <v>1080</v>
      </c>
      <c r="W227" s="23"/>
      <c r="X227" s="30" t="s">
        <v>173</v>
      </c>
      <c r="Y227" s="30" t="s">
        <v>237</v>
      </c>
      <c r="Z227" s="53">
        <f>SUM(27.4337+25.0438+25.36308)/3</f>
        <v>25.946860000000001</v>
      </c>
      <c r="AA227" s="54">
        <f t="shared" si="31"/>
        <v>42.812319000000002</v>
      </c>
      <c r="AB227" s="23"/>
      <c r="AC227" s="4">
        <v>365</v>
      </c>
      <c r="AD227" s="32">
        <f t="shared" si="27"/>
        <v>115.7603</v>
      </c>
      <c r="AE227" s="32">
        <f t="shared" si="28"/>
        <v>126.64049999999999</v>
      </c>
      <c r="AF227" s="32">
        <f t="shared" si="29"/>
        <v>186.82</v>
      </c>
      <c r="AG227" s="32">
        <f t="shared" si="29"/>
        <v>462.37</v>
      </c>
      <c r="AH227" s="78"/>
      <c r="AI227" s="78"/>
      <c r="AJ227" s="55">
        <f t="shared" si="30"/>
        <v>891.59079999999994</v>
      </c>
      <c r="AK227" s="32"/>
      <c r="AL227" s="33"/>
      <c r="AM227" s="23"/>
    </row>
    <row r="228" spans="1:39" ht="15.6" x14ac:dyDescent="0.3">
      <c r="A228" s="64"/>
      <c r="B228" s="64"/>
      <c r="C228" s="5" t="s">
        <v>462</v>
      </c>
      <c r="D228" s="5" t="s">
        <v>120</v>
      </c>
      <c r="E228" s="7" t="s">
        <v>0</v>
      </c>
      <c r="F228" s="5"/>
      <c r="G228" s="23"/>
      <c r="H228" s="10">
        <v>1985</v>
      </c>
      <c r="I228" s="10">
        <v>2260</v>
      </c>
      <c r="J228" s="10">
        <v>2147</v>
      </c>
      <c r="K228" s="10">
        <v>2048</v>
      </c>
      <c r="L228" s="10">
        <v>1938</v>
      </c>
      <c r="M228" s="10">
        <v>914</v>
      </c>
      <c r="N228" s="9" cm="1">
        <f t="array" ref="N228">SUM((H228:L228)/5)</f>
        <v>2075.6</v>
      </c>
      <c r="O228" s="10">
        <v>2070</v>
      </c>
      <c r="P228" s="23"/>
      <c r="Q228" s="30">
        <v>49.828000000000003</v>
      </c>
      <c r="R228" s="30">
        <v>63.256999999999998</v>
      </c>
      <c r="S228" s="30">
        <v>0.441</v>
      </c>
      <c r="T228" s="30">
        <v>0.441</v>
      </c>
      <c r="U228" s="30">
        <f t="shared" si="24"/>
        <v>828</v>
      </c>
      <c r="V228" s="30">
        <f t="shared" si="25"/>
        <v>1242</v>
      </c>
      <c r="W228" s="23"/>
      <c r="X228" s="30">
        <v>15.061999999999999</v>
      </c>
      <c r="Y228" s="30">
        <v>25.506399999999999</v>
      </c>
      <c r="Z228" s="53">
        <v>25.506399999999999</v>
      </c>
      <c r="AA228" s="54">
        <f t="shared" si="31"/>
        <v>42.085560000000001</v>
      </c>
      <c r="AB228" s="23"/>
      <c r="AC228" s="4">
        <v>365</v>
      </c>
      <c r="AD228" s="32">
        <f t="shared" si="27"/>
        <v>115.7603</v>
      </c>
      <c r="AE228" s="32">
        <f t="shared" si="28"/>
        <v>126.64049999999999</v>
      </c>
      <c r="AF228" s="32">
        <f t="shared" si="29"/>
        <v>211.19</v>
      </c>
      <c r="AG228" s="32">
        <f t="shared" si="29"/>
        <v>522.70000000000005</v>
      </c>
      <c r="AH228" s="78"/>
      <c r="AI228" s="78"/>
      <c r="AJ228" s="55">
        <f t="shared" si="30"/>
        <v>976.29079999999999</v>
      </c>
      <c r="AK228" s="32"/>
      <c r="AL228" s="33"/>
      <c r="AM228" s="23"/>
    </row>
    <row r="229" spans="1:39" ht="15.6" x14ac:dyDescent="0.3">
      <c r="A229" s="64"/>
      <c r="B229" s="64"/>
      <c r="C229" s="5" t="s">
        <v>550</v>
      </c>
      <c r="D229" s="5" t="s">
        <v>120</v>
      </c>
      <c r="E229" s="7" t="s">
        <v>0</v>
      </c>
      <c r="F229" s="5"/>
      <c r="G229" s="23"/>
      <c r="H229" s="10">
        <v>2</v>
      </c>
      <c r="I229" s="10">
        <v>2</v>
      </c>
      <c r="J229" s="10">
        <v>2</v>
      </c>
      <c r="K229" s="10">
        <v>1</v>
      </c>
      <c r="L229" s="10">
        <v>2</v>
      </c>
      <c r="M229" s="10">
        <v>1</v>
      </c>
      <c r="N229" s="9" cm="1">
        <f t="array" ref="N229">SUM((H229:L229)/5)</f>
        <v>1.8000000000000003</v>
      </c>
      <c r="O229" s="10">
        <v>10</v>
      </c>
      <c r="P229" s="23"/>
      <c r="Q229" s="30">
        <v>49.828000000000003</v>
      </c>
      <c r="R229" s="30">
        <v>63.256999999999998</v>
      </c>
      <c r="S229" s="30">
        <v>0.441</v>
      </c>
      <c r="T229" s="30">
        <v>0.441</v>
      </c>
      <c r="U229" s="30">
        <f t="shared" si="24"/>
        <v>4</v>
      </c>
      <c r="V229" s="30">
        <f t="shared" si="25"/>
        <v>6</v>
      </c>
      <c r="W229" s="23"/>
      <c r="X229" s="30">
        <v>15.061999999999999</v>
      </c>
      <c r="Y229" s="30">
        <v>25.506399999999999</v>
      </c>
      <c r="Z229" s="53">
        <v>25.506399999999999</v>
      </c>
      <c r="AA229" s="54">
        <f t="shared" si="31"/>
        <v>42.085560000000001</v>
      </c>
      <c r="AB229" s="23"/>
      <c r="AC229" s="4">
        <v>365</v>
      </c>
      <c r="AD229" s="32">
        <f t="shared" si="27"/>
        <v>115.7603</v>
      </c>
      <c r="AE229" s="32">
        <f t="shared" si="28"/>
        <v>126.64049999999999</v>
      </c>
      <c r="AF229" s="32">
        <f t="shared" si="29"/>
        <v>1.02</v>
      </c>
      <c r="AG229" s="32">
        <f t="shared" si="29"/>
        <v>2.5299999999999998</v>
      </c>
      <c r="AH229" s="78"/>
      <c r="AI229" s="78"/>
      <c r="AJ229" s="55">
        <f t="shared" si="30"/>
        <v>245.95080000000002</v>
      </c>
      <c r="AK229" s="32"/>
      <c r="AL229" s="33"/>
      <c r="AM229" s="23"/>
    </row>
    <row r="230" spans="1:39" ht="15.6" x14ac:dyDescent="0.3">
      <c r="A230" s="64"/>
      <c r="B230" s="64"/>
      <c r="C230" s="5" t="s">
        <v>551</v>
      </c>
      <c r="D230" s="5" t="s">
        <v>120</v>
      </c>
      <c r="E230" s="7" t="s">
        <v>0</v>
      </c>
      <c r="F230" s="5"/>
      <c r="G230" s="23"/>
      <c r="H230" s="10">
        <v>125</v>
      </c>
      <c r="I230" s="10">
        <v>72</v>
      </c>
      <c r="J230" s="10">
        <v>25</v>
      </c>
      <c r="K230" s="10">
        <v>11</v>
      </c>
      <c r="L230" s="10">
        <v>221</v>
      </c>
      <c r="M230" s="10">
        <v>86</v>
      </c>
      <c r="N230" s="9" cm="1">
        <f t="array" ref="N230">SUM((H230:L230)/5)</f>
        <v>90.800000000000011</v>
      </c>
      <c r="O230" s="10">
        <v>150</v>
      </c>
      <c r="P230" s="23"/>
      <c r="Q230" s="30">
        <v>49.308</v>
      </c>
      <c r="R230" s="30">
        <v>72.016000000000005</v>
      </c>
      <c r="S230" s="30">
        <v>0.441</v>
      </c>
      <c r="T230" s="30">
        <v>0.441</v>
      </c>
      <c r="U230" s="30">
        <f t="shared" si="24"/>
        <v>60</v>
      </c>
      <c r="V230" s="30">
        <f t="shared" si="25"/>
        <v>90</v>
      </c>
      <c r="W230" s="23"/>
      <c r="X230" s="30">
        <v>15.868</v>
      </c>
      <c r="Y230" s="30">
        <v>27.08277</v>
      </c>
      <c r="Z230" s="53">
        <v>27.08277</v>
      </c>
      <c r="AA230" s="54">
        <f t="shared" si="31"/>
        <v>44.686570500000002</v>
      </c>
      <c r="AB230" s="23"/>
      <c r="AC230" s="4">
        <v>365</v>
      </c>
      <c r="AD230" s="32">
        <f t="shared" si="27"/>
        <v>131.7893</v>
      </c>
      <c r="AE230" s="32">
        <f t="shared" si="28"/>
        <v>144.17600000000002</v>
      </c>
      <c r="AF230" s="32">
        <f t="shared" si="29"/>
        <v>16.25</v>
      </c>
      <c r="AG230" s="32">
        <f t="shared" si="29"/>
        <v>40.22</v>
      </c>
      <c r="AH230" s="78"/>
      <c r="AI230" s="78"/>
      <c r="AJ230" s="55">
        <f t="shared" si="30"/>
        <v>332.43529999999998</v>
      </c>
      <c r="AK230" s="32"/>
      <c r="AL230" s="33"/>
      <c r="AM230" s="23"/>
    </row>
    <row r="231" spans="1:39" ht="15.6" x14ac:dyDescent="0.3">
      <c r="A231" s="64"/>
      <c r="B231" s="64"/>
      <c r="C231" s="5" t="s">
        <v>552</v>
      </c>
      <c r="D231" s="5" t="s">
        <v>120</v>
      </c>
      <c r="E231" s="7" t="s">
        <v>0</v>
      </c>
      <c r="F231" s="5"/>
      <c r="G231" s="23"/>
      <c r="H231" s="10">
        <v>480</v>
      </c>
      <c r="I231" s="10">
        <v>197</v>
      </c>
      <c r="J231" s="10">
        <v>135</v>
      </c>
      <c r="K231" s="10">
        <v>230</v>
      </c>
      <c r="L231" s="10">
        <v>148</v>
      </c>
      <c r="M231" s="10">
        <v>101</v>
      </c>
      <c r="N231" s="9" cm="1">
        <f t="array" ref="N231">SUM((H231:L231)/5)</f>
        <v>238</v>
      </c>
      <c r="O231" s="10">
        <v>230</v>
      </c>
      <c r="P231" s="23"/>
      <c r="Q231" s="30">
        <v>49.308</v>
      </c>
      <c r="R231" s="30">
        <v>72.016000000000005</v>
      </c>
      <c r="S231" s="30">
        <v>0.441</v>
      </c>
      <c r="T231" s="30">
        <v>0.441</v>
      </c>
      <c r="U231" s="30">
        <f t="shared" si="24"/>
        <v>92</v>
      </c>
      <c r="V231" s="30">
        <f t="shared" si="25"/>
        <v>138</v>
      </c>
      <c r="W231" s="23"/>
      <c r="X231" s="30">
        <v>15.868</v>
      </c>
      <c r="Y231" s="30">
        <v>27.081499999999998</v>
      </c>
      <c r="Z231" s="53">
        <v>27.081499999999998</v>
      </c>
      <c r="AA231" s="54">
        <f t="shared" si="31"/>
        <v>44.684474999999999</v>
      </c>
      <c r="AB231" s="23"/>
      <c r="AC231" s="4">
        <v>365</v>
      </c>
      <c r="AD231" s="32">
        <f t="shared" si="27"/>
        <v>131.7893</v>
      </c>
      <c r="AE231" s="32">
        <f t="shared" si="28"/>
        <v>144.17600000000002</v>
      </c>
      <c r="AF231" s="32">
        <f t="shared" si="29"/>
        <v>24.91</v>
      </c>
      <c r="AG231" s="32">
        <f t="shared" si="29"/>
        <v>61.66</v>
      </c>
      <c r="AH231" s="78"/>
      <c r="AI231" s="78"/>
      <c r="AJ231" s="55">
        <f t="shared" si="30"/>
        <v>362.53530000000001</v>
      </c>
      <c r="AK231" s="32"/>
      <c r="AL231" s="33"/>
      <c r="AM231" s="23"/>
    </row>
    <row r="232" spans="1:39" ht="45" x14ac:dyDescent="0.3">
      <c r="A232" s="64"/>
      <c r="B232" s="64"/>
      <c r="C232" s="5" t="s">
        <v>553</v>
      </c>
      <c r="D232" s="5" t="s">
        <v>120</v>
      </c>
      <c r="E232" s="7" t="s">
        <v>0</v>
      </c>
      <c r="F232" s="5"/>
      <c r="G232" s="23"/>
      <c r="H232" s="10">
        <v>2329</v>
      </c>
      <c r="I232" s="10">
        <v>2162</v>
      </c>
      <c r="J232" s="10">
        <v>1547</v>
      </c>
      <c r="K232" s="10">
        <v>989</v>
      </c>
      <c r="L232" s="10">
        <v>1406</v>
      </c>
      <c r="M232" s="10">
        <v>987</v>
      </c>
      <c r="N232" s="9" cm="1">
        <f t="array" ref="N232">SUM((H232:L232)/5)</f>
        <v>1686.6</v>
      </c>
      <c r="O232" s="10">
        <v>1650</v>
      </c>
      <c r="P232" s="23"/>
      <c r="Q232" s="30">
        <v>50.334000000000003</v>
      </c>
      <c r="R232" s="30">
        <v>63.256999999999998</v>
      </c>
      <c r="S232" s="30">
        <v>0.441</v>
      </c>
      <c r="T232" s="30">
        <v>0.441</v>
      </c>
      <c r="U232" s="30">
        <f t="shared" si="24"/>
        <v>660</v>
      </c>
      <c r="V232" s="30">
        <f t="shared" si="25"/>
        <v>990</v>
      </c>
      <c r="W232" s="23"/>
      <c r="X232" s="30" t="s">
        <v>238</v>
      </c>
      <c r="Y232" s="30" t="s">
        <v>239</v>
      </c>
      <c r="Z232" s="53">
        <f>SUM(27.4798+25.04972+25.36849)/3</f>
        <v>25.966003333333333</v>
      </c>
      <c r="AA232" s="54">
        <f t="shared" si="31"/>
        <v>42.843905500000005</v>
      </c>
      <c r="AB232" s="23"/>
      <c r="AC232" s="4">
        <v>365</v>
      </c>
      <c r="AD232" s="32">
        <f t="shared" si="27"/>
        <v>115.7603</v>
      </c>
      <c r="AE232" s="32">
        <f t="shared" si="28"/>
        <v>126.64049999999999</v>
      </c>
      <c r="AF232" s="32">
        <f t="shared" si="29"/>
        <v>171.38</v>
      </c>
      <c r="AG232" s="32">
        <f t="shared" si="29"/>
        <v>424.15</v>
      </c>
      <c r="AH232" s="78"/>
      <c r="AI232" s="78"/>
      <c r="AJ232" s="55">
        <f t="shared" si="30"/>
        <v>837.93079999999998</v>
      </c>
      <c r="AK232" s="32"/>
      <c r="AL232" s="33"/>
      <c r="AM232" s="23"/>
    </row>
    <row r="233" spans="1:39" ht="45" x14ac:dyDescent="0.3">
      <c r="A233" s="64"/>
      <c r="B233" s="64"/>
      <c r="C233" s="5" t="s">
        <v>553</v>
      </c>
      <c r="D233" s="5" t="s">
        <v>120</v>
      </c>
      <c r="E233" s="7" t="s">
        <v>0</v>
      </c>
      <c r="F233" s="5"/>
      <c r="G233" s="23"/>
      <c r="H233" s="10">
        <v>2864</v>
      </c>
      <c r="I233" s="10">
        <v>2758</v>
      </c>
      <c r="J233" s="10">
        <v>2042</v>
      </c>
      <c r="K233" s="10">
        <v>1320</v>
      </c>
      <c r="L233" s="10">
        <v>1375</v>
      </c>
      <c r="M233" s="10">
        <v>604</v>
      </c>
      <c r="N233" s="9" cm="1">
        <f t="array" ref="N233">SUM((H233:L233)/5)</f>
        <v>2071.8000000000002</v>
      </c>
      <c r="O233" s="10">
        <v>2000</v>
      </c>
      <c r="P233" s="23"/>
      <c r="Q233" s="30">
        <v>50.334000000000003</v>
      </c>
      <c r="R233" s="30">
        <v>63.256999999999998</v>
      </c>
      <c r="S233" s="30">
        <v>0.441</v>
      </c>
      <c r="T233" s="30">
        <v>0.441</v>
      </c>
      <c r="U233" s="30">
        <f t="shared" si="24"/>
        <v>800</v>
      </c>
      <c r="V233" s="30">
        <f t="shared" si="25"/>
        <v>1200</v>
      </c>
      <c r="W233" s="23"/>
      <c r="X233" s="30" t="s">
        <v>238</v>
      </c>
      <c r="Y233" s="30" t="s">
        <v>240</v>
      </c>
      <c r="Z233" s="53">
        <f>SUM(27.35411+25.92409+25.24311)/3</f>
        <v>26.173770000000001</v>
      </c>
      <c r="AA233" s="54">
        <f t="shared" si="31"/>
        <v>43.186720500000007</v>
      </c>
      <c r="AB233" s="23"/>
      <c r="AC233" s="4">
        <v>365</v>
      </c>
      <c r="AD233" s="32">
        <f t="shared" si="27"/>
        <v>115.7603</v>
      </c>
      <c r="AE233" s="32">
        <f t="shared" si="28"/>
        <v>126.64049999999999</v>
      </c>
      <c r="AF233" s="32">
        <f t="shared" si="29"/>
        <v>209.39</v>
      </c>
      <c r="AG233" s="32">
        <f t="shared" si="29"/>
        <v>518.24</v>
      </c>
      <c r="AH233" s="78"/>
      <c r="AI233" s="78"/>
      <c r="AJ233" s="55">
        <f t="shared" si="30"/>
        <v>970.0308</v>
      </c>
      <c r="AK233" s="32"/>
      <c r="AL233" s="33"/>
      <c r="AM233" s="23"/>
    </row>
    <row r="234" spans="1:39" ht="45" x14ac:dyDescent="0.3">
      <c r="A234" s="64"/>
      <c r="B234" s="64"/>
      <c r="C234" s="5" t="s">
        <v>463</v>
      </c>
      <c r="D234" s="5" t="s">
        <v>120</v>
      </c>
      <c r="E234" s="7" t="s">
        <v>0</v>
      </c>
      <c r="F234" s="5"/>
      <c r="G234" s="23"/>
      <c r="H234" s="10">
        <v>64197</v>
      </c>
      <c r="I234" s="10">
        <v>69257</v>
      </c>
      <c r="J234" s="10">
        <v>71704</v>
      </c>
      <c r="K234" s="10">
        <v>67062</v>
      </c>
      <c r="L234" s="10">
        <v>54882</v>
      </c>
      <c r="M234" s="10">
        <v>29149</v>
      </c>
      <c r="N234" s="9" cm="1">
        <f t="array" ref="N234">SUM((H234:L234)/5)</f>
        <v>65420.4</v>
      </c>
      <c r="O234" s="10">
        <v>65400</v>
      </c>
      <c r="P234" s="23"/>
      <c r="Q234" s="30">
        <v>126.76600000000001</v>
      </c>
      <c r="R234" s="30">
        <v>272.11399999999998</v>
      </c>
      <c r="S234" s="30">
        <v>0.441</v>
      </c>
      <c r="T234" s="30">
        <v>0.441</v>
      </c>
      <c r="U234" s="30">
        <f t="shared" si="24"/>
        <v>26160</v>
      </c>
      <c r="V234" s="30">
        <f t="shared" si="25"/>
        <v>39240</v>
      </c>
      <c r="W234" s="23"/>
      <c r="X234" s="30" t="s">
        <v>241</v>
      </c>
      <c r="Y234" s="30" t="s">
        <v>242</v>
      </c>
      <c r="Z234" s="53">
        <f>SUM(14.935+10.939)/2</f>
        <v>12.937000000000001</v>
      </c>
      <c r="AA234" s="54">
        <f t="shared" si="31"/>
        <v>21.346050000000002</v>
      </c>
      <c r="AB234" s="23"/>
      <c r="AC234" s="4">
        <v>365</v>
      </c>
      <c r="AD234" s="32">
        <f t="shared" si="27"/>
        <v>497.96859999999998</v>
      </c>
      <c r="AE234" s="32">
        <f t="shared" si="28"/>
        <v>544.7722</v>
      </c>
      <c r="AF234" s="32">
        <f t="shared" si="29"/>
        <v>3384.32</v>
      </c>
      <c r="AG234" s="32">
        <f t="shared" si="29"/>
        <v>8376.19</v>
      </c>
      <c r="AH234" s="78"/>
      <c r="AI234" s="78"/>
      <c r="AJ234" s="55">
        <f t="shared" si="30"/>
        <v>12803.250800000002</v>
      </c>
      <c r="AK234" s="32"/>
      <c r="AL234" s="33"/>
      <c r="AM234" s="23"/>
    </row>
    <row r="235" spans="1:39" ht="15.6" x14ac:dyDescent="0.3">
      <c r="A235" s="64"/>
      <c r="B235" s="64"/>
      <c r="C235" s="5" t="s">
        <v>554</v>
      </c>
      <c r="D235" s="5" t="s">
        <v>120</v>
      </c>
      <c r="E235" s="7" t="s">
        <v>0</v>
      </c>
      <c r="F235" s="5"/>
      <c r="G235" s="23"/>
      <c r="H235" s="10">
        <v>108</v>
      </c>
      <c r="I235" s="10">
        <v>104</v>
      </c>
      <c r="J235" s="10">
        <v>137</v>
      </c>
      <c r="K235" s="10">
        <v>235</v>
      </c>
      <c r="L235" s="10">
        <v>175</v>
      </c>
      <c r="M235" s="10">
        <v>0</v>
      </c>
      <c r="N235" s="9" cm="1">
        <f t="array" ref="N235">SUM((H235:L235)/5)</f>
        <v>151.80000000000001</v>
      </c>
      <c r="O235" s="10">
        <v>200</v>
      </c>
      <c r="P235" s="23"/>
      <c r="Q235" s="30">
        <v>49.828000000000003</v>
      </c>
      <c r="R235" s="30">
        <v>63.256999999999998</v>
      </c>
      <c r="S235" s="30">
        <v>0.441</v>
      </c>
      <c r="T235" s="30">
        <v>0.441</v>
      </c>
      <c r="U235" s="30">
        <f t="shared" si="24"/>
        <v>80</v>
      </c>
      <c r="V235" s="30">
        <f t="shared" si="25"/>
        <v>120</v>
      </c>
      <c r="W235" s="23"/>
      <c r="X235" s="30">
        <v>15.061999999999999</v>
      </c>
      <c r="Y235" s="30">
        <v>26.50217</v>
      </c>
      <c r="Z235" s="53">
        <v>26.50217</v>
      </c>
      <c r="AA235" s="54">
        <f t="shared" si="31"/>
        <v>43.7285805</v>
      </c>
      <c r="AB235" s="23"/>
      <c r="AC235" s="4">
        <v>365</v>
      </c>
      <c r="AD235" s="32">
        <f t="shared" si="27"/>
        <v>115.7603</v>
      </c>
      <c r="AE235" s="32">
        <f t="shared" si="28"/>
        <v>126.64049999999999</v>
      </c>
      <c r="AF235" s="32">
        <f t="shared" si="29"/>
        <v>21.2</v>
      </c>
      <c r="AG235" s="32">
        <f t="shared" si="29"/>
        <v>52.47</v>
      </c>
      <c r="AH235" s="78"/>
      <c r="AI235" s="78"/>
      <c r="AJ235" s="55">
        <f t="shared" si="30"/>
        <v>316.07079999999996</v>
      </c>
      <c r="AK235" s="32"/>
      <c r="AL235" s="33"/>
      <c r="AM235" s="23"/>
    </row>
    <row r="236" spans="1:39" ht="15.6" x14ac:dyDescent="0.3">
      <c r="A236" s="64"/>
      <c r="B236" s="64"/>
      <c r="C236" s="5" t="s">
        <v>555</v>
      </c>
      <c r="D236" s="5" t="s">
        <v>120</v>
      </c>
      <c r="E236" s="7" t="s">
        <v>0</v>
      </c>
      <c r="F236" s="5"/>
      <c r="G236" s="23"/>
      <c r="H236" s="10">
        <v>564</v>
      </c>
      <c r="I236" s="10">
        <v>428</v>
      </c>
      <c r="J236" s="10">
        <v>331</v>
      </c>
      <c r="K236" s="10">
        <v>880</v>
      </c>
      <c r="L236" s="10">
        <v>897</v>
      </c>
      <c r="M236" s="10">
        <v>438</v>
      </c>
      <c r="N236" s="9" cm="1">
        <f t="array" ref="N236">SUM((H236:L236)/5)</f>
        <v>620</v>
      </c>
      <c r="O236" s="10">
        <v>885</v>
      </c>
      <c r="P236" s="23"/>
      <c r="Q236" s="30">
        <v>49.828000000000003</v>
      </c>
      <c r="R236" s="30">
        <v>63.256999999999998</v>
      </c>
      <c r="S236" s="30">
        <v>0.441</v>
      </c>
      <c r="T236" s="30">
        <v>0.441</v>
      </c>
      <c r="U236" s="30">
        <f t="shared" si="24"/>
        <v>354</v>
      </c>
      <c r="V236" s="30">
        <f t="shared" si="25"/>
        <v>531</v>
      </c>
      <c r="W236" s="23"/>
      <c r="X236" s="30">
        <v>15.061999999999999</v>
      </c>
      <c r="Y236" s="30">
        <v>26.506049999999998</v>
      </c>
      <c r="Z236" s="53">
        <v>26.506049999999998</v>
      </c>
      <c r="AA236" s="54">
        <f t="shared" si="31"/>
        <v>43.734982500000001</v>
      </c>
      <c r="AB236" s="23"/>
      <c r="AC236" s="4">
        <v>365</v>
      </c>
      <c r="AD236" s="32">
        <f t="shared" si="27"/>
        <v>115.7603</v>
      </c>
      <c r="AE236" s="32">
        <f t="shared" si="28"/>
        <v>126.64049999999999</v>
      </c>
      <c r="AF236" s="32">
        <f t="shared" si="29"/>
        <v>93.83</v>
      </c>
      <c r="AG236" s="32">
        <f t="shared" si="29"/>
        <v>232.23</v>
      </c>
      <c r="AH236" s="78"/>
      <c r="AI236" s="78"/>
      <c r="AJ236" s="55">
        <f t="shared" si="30"/>
        <v>568.46079999999995</v>
      </c>
      <c r="AK236" s="32"/>
      <c r="AL236" s="33"/>
      <c r="AM236" s="23"/>
    </row>
    <row r="237" spans="1:39" ht="15.6" x14ac:dyDescent="0.3">
      <c r="A237" s="64"/>
      <c r="B237" s="64"/>
      <c r="C237" s="5" t="s">
        <v>556</v>
      </c>
      <c r="D237" s="5" t="s">
        <v>120</v>
      </c>
      <c r="E237" s="7" t="s">
        <v>0</v>
      </c>
      <c r="F237" s="5"/>
      <c r="G237" s="23"/>
      <c r="H237" s="10">
        <v>0</v>
      </c>
      <c r="I237" s="10">
        <v>3893</v>
      </c>
      <c r="J237" s="10">
        <v>0</v>
      </c>
      <c r="K237" s="10">
        <v>0</v>
      </c>
      <c r="L237" s="10">
        <v>0</v>
      </c>
      <c r="M237" s="10">
        <v>0</v>
      </c>
      <c r="N237" s="9" cm="1">
        <f t="array" ref="N237">SUM((H237:L237)/5)</f>
        <v>778.6</v>
      </c>
      <c r="O237" s="10">
        <v>800</v>
      </c>
      <c r="P237" s="23"/>
      <c r="Q237" s="30">
        <v>49.828000000000003</v>
      </c>
      <c r="R237" s="30">
        <v>63.256999999999998</v>
      </c>
      <c r="S237" s="30">
        <v>0.441</v>
      </c>
      <c r="T237" s="30">
        <v>0.441</v>
      </c>
      <c r="U237" s="30">
        <f t="shared" si="24"/>
        <v>320</v>
      </c>
      <c r="V237" s="30">
        <f t="shared" si="25"/>
        <v>480</v>
      </c>
      <c r="W237" s="23"/>
      <c r="X237" s="30">
        <v>15.061999999999999</v>
      </c>
      <c r="Y237" s="30">
        <v>26.443770000000001</v>
      </c>
      <c r="Z237" s="53">
        <v>26.443770000000001</v>
      </c>
      <c r="AA237" s="54">
        <f t="shared" si="31"/>
        <v>43.632220500000003</v>
      </c>
      <c r="AB237" s="23"/>
      <c r="AC237" s="4">
        <v>365</v>
      </c>
      <c r="AD237" s="32">
        <f t="shared" si="27"/>
        <v>115.7603</v>
      </c>
      <c r="AE237" s="32">
        <f t="shared" si="28"/>
        <v>126.64049999999999</v>
      </c>
      <c r="AF237" s="32">
        <f t="shared" si="29"/>
        <v>84.62</v>
      </c>
      <c r="AG237" s="32">
        <f t="shared" si="29"/>
        <v>209.43</v>
      </c>
      <c r="AH237" s="78"/>
      <c r="AI237" s="78"/>
      <c r="AJ237" s="55">
        <f t="shared" si="30"/>
        <v>536.45080000000007</v>
      </c>
      <c r="AK237" s="32"/>
      <c r="AL237" s="33"/>
      <c r="AM237" s="23"/>
    </row>
    <row r="238" spans="1:39" ht="30" x14ac:dyDescent="0.3">
      <c r="A238" s="64"/>
      <c r="B238" s="64"/>
      <c r="C238" s="5" t="s">
        <v>557</v>
      </c>
      <c r="D238" s="5" t="s">
        <v>120</v>
      </c>
      <c r="E238" s="7" t="s">
        <v>0</v>
      </c>
      <c r="F238" s="5"/>
      <c r="G238" s="23"/>
      <c r="H238" s="10">
        <v>1764</v>
      </c>
      <c r="I238" s="10">
        <v>1757</v>
      </c>
      <c r="J238" s="10">
        <v>1975</v>
      </c>
      <c r="K238" s="10">
        <v>1543</v>
      </c>
      <c r="L238" s="10">
        <v>1391</v>
      </c>
      <c r="M238" s="10">
        <v>69</v>
      </c>
      <c r="N238" s="9" cm="1">
        <f t="array" ref="N238">SUM((H238:L238)/5)</f>
        <v>1686.0000000000002</v>
      </c>
      <c r="O238" s="10">
        <v>1650</v>
      </c>
      <c r="P238" s="23"/>
      <c r="Q238" s="30">
        <v>49.325000000000003</v>
      </c>
      <c r="R238" s="30">
        <v>63.256999999999998</v>
      </c>
      <c r="S238" s="30">
        <v>0.441</v>
      </c>
      <c r="T238" s="30">
        <v>0.441</v>
      </c>
      <c r="U238" s="30">
        <f t="shared" si="24"/>
        <v>660</v>
      </c>
      <c r="V238" s="30">
        <f t="shared" si="25"/>
        <v>990</v>
      </c>
      <c r="W238" s="23"/>
      <c r="X238" s="30" t="s">
        <v>231</v>
      </c>
      <c r="Y238" s="30" t="s">
        <v>243</v>
      </c>
      <c r="Z238" s="53">
        <f>SUM(27.14687+25.02344)/2</f>
        <v>26.085155</v>
      </c>
      <c r="AA238" s="54">
        <f t="shared" si="31"/>
        <v>43.040505750000001</v>
      </c>
      <c r="AB238" s="23"/>
      <c r="AC238" s="4">
        <v>365</v>
      </c>
      <c r="AD238" s="32">
        <f t="shared" si="27"/>
        <v>115.7603</v>
      </c>
      <c r="AE238" s="32">
        <f t="shared" si="28"/>
        <v>126.64049999999999</v>
      </c>
      <c r="AF238" s="32">
        <f t="shared" si="29"/>
        <v>172.16</v>
      </c>
      <c r="AG238" s="32">
        <f t="shared" si="29"/>
        <v>426.1</v>
      </c>
      <c r="AH238" s="78"/>
      <c r="AI238" s="78"/>
      <c r="AJ238" s="55">
        <f t="shared" si="30"/>
        <v>840.66079999999999</v>
      </c>
      <c r="AK238" s="32"/>
      <c r="AL238" s="33"/>
      <c r="AM238" s="23"/>
    </row>
    <row r="239" spans="1:39" ht="15.6" x14ac:dyDescent="0.3">
      <c r="A239" s="64"/>
      <c r="B239" s="64"/>
      <c r="C239" s="5" t="s">
        <v>558</v>
      </c>
      <c r="D239" s="5" t="s">
        <v>120</v>
      </c>
      <c r="E239" s="7" t="s">
        <v>0</v>
      </c>
      <c r="F239" s="5"/>
      <c r="G239" s="23"/>
      <c r="H239" s="10">
        <v>959</v>
      </c>
      <c r="I239" s="10">
        <v>1260</v>
      </c>
      <c r="J239" s="10">
        <v>824</v>
      </c>
      <c r="K239" s="10">
        <v>553</v>
      </c>
      <c r="L239" s="10">
        <v>450</v>
      </c>
      <c r="M239" s="10">
        <v>263</v>
      </c>
      <c r="N239" s="9" cm="1">
        <f t="array" ref="N239">SUM((H239:L239)/5)</f>
        <v>809.2</v>
      </c>
      <c r="O239" s="10">
        <v>800</v>
      </c>
      <c r="P239" s="23"/>
      <c r="Q239" s="30">
        <v>49.828000000000003</v>
      </c>
      <c r="R239" s="30">
        <v>63.256999999999998</v>
      </c>
      <c r="S239" s="30">
        <v>0.441</v>
      </c>
      <c r="T239" s="30">
        <v>0.441</v>
      </c>
      <c r="U239" s="30">
        <f t="shared" si="24"/>
        <v>320</v>
      </c>
      <c r="V239" s="30">
        <f t="shared" si="25"/>
        <v>480</v>
      </c>
      <c r="W239" s="23"/>
      <c r="X239" s="30">
        <v>15.061999999999999</v>
      </c>
      <c r="Y239" s="30">
        <v>26.506869999999999</v>
      </c>
      <c r="Z239" s="53">
        <v>26.506869999999999</v>
      </c>
      <c r="AA239" s="54">
        <f t="shared" si="31"/>
        <v>43.736335499999996</v>
      </c>
      <c r="AB239" s="23"/>
      <c r="AC239" s="4">
        <v>365</v>
      </c>
      <c r="AD239" s="32">
        <f t="shared" si="27"/>
        <v>115.7603</v>
      </c>
      <c r="AE239" s="32">
        <f t="shared" si="28"/>
        <v>126.64049999999999</v>
      </c>
      <c r="AF239" s="32">
        <f t="shared" si="29"/>
        <v>84.82</v>
      </c>
      <c r="AG239" s="32">
        <f t="shared" si="29"/>
        <v>209.93</v>
      </c>
      <c r="AH239" s="78"/>
      <c r="AI239" s="78"/>
      <c r="AJ239" s="55">
        <f t="shared" si="30"/>
        <v>537.1508</v>
      </c>
      <c r="AK239" s="32"/>
      <c r="AL239" s="33"/>
      <c r="AM239" s="23"/>
    </row>
    <row r="240" spans="1:39" ht="15.6" x14ac:dyDescent="0.3">
      <c r="A240" s="64"/>
      <c r="B240" s="64"/>
      <c r="C240" s="5" t="s">
        <v>559</v>
      </c>
      <c r="D240" s="5" t="s">
        <v>120</v>
      </c>
      <c r="E240" s="7" t="s">
        <v>0</v>
      </c>
      <c r="F240" s="5"/>
      <c r="G240" s="23"/>
      <c r="H240" s="10">
        <v>130</v>
      </c>
      <c r="I240" s="10">
        <v>160</v>
      </c>
      <c r="J240" s="10">
        <v>151</v>
      </c>
      <c r="K240" s="10">
        <v>2050</v>
      </c>
      <c r="L240" s="10">
        <v>2821</v>
      </c>
      <c r="M240" s="10">
        <v>1348</v>
      </c>
      <c r="N240" s="9" cm="1">
        <f t="array" ref="N240">SUM((H240:L240)/5)</f>
        <v>1062.4000000000001</v>
      </c>
      <c r="O240" s="10">
        <v>2400</v>
      </c>
      <c r="P240" s="23"/>
      <c r="Q240" s="30">
        <v>49.308</v>
      </c>
      <c r="R240" s="30">
        <v>72.016000000000005</v>
      </c>
      <c r="S240" s="30">
        <v>0.441</v>
      </c>
      <c r="T240" s="30">
        <v>0.441</v>
      </c>
      <c r="U240" s="30">
        <f t="shared" si="24"/>
        <v>960</v>
      </c>
      <c r="V240" s="30">
        <f t="shared" si="25"/>
        <v>1440</v>
      </c>
      <c r="W240" s="23"/>
      <c r="X240" s="30">
        <v>15.868</v>
      </c>
      <c r="Y240" s="30">
        <v>27.082930000000001</v>
      </c>
      <c r="Z240" s="53">
        <v>27.082930000000001</v>
      </c>
      <c r="AA240" s="54">
        <f t="shared" si="31"/>
        <v>44.686834500000003</v>
      </c>
      <c r="AB240" s="23"/>
      <c r="AC240" s="4">
        <v>365</v>
      </c>
      <c r="AD240" s="32">
        <f t="shared" si="27"/>
        <v>131.7893</v>
      </c>
      <c r="AE240" s="32">
        <f t="shared" si="28"/>
        <v>144.17600000000002</v>
      </c>
      <c r="AF240" s="32">
        <f t="shared" si="29"/>
        <v>260</v>
      </c>
      <c r="AG240" s="32">
        <f t="shared" si="29"/>
        <v>643.49</v>
      </c>
      <c r="AH240" s="78"/>
      <c r="AI240" s="78"/>
      <c r="AJ240" s="55">
        <f t="shared" si="30"/>
        <v>1179.4553000000001</v>
      </c>
      <c r="AK240" s="32"/>
      <c r="AL240" s="33"/>
      <c r="AM240" s="23"/>
    </row>
    <row r="241" spans="1:39" ht="15.6" x14ac:dyDescent="0.3">
      <c r="A241" s="64"/>
      <c r="B241" s="64"/>
      <c r="C241" s="5" t="s">
        <v>559</v>
      </c>
      <c r="D241" s="5" t="s">
        <v>120</v>
      </c>
      <c r="E241" s="7" t="s">
        <v>0</v>
      </c>
      <c r="F241" s="5"/>
      <c r="G241" s="23"/>
      <c r="H241" s="10">
        <v>951</v>
      </c>
      <c r="I241" s="10">
        <v>1714</v>
      </c>
      <c r="J241" s="10">
        <v>1361</v>
      </c>
      <c r="K241" s="10">
        <v>1270</v>
      </c>
      <c r="L241" s="10">
        <v>1041</v>
      </c>
      <c r="M241" s="10">
        <v>615</v>
      </c>
      <c r="N241" s="9" cm="1">
        <f t="array" ref="N241">SUM((H241:L241)/5)</f>
        <v>1267.4000000000001</v>
      </c>
      <c r="O241" s="10">
        <v>1250</v>
      </c>
      <c r="P241" s="23"/>
      <c r="Q241" s="30">
        <v>49.828000000000003</v>
      </c>
      <c r="R241" s="30">
        <v>63.256999999999998</v>
      </c>
      <c r="S241" s="30">
        <v>0.441</v>
      </c>
      <c r="T241" s="30">
        <v>0.441</v>
      </c>
      <c r="U241" s="30">
        <f t="shared" si="24"/>
        <v>500</v>
      </c>
      <c r="V241" s="30">
        <f t="shared" si="25"/>
        <v>750</v>
      </c>
      <c r="W241" s="23"/>
      <c r="X241" s="30">
        <v>15.061999999999999</v>
      </c>
      <c r="Y241" s="30">
        <v>26.506599999999999</v>
      </c>
      <c r="Z241" s="53">
        <v>26.506599999999999</v>
      </c>
      <c r="AA241" s="54">
        <f t="shared" si="31"/>
        <v>43.735889999999998</v>
      </c>
      <c r="AB241" s="23"/>
      <c r="AC241" s="4">
        <v>365</v>
      </c>
      <c r="AD241" s="32">
        <f t="shared" si="27"/>
        <v>115.7603</v>
      </c>
      <c r="AE241" s="32">
        <f t="shared" si="28"/>
        <v>126.64049999999999</v>
      </c>
      <c r="AF241" s="32">
        <f t="shared" si="29"/>
        <v>132.53</v>
      </c>
      <c r="AG241" s="32">
        <f t="shared" si="29"/>
        <v>328.02</v>
      </c>
      <c r="AH241" s="78"/>
      <c r="AI241" s="78"/>
      <c r="AJ241" s="55">
        <f t="shared" si="30"/>
        <v>702.95079999999996</v>
      </c>
      <c r="AK241" s="32"/>
      <c r="AL241" s="33"/>
      <c r="AM241" s="23"/>
    </row>
    <row r="242" spans="1:39" ht="15.6" x14ac:dyDescent="0.3">
      <c r="A242" s="64"/>
      <c r="B242" s="64"/>
      <c r="C242" s="5" t="s">
        <v>559</v>
      </c>
      <c r="D242" s="5" t="s">
        <v>120</v>
      </c>
      <c r="E242" s="7" t="s">
        <v>0</v>
      </c>
      <c r="F242" s="5"/>
      <c r="G242" s="23"/>
      <c r="H242" s="10">
        <v>581</v>
      </c>
      <c r="I242" s="10">
        <v>537</v>
      </c>
      <c r="J242" s="10">
        <v>542</v>
      </c>
      <c r="K242" s="10">
        <v>396</v>
      </c>
      <c r="L242" s="10">
        <v>310</v>
      </c>
      <c r="M242" s="10">
        <v>119</v>
      </c>
      <c r="N242" s="9" cm="1">
        <f t="array" ref="N242">SUM((H242:L242)/5)</f>
        <v>473.2</v>
      </c>
      <c r="O242" s="10">
        <v>470</v>
      </c>
      <c r="P242" s="23"/>
      <c r="Q242" s="30">
        <v>49.308</v>
      </c>
      <c r="R242" s="30">
        <v>72.016000000000005</v>
      </c>
      <c r="S242" s="30">
        <v>0.441</v>
      </c>
      <c r="T242" s="30">
        <v>0.441</v>
      </c>
      <c r="U242" s="30">
        <f t="shared" ref="U242:U305" si="32">IF(E242="Gas",O242*R237,O242*$R$4)</f>
        <v>188</v>
      </c>
      <c r="V242" s="30">
        <f t="shared" ref="V242:V305" si="33">IF(E242="Gas",O242*T237,O242*$T$4)</f>
        <v>282</v>
      </c>
      <c r="W242" s="23"/>
      <c r="X242" s="30">
        <v>15.868</v>
      </c>
      <c r="Y242" s="30">
        <v>27.083179999999999</v>
      </c>
      <c r="Z242" s="53">
        <v>27.083179999999999</v>
      </c>
      <c r="AA242" s="54">
        <f t="shared" si="31"/>
        <v>44.687246999999999</v>
      </c>
      <c r="AB242" s="23"/>
      <c r="AC242" s="4">
        <v>365</v>
      </c>
      <c r="AD242" s="32">
        <f t="shared" ref="AD242:AD305" si="34">ROUND(R242*183,2)/100</f>
        <v>131.7893</v>
      </c>
      <c r="AE242" s="32">
        <f t="shared" ref="AE242:AE305" si="35">ROUND((R242+R242*$AE$4)*(365-183),2)/100</f>
        <v>144.17600000000002</v>
      </c>
      <c r="AF242" s="32">
        <f t="shared" ref="AF242:AG305" si="36">ROUND((U242*Z242)/100,2)</f>
        <v>50.92</v>
      </c>
      <c r="AG242" s="32">
        <f t="shared" si="36"/>
        <v>126.02</v>
      </c>
      <c r="AH242" s="78"/>
      <c r="AI242" s="78"/>
      <c r="AJ242" s="55">
        <f t="shared" ref="AJ242:AJ305" si="37">SUM(AD242:AG242)</f>
        <v>452.90530000000001</v>
      </c>
      <c r="AK242" s="32"/>
      <c r="AL242" s="33"/>
      <c r="AM242" s="23"/>
    </row>
    <row r="243" spans="1:39" ht="15.6" x14ac:dyDescent="0.3">
      <c r="A243" s="64"/>
      <c r="B243" s="64"/>
      <c r="C243" s="5" t="s">
        <v>559</v>
      </c>
      <c r="D243" s="5" t="s">
        <v>120</v>
      </c>
      <c r="E243" s="7" t="s">
        <v>0</v>
      </c>
      <c r="F243" s="5"/>
      <c r="G243" s="23"/>
      <c r="H243" s="10">
        <v>227</v>
      </c>
      <c r="I243" s="10">
        <v>222</v>
      </c>
      <c r="J243" s="10">
        <v>254</v>
      </c>
      <c r="K243" s="10">
        <v>199</v>
      </c>
      <c r="L243" s="10">
        <v>84</v>
      </c>
      <c r="M243" s="10">
        <v>56</v>
      </c>
      <c r="N243" s="9" cm="1">
        <f t="array" ref="N243">SUM((H243:L243)/5)</f>
        <v>197.2</v>
      </c>
      <c r="O243" s="10">
        <v>190</v>
      </c>
      <c r="P243" s="23"/>
      <c r="Q243" s="30">
        <v>49.828000000000003</v>
      </c>
      <c r="R243" s="30">
        <v>63.256999999999998</v>
      </c>
      <c r="S243" s="30">
        <v>0.441</v>
      </c>
      <c r="T243" s="30">
        <v>0.441</v>
      </c>
      <c r="U243" s="30">
        <f t="shared" si="32"/>
        <v>76</v>
      </c>
      <c r="V243" s="30">
        <f t="shared" si="33"/>
        <v>114</v>
      </c>
      <c r="W243" s="23"/>
      <c r="X243" s="30">
        <v>15.061999999999999</v>
      </c>
      <c r="Y243" s="30">
        <v>26.504940000000001</v>
      </c>
      <c r="Z243" s="53">
        <v>26.504940000000001</v>
      </c>
      <c r="AA243" s="54">
        <f t="shared" si="31"/>
        <v>43.733151000000007</v>
      </c>
      <c r="AB243" s="23"/>
      <c r="AC243" s="4">
        <v>365</v>
      </c>
      <c r="AD243" s="32">
        <f t="shared" si="34"/>
        <v>115.7603</v>
      </c>
      <c r="AE243" s="32">
        <f t="shared" si="35"/>
        <v>126.64049999999999</v>
      </c>
      <c r="AF243" s="32">
        <f t="shared" si="36"/>
        <v>20.14</v>
      </c>
      <c r="AG243" s="32">
        <f t="shared" si="36"/>
        <v>49.86</v>
      </c>
      <c r="AH243" s="78"/>
      <c r="AI243" s="78"/>
      <c r="AJ243" s="55">
        <f t="shared" si="37"/>
        <v>312.4008</v>
      </c>
      <c r="AK243" s="32"/>
      <c r="AL243" s="33"/>
      <c r="AM243" s="23"/>
    </row>
    <row r="244" spans="1:39" ht="15.6" x14ac:dyDescent="0.3">
      <c r="A244" s="64"/>
      <c r="B244" s="64"/>
      <c r="C244" s="5" t="s">
        <v>559</v>
      </c>
      <c r="D244" s="5" t="s">
        <v>120</v>
      </c>
      <c r="E244" s="7" t="s">
        <v>0</v>
      </c>
      <c r="F244" s="5"/>
      <c r="G244" s="23"/>
      <c r="H244" s="10">
        <v>324</v>
      </c>
      <c r="I244" s="10">
        <v>281</v>
      </c>
      <c r="J244" s="10">
        <v>250</v>
      </c>
      <c r="K244" s="10">
        <v>384</v>
      </c>
      <c r="L244" s="10">
        <v>512</v>
      </c>
      <c r="M244" s="10">
        <v>273</v>
      </c>
      <c r="N244" s="9" cm="1">
        <f t="array" ref="N244">SUM((H244:L244)/5)</f>
        <v>350.20000000000005</v>
      </c>
      <c r="O244" s="10">
        <v>400</v>
      </c>
      <c r="P244" s="23"/>
      <c r="Q244" s="30">
        <v>49.308</v>
      </c>
      <c r="R244" s="30">
        <v>72.016000000000005</v>
      </c>
      <c r="S244" s="30">
        <v>0.441</v>
      </c>
      <c r="T244" s="30">
        <v>0.441</v>
      </c>
      <c r="U244" s="30">
        <f t="shared" si="32"/>
        <v>160</v>
      </c>
      <c r="V244" s="30">
        <f t="shared" si="33"/>
        <v>240</v>
      </c>
      <c r="W244" s="23"/>
      <c r="X244" s="30">
        <v>15.868</v>
      </c>
      <c r="Y244" s="30">
        <v>27.083290000000002</v>
      </c>
      <c r="Z244" s="53">
        <v>27.083290000000002</v>
      </c>
      <c r="AA244" s="54">
        <f t="shared" si="31"/>
        <v>44.687428500000003</v>
      </c>
      <c r="AB244" s="23"/>
      <c r="AC244" s="4">
        <v>365</v>
      </c>
      <c r="AD244" s="32">
        <f t="shared" si="34"/>
        <v>131.7893</v>
      </c>
      <c r="AE244" s="32">
        <f t="shared" si="35"/>
        <v>144.17600000000002</v>
      </c>
      <c r="AF244" s="32">
        <f t="shared" si="36"/>
        <v>43.33</v>
      </c>
      <c r="AG244" s="32">
        <f t="shared" si="36"/>
        <v>107.25</v>
      </c>
      <c r="AH244" s="78"/>
      <c r="AI244" s="78"/>
      <c r="AJ244" s="55">
        <f t="shared" si="37"/>
        <v>426.5453</v>
      </c>
      <c r="AK244" s="32"/>
      <c r="AL244" s="33"/>
      <c r="AM244" s="23"/>
    </row>
    <row r="245" spans="1:39" ht="15.6" x14ac:dyDescent="0.3">
      <c r="A245" s="64"/>
      <c r="B245" s="64"/>
      <c r="C245" s="5" t="s">
        <v>560</v>
      </c>
      <c r="D245" s="5" t="s">
        <v>120</v>
      </c>
      <c r="E245" s="7" t="s">
        <v>0</v>
      </c>
      <c r="F245" s="5"/>
      <c r="G245" s="23"/>
      <c r="H245" s="10">
        <v>976</v>
      </c>
      <c r="I245" s="10">
        <v>1048</v>
      </c>
      <c r="J245" s="10">
        <v>1662</v>
      </c>
      <c r="K245" s="10">
        <v>1671</v>
      </c>
      <c r="L245" s="10">
        <v>1423</v>
      </c>
      <c r="M245" s="10">
        <v>104</v>
      </c>
      <c r="N245" s="9" cm="1">
        <f t="array" ref="N245">SUM((H245:L245)/5)</f>
        <v>1356</v>
      </c>
      <c r="O245" s="10">
        <v>1550</v>
      </c>
      <c r="P245" s="23"/>
      <c r="Q245" s="30">
        <v>49.308</v>
      </c>
      <c r="R245" s="30">
        <v>72.016000000000005</v>
      </c>
      <c r="S245" s="30">
        <v>0.441</v>
      </c>
      <c r="T245" s="30">
        <v>0.441</v>
      </c>
      <c r="U245" s="30">
        <f t="shared" si="32"/>
        <v>620</v>
      </c>
      <c r="V245" s="30">
        <f t="shared" si="33"/>
        <v>930</v>
      </c>
      <c r="W245" s="23"/>
      <c r="X245" s="30">
        <v>15.868</v>
      </c>
      <c r="Y245" s="30">
        <v>27.082719999999998</v>
      </c>
      <c r="Z245" s="53">
        <v>27.082719999999998</v>
      </c>
      <c r="AA245" s="54">
        <f t="shared" si="31"/>
        <v>44.686487999999997</v>
      </c>
      <c r="AB245" s="23"/>
      <c r="AC245" s="4">
        <v>365</v>
      </c>
      <c r="AD245" s="32">
        <f t="shared" si="34"/>
        <v>131.7893</v>
      </c>
      <c r="AE245" s="32">
        <f t="shared" si="35"/>
        <v>144.17600000000002</v>
      </c>
      <c r="AF245" s="32">
        <f t="shared" si="36"/>
        <v>167.91</v>
      </c>
      <c r="AG245" s="32">
        <f t="shared" si="36"/>
        <v>415.58</v>
      </c>
      <c r="AH245" s="78"/>
      <c r="AI245" s="78"/>
      <c r="AJ245" s="55">
        <f t="shared" si="37"/>
        <v>859.45530000000008</v>
      </c>
      <c r="AK245" s="32"/>
      <c r="AL245" s="33"/>
      <c r="AM245" s="23"/>
    </row>
    <row r="246" spans="1:39" ht="15.6" x14ac:dyDescent="0.3">
      <c r="A246" s="64"/>
      <c r="B246" s="64"/>
      <c r="C246" s="5" t="s">
        <v>561</v>
      </c>
      <c r="D246" s="5" t="s">
        <v>120</v>
      </c>
      <c r="E246" s="7" t="s">
        <v>0</v>
      </c>
      <c r="F246" s="5"/>
      <c r="G246" s="23"/>
      <c r="H246" s="10">
        <v>630</v>
      </c>
      <c r="I246" s="10">
        <v>616</v>
      </c>
      <c r="J246" s="10">
        <v>587</v>
      </c>
      <c r="K246" s="10">
        <v>626</v>
      </c>
      <c r="L246" s="10">
        <v>507</v>
      </c>
      <c r="M246" s="10">
        <v>291</v>
      </c>
      <c r="N246" s="9" cm="1">
        <f t="array" ref="N246">SUM((H246:L246)/5)</f>
        <v>593.20000000000005</v>
      </c>
      <c r="O246" s="10">
        <v>590</v>
      </c>
      <c r="P246" s="23"/>
      <c r="Q246" s="30">
        <v>49.308</v>
      </c>
      <c r="R246" s="30">
        <v>72.016000000000005</v>
      </c>
      <c r="S246" s="30">
        <v>0.441</v>
      </c>
      <c r="T246" s="30">
        <v>0.441</v>
      </c>
      <c r="U246" s="30">
        <f t="shared" si="32"/>
        <v>236</v>
      </c>
      <c r="V246" s="30">
        <f t="shared" si="33"/>
        <v>354</v>
      </c>
      <c r="W246" s="23"/>
      <c r="X246" s="30">
        <v>15.868</v>
      </c>
      <c r="Y246" s="30">
        <v>27.082260000000002</v>
      </c>
      <c r="Z246" s="53">
        <v>27.082260000000002</v>
      </c>
      <c r="AA246" s="54">
        <f t="shared" si="31"/>
        <v>44.685729000000002</v>
      </c>
      <c r="AB246" s="23"/>
      <c r="AC246" s="4">
        <v>365</v>
      </c>
      <c r="AD246" s="32">
        <f t="shared" si="34"/>
        <v>131.7893</v>
      </c>
      <c r="AE246" s="32">
        <f t="shared" si="35"/>
        <v>144.17600000000002</v>
      </c>
      <c r="AF246" s="32">
        <f t="shared" si="36"/>
        <v>63.91</v>
      </c>
      <c r="AG246" s="32">
        <f t="shared" si="36"/>
        <v>158.19</v>
      </c>
      <c r="AH246" s="78"/>
      <c r="AI246" s="78"/>
      <c r="AJ246" s="55">
        <f t="shared" si="37"/>
        <v>498.06530000000004</v>
      </c>
      <c r="AK246" s="32"/>
      <c r="AL246" s="33"/>
      <c r="AM246" s="23"/>
    </row>
    <row r="247" spans="1:39" ht="15.6" x14ac:dyDescent="0.3">
      <c r="A247" s="64"/>
      <c r="B247" s="64"/>
      <c r="C247" s="5" t="s">
        <v>562</v>
      </c>
      <c r="D247" s="5" t="s">
        <v>120</v>
      </c>
      <c r="E247" s="7" t="s">
        <v>0</v>
      </c>
      <c r="F247" s="5"/>
      <c r="G247" s="23"/>
      <c r="H247" s="10">
        <v>591</v>
      </c>
      <c r="I247" s="10">
        <v>704</v>
      </c>
      <c r="J247" s="10">
        <v>510</v>
      </c>
      <c r="K247" s="10">
        <v>711</v>
      </c>
      <c r="L247" s="10">
        <v>750</v>
      </c>
      <c r="M247" s="10">
        <v>434</v>
      </c>
      <c r="N247" s="9" cm="1">
        <f t="array" ref="N247">SUM((H247:L247)/5)</f>
        <v>653.20000000000005</v>
      </c>
      <c r="O247" s="10">
        <v>700</v>
      </c>
      <c r="P247" s="23"/>
      <c r="Q247" s="30">
        <v>49.308</v>
      </c>
      <c r="R247" s="30">
        <v>72.016000000000005</v>
      </c>
      <c r="S247" s="30">
        <v>0.441</v>
      </c>
      <c r="T247" s="30">
        <v>0.441</v>
      </c>
      <c r="U247" s="30">
        <f t="shared" si="32"/>
        <v>280</v>
      </c>
      <c r="V247" s="30">
        <f t="shared" si="33"/>
        <v>420</v>
      </c>
      <c r="W247" s="23"/>
      <c r="X247" s="30">
        <v>15.868</v>
      </c>
      <c r="Y247" s="30">
        <v>27.082940000000001</v>
      </c>
      <c r="Z247" s="53">
        <v>27.082940000000001</v>
      </c>
      <c r="AA247" s="54">
        <f t="shared" si="31"/>
        <v>44.686851000000004</v>
      </c>
      <c r="AB247" s="23"/>
      <c r="AC247" s="4">
        <v>365</v>
      </c>
      <c r="AD247" s="32">
        <f t="shared" si="34"/>
        <v>131.7893</v>
      </c>
      <c r="AE247" s="32">
        <f t="shared" si="35"/>
        <v>144.17600000000002</v>
      </c>
      <c r="AF247" s="32">
        <f t="shared" si="36"/>
        <v>75.83</v>
      </c>
      <c r="AG247" s="32">
        <f t="shared" si="36"/>
        <v>187.68</v>
      </c>
      <c r="AH247" s="78"/>
      <c r="AI247" s="78"/>
      <c r="AJ247" s="55">
        <f t="shared" si="37"/>
        <v>539.47530000000006</v>
      </c>
      <c r="AK247" s="32"/>
      <c r="AL247" s="33"/>
      <c r="AM247" s="23"/>
    </row>
    <row r="248" spans="1:39" ht="15.6" x14ac:dyDescent="0.3">
      <c r="A248" s="64"/>
      <c r="B248" s="64"/>
      <c r="C248" s="5" t="s">
        <v>562</v>
      </c>
      <c r="D248" s="5" t="s">
        <v>120</v>
      </c>
      <c r="E248" s="7" t="s">
        <v>0</v>
      </c>
      <c r="F248" s="5"/>
      <c r="G248" s="23"/>
      <c r="H248" s="10">
        <v>2444</v>
      </c>
      <c r="I248" s="10">
        <v>2425</v>
      </c>
      <c r="J248" s="10">
        <v>2442</v>
      </c>
      <c r="K248" s="10">
        <v>2427</v>
      </c>
      <c r="L248" s="10">
        <v>2521</v>
      </c>
      <c r="M248" s="10">
        <v>1031</v>
      </c>
      <c r="N248" s="9" cm="1">
        <f t="array" ref="N248">SUM((H248:L248)/5)</f>
        <v>2451.7999999999997</v>
      </c>
      <c r="O248" s="10">
        <v>2350</v>
      </c>
      <c r="P248" s="23"/>
      <c r="Q248" s="30">
        <v>49.308</v>
      </c>
      <c r="R248" s="30">
        <v>72.016000000000005</v>
      </c>
      <c r="S248" s="30">
        <v>0.441</v>
      </c>
      <c r="T248" s="30">
        <v>0.441</v>
      </c>
      <c r="U248" s="30">
        <f t="shared" si="32"/>
        <v>940</v>
      </c>
      <c r="V248" s="30">
        <f t="shared" si="33"/>
        <v>1410</v>
      </c>
      <c r="W248" s="23"/>
      <c r="X248" s="30">
        <v>15.868</v>
      </c>
      <c r="Y248" s="30">
        <v>27.0822</v>
      </c>
      <c r="Z248" s="53">
        <v>27.0822</v>
      </c>
      <c r="AA248" s="54">
        <f t="shared" si="31"/>
        <v>44.685630000000003</v>
      </c>
      <c r="AB248" s="23"/>
      <c r="AC248" s="4">
        <v>365</v>
      </c>
      <c r="AD248" s="32">
        <f t="shared" si="34"/>
        <v>131.7893</v>
      </c>
      <c r="AE248" s="32">
        <f t="shared" si="35"/>
        <v>144.17600000000002</v>
      </c>
      <c r="AF248" s="32">
        <f t="shared" si="36"/>
        <v>254.57</v>
      </c>
      <c r="AG248" s="32">
        <f t="shared" si="36"/>
        <v>630.07000000000005</v>
      </c>
      <c r="AH248" s="78"/>
      <c r="AI248" s="78"/>
      <c r="AJ248" s="55">
        <f t="shared" si="37"/>
        <v>1160.6053000000002</v>
      </c>
      <c r="AK248" s="32"/>
      <c r="AL248" s="33"/>
      <c r="AM248" s="23"/>
    </row>
    <row r="249" spans="1:39" ht="15.6" x14ac:dyDescent="0.3">
      <c r="A249" s="64"/>
      <c r="B249" s="64"/>
      <c r="C249" s="5" t="s">
        <v>563</v>
      </c>
      <c r="D249" s="5" t="s">
        <v>120</v>
      </c>
      <c r="E249" s="7" t="s">
        <v>0</v>
      </c>
      <c r="F249" s="5"/>
      <c r="G249" s="23"/>
      <c r="H249" s="10">
        <v>772</v>
      </c>
      <c r="I249" s="10">
        <v>1015</v>
      </c>
      <c r="J249" s="10">
        <v>911</v>
      </c>
      <c r="K249" s="10">
        <v>707</v>
      </c>
      <c r="L249" s="10">
        <v>506</v>
      </c>
      <c r="M249" s="10">
        <v>313</v>
      </c>
      <c r="N249" s="9" cm="1">
        <f t="array" ref="N249">SUM((H249:L249)/5)</f>
        <v>782.19999999999993</v>
      </c>
      <c r="O249" s="10">
        <v>770</v>
      </c>
      <c r="P249" s="23"/>
      <c r="Q249" s="30">
        <v>49.308</v>
      </c>
      <c r="R249" s="30">
        <v>72.016000000000005</v>
      </c>
      <c r="S249" s="30">
        <v>0.441</v>
      </c>
      <c r="T249" s="30">
        <v>0.441</v>
      </c>
      <c r="U249" s="30">
        <f t="shared" si="32"/>
        <v>308</v>
      </c>
      <c r="V249" s="30">
        <f t="shared" si="33"/>
        <v>462</v>
      </c>
      <c r="W249" s="23"/>
      <c r="X249" s="30">
        <v>15.868</v>
      </c>
      <c r="Y249" s="30">
        <v>27.083020000000001</v>
      </c>
      <c r="Z249" s="53">
        <v>27.083020000000001</v>
      </c>
      <c r="AA249" s="54">
        <f t="shared" si="31"/>
        <v>44.686982999999998</v>
      </c>
      <c r="AB249" s="23"/>
      <c r="AC249" s="4">
        <v>365</v>
      </c>
      <c r="AD249" s="32">
        <f t="shared" si="34"/>
        <v>131.7893</v>
      </c>
      <c r="AE249" s="32">
        <f t="shared" si="35"/>
        <v>144.17600000000002</v>
      </c>
      <c r="AF249" s="32">
        <f t="shared" si="36"/>
        <v>83.42</v>
      </c>
      <c r="AG249" s="32">
        <f t="shared" si="36"/>
        <v>206.45</v>
      </c>
      <c r="AH249" s="78"/>
      <c r="AI249" s="78"/>
      <c r="AJ249" s="55">
        <f t="shared" si="37"/>
        <v>565.83529999999996</v>
      </c>
      <c r="AK249" s="32"/>
      <c r="AL249" s="33"/>
      <c r="AM249" s="23"/>
    </row>
    <row r="250" spans="1:39" ht="15.6" x14ac:dyDescent="0.3">
      <c r="A250" s="64"/>
      <c r="B250" s="64"/>
      <c r="C250" s="5" t="s">
        <v>562</v>
      </c>
      <c r="D250" s="5" t="s">
        <v>120</v>
      </c>
      <c r="E250" s="7" t="s">
        <v>0</v>
      </c>
      <c r="F250" s="5"/>
      <c r="G250" s="23"/>
      <c r="H250" s="10">
        <v>971</v>
      </c>
      <c r="I250" s="10">
        <v>1065</v>
      </c>
      <c r="J250" s="10">
        <v>1194</v>
      </c>
      <c r="K250" s="10">
        <v>1054</v>
      </c>
      <c r="L250" s="10">
        <v>704</v>
      </c>
      <c r="M250" s="10">
        <v>55</v>
      </c>
      <c r="N250" s="9" cm="1">
        <f t="array" ref="N250">SUM((H250:L250)/5)</f>
        <v>997.59999999999991</v>
      </c>
      <c r="O250" s="10">
        <v>950</v>
      </c>
      <c r="P250" s="23"/>
      <c r="Q250" s="30">
        <v>49.308</v>
      </c>
      <c r="R250" s="30">
        <v>72.016000000000005</v>
      </c>
      <c r="S250" s="30">
        <v>0.441</v>
      </c>
      <c r="T250" s="30">
        <v>0.441</v>
      </c>
      <c r="U250" s="30">
        <f t="shared" si="32"/>
        <v>380</v>
      </c>
      <c r="V250" s="30">
        <f t="shared" si="33"/>
        <v>570</v>
      </c>
      <c r="W250" s="23"/>
      <c r="X250" s="30">
        <v>15.868</v>
      </c>
      <c r="Y250" s="30">
        <v>27.083020000000001</v>
      </c>
      <c r="Z250" s="53">
        <v>27.083020000000001</v>
      </c>
      <c r="AA250" s="54">
        <f t="shared" si="31"/>
        <v>44.686982999999998</v>
      </c>
      <c r="AB250" s="23"/>
      <c r="AC250" s="4">
        <v>365</v>
      </c>
      <c r="AD250" s="32">
        <f t="shared" si="34"/>
        <v>131.7893</v>
      </c>
      <c r="AE250" s="32">
        <f t="shared" si="35"/>
        <v>144.17600000000002</v>
      </c>
      <c r="AF250" s="32">
        <f t="shared" si="36"/>
        <v>102.92</v>
      </c>
      <c r="AG250" s="32">
        <f t="shared" si="36"/>
        <v>254.72</v>
      </c>
      <c r="AH250" s="78"/>
      <c r="AI250" s="78"/>
      <c r="AJ250" s="55">
        <f t="shared" si="37"/>
        <v>633.60530000000006</v>
      </c>
      <c r="AK250" s="32"/>
      <c r="AL250" s="33"/>
      <c r="AM250" s="23"/>
    </row>
    <row r="251" spans="1:39" ht="15.6" x14ac:dyDescent="0.3">
      <c r="A251" s="64"/>
      <c r="B251" s="64"/>
      <c r="C251" s="5" t="s">
        <v>667</v>
      </c>
      <c r="D251" s="5" t="s">
        <v>120</v>
      </c>
      <c r="E251" s="7" t="s">
        <v>0</v>
      </c>
      <c r="F251" s="5"/>
      <c r="G251" s="23"/>
      <c r="H251" s="10">
        <v>2407</v>
      </c>
      <c r="I251" s="10">
        <v>2095</v>
      </c>
      <c r="J251" s="10">
        <v>2049</v>
      </c>
      <c r="K251" s="10">
        <v>2072</v>
      </c>
      <c r="L251" s="10">
        <v>1489</v>
      </c>
      <c r="M251" s="10">
        <v>89</v>
      </c>
      <c r="N251" s="9" cm="1">
        <f t="array" ref="N251">SUM((H251:L251)/5)</f>
        <v>2022.3999999999999</v>
      </c>
      <c r="O251" s="10">
        <v>2050</v>
      </c>
      <c r="P251" s="23"/>
      <c r="Q251" s="30">
        <v>49.308</v>
      </c>
      <c r="R251" s="30">
        <v>72.016000000000005</v>
      </c>
      <c r="S251" s="30">
        <v>0.441</v>
      </c>
      <c r="T251" s="30">
        <v>0.441</v>
      </c>
      <c r="U251" s="30">
        <f t="shared" si="32"/>
        <v>820</v>
      </c>
      <c r="V251" s="30">
        <f t="shared" si="33"/>
        <v>1230</v>
      </c>
      <c r="W251" s="23"/>
      <c r="X251" s="30">
        <v>15.868</v>
      </c>
      <c r="Y251" s="30">
        <v>27.082850000000001</v>
      </c>
      <c r="Z251" s="53">
        <v>27.082850000000001</v>
      </c>
      <c r="AA251" s="54">
        <f t="shared" si="31"/>
        <v>44.686702500000003</v>
      </c>
      <c r="AB251" s="23"/>
      <c r="AC251" s="4">
        <v>365</v>
      </c>
      <c r="AD251" s="32">
        <f t="shared" si="34"/>
        <v>131.7893</v>
      </c>
      <c r="AE251" s="32">
        <f t="shared" si="35"/>
        <v>144.17600000000002</v>
      </c>
      <c r="AF251" s="32">
        <f t="shared" si="36"/>
        <v>222.08</v>
      </c>
      <c r="AG251" s="32">
        <f t="shared" si="36"/>
        <v>549.65</v>
      </c>
      <c r="AH251" s="78"/>
      <c r="AI251" s="78"/>
      <c r="AJ251" s="55">
        <f t="shared" si="37"/>
        <v>1047.6952999999999</v>
      </c>
      <c r="AK251" s="32"/>
      <c r="AL251" s="33"/>
      <c r="AM251" s="23"/>
    </row>
    <row r="252" spans="1:39" ht="15.6" x14ac:dyDescent="0.3">
      <c r="A252" s="64"/>
      <c r="B252" s="64"/>
      <c r="C252" s="5" t="s">
        <v>668</v>
      </c>
      <c r="D252" s="5" t="s">
        <v>120</v>
      </c>
      <c r="E252" s="7" t="s">
        <v>0</v>
      </c>
      <c r="F252" s="5"/>
      <c r="G252" s="23"/>
      <c r="H252" s="10">
        <v>1051</v>
      </c>
      <c r="I252" s="10">
        <v>1335</v>
      </c>
      <c r="J252" s="10">
        <v>595</v>
      </c>
      <c r="K252" s="10">
        <v>1108</v>
      </c>
      <c r="L252" s="10">
        <v>940</v>
      </c>
      <c r="M252" s="10">
        <v>617</v>
      </c>
      <c r="N252" s="9" cm="1">
        <f t="array" ref="N252">SUM((H252:L252)/5)</f>
        <v>1005.8000000000001</v>
      </c>
      <c r="O252" s="10">
        <v>1100</v>
      </c>
      <c r="P252" s="23"/>
      <c r="Q252" s="30">
        <v>49.308</v>
      </c>
      <c r="R252" s="30">
        <v>72.016000000000005</v>
      </c>
      <c r="S252" s="30">
        <v>0.441</v>
      </c>
      <c r="T252" s="30">
        <v>0.441</v>
      </c>
      <c r="U252" s="30">
        <f t="shared" si="32"/>
        <v>440</v>
      </c>
      <c r="V252" s="30">
        <f t="shared" si="33"/>
        <v>660</v>
      </c>
      <c r="W252" s="23"/>
      <c r="X252" s="30">
        <v>15.868</v>
      </c>
      <c r="Y252" s="30">
        <v>27.082519999999999</v>
      </c>
      <c r="Z252" s="53">
        <v>27.082519999999999</v>
      </c>
      <c r="AA252" s="54">
        <f t="shared" si="31"/>
        <v>44.686157999999999</v>
      </c>
      <c r="AB252" s="23"/>
      <c r="AC252" s="4">
        <v>365</v>
      </c>
      <c r="AD252" s="32">
        <f t="shared" si="34"/>
        <v>131.7893</v>
      </c>
      <c r="AE252" s="32">
        <f t="shared" si="35"/>
        <v>144.17600000000002</v>
      </c>
      <c r="AF252" s="32">
        <f t="shared" si="36"/>
        <v>119.16</v>
      </c>
      <c r="AG252" s="32">
        <f t="shared" si="36"/>
        <v>294.93</v>
      </c>
      <c r="AH252" s="78"/>
      <c r="AI252" s="78"/>
      <c r="AJ252" s="55">
        <f t="shared" si="37"/>
        <v>690.05529999999999</v>
      </c>
      <c r="AK252" s="32"/>
      <c r="AL252" s="33"/>
      <c r="AM252" s="23"/>
    </row>
    <row r="253" spans="1:39" ht="15.6" x14ac:dyDescent="0.3">
      <c r="A253" s="64"/>
      <c r="B253" s="64"/>
      <c r="C253" s="5" t="s">
        <v>635</v>
      </c>
      <c r="D253" s="5" t="s">
        <v>120</v>
      </c>
      <c r="E253" s="7" t="s">
        <v>0</v>
      </c>
      <c r="F253" s="5"/>
      <c r="G253" s="23"/>
      <c r="H253" s="10">
        <v>1178</v>
      </c>
      <c r="I253" s="10">
        <v>1157</v>
      </c>
      <c r="J253" s="10">
        <v>1170</v>
      </c>
      <c r="K253" s="10">
        <v>1098</v>
      </c>
      <c r="L253" s="10">
        <v>1186</v>
      </c>
      <c r="M253" s="10">
        <v>479</v>
      </c>
      <c r="N253" s="9" cm="1">
        <f t="array" ref="N253">SUM((H253:L253)/5)</f>
        <v>1157.8</v>
      </c>
      <c r="O253" s="10">
        <v>1150</v>
      </c>
      <c r="P253" s="23"/>
      <c r="Q253" s="30">
        <v>49.308</v>
      </c>
      <c r="R253" s="30">
        <v>72.016000000000005</v>
      </c>
      <c r="S253" s="30">
        <v>0.441</v>
      </c>
      <c r="T253" s="30">
        <v>0.441</v>
      </c>
      <c r="U253" s="30">
        <f t="shared" si="32"/>
        <v>460</v>
      </c>
      <c r="V253" s="30">
        <f t="shared" si="33"/>
        <v>690</v>
      </c>
      <c r="W253" s="23"/>
      <c r="X253" s="30">
        <v>15.868</v>
      </c>
      <c r="Y253" s="30">
        <v>27.082840000000001</v>
      </c>
      <c r="Z253" s="53">
        <v>27.082840000000001</v>
      </c>
      <c r="AA253" s="54">
        <f t="shared" si="31"/>
        <v>44.686686000000002</v>
      </c>
      <c r="AB253" s="23"/>
      <c r="AC253" s="4">
        <v>365</v>
      </c>
      <c r="AD253" s="32">
        <f t="shared" si="34"/>
        <v>131.7893</v>
      </c>
      <c r="AE253" s="32">
        <f t="shared" si="35"/>
        <v>144.17600000000002</v>
      </c>
      <c r="AF253" s="32">
        <f t="shared" si="36"/>
        <v>124.58</v>
      </c>
      <c r="AG253" s="32">
        <f t="shared" si="36"/>
        <v>308.33999999999997</v>
      </c>
      <c r="AH253" s="78"/>
      <c r="AI253" s="78"/>
      <c r="AJ253" s="55">
        <f t="shared" si="37"/>
        <v>708.88529999999992</v>
      </c>
      <c r="AK253" s="32"/>
      <c r="AL253" s="33"/>
      <c r="AM253" s="23"/>
    </row>
    <row r="254" spans="1:39" ht="15.6" x14ac:dyDescent="0.3">
      <c r="A254" s="64"/>
      <c r="B254" s="64"/>
      <c r="C254" s="5" t="s">
        <v>669</v>
      </c>
      <c r="D254" s="5" t="s">
        <v>120</v>
      </c>
      <c r="E254" s="7" t="s">
        <v>0</v>
      </c>
      <c r="F254" s="5"/>
      <c r="G254" s="23"/>
      <c r="H254" s="10">
        <v>1121</v>
      </c>
      <c r="I254" s="10">
        <v>740</v>
      </c>
      <c r="J254" s="10">
        <v>1152</v>
      </c>
      <c r="K254" s="10">
        <v>1018</v>
      </c>
      <c r="L254" s="10">
        <v>703</v>
      </c>
      <c r="M254" s="10">
        <v>39</v>
      </c>
      <c r="N254" s="9" cm="1">
        <f t="array" ref="N254">SUM((H254:L254)/5)</f>
        <v>946.80000000000007</v>
      </c>
      <c r="O254" s="10">
        <v>950</v>
      </c>
      <c r="P254" s="23"/>
      <c r="Q254" s="30">
        <v>49.308</v>
      </c>
      <c r="R254" s="30">
        <v>72.016000000000005</v>
      </c>
      <c r="S254" s="30">
        <v>0.441</v>
      </c>
      <c r="T254" s="30">
        <v>0.441</v>
      </c>
      <c r="U254" s="30">
        <f t="shared" si="32"/>
        <v>380</v>
      </c>
      <c r="V254" s="30">
        <f t="shared" si="33"/>
        <v>570</v>
      </c>
      <c r="W254" s="23"/>
      <c r="X254" s="30">
        <v>15.868</v>
      </c>
      <c r="Y254" s="30">
        <v>27.08231</v>
      </c>
      <c r="Z254" s="53">
        <v>27.08231</v>
      </c>
      <c r="AA254" s="54">
        <f t="shared" si="31"/>
        <v>44.6858115</v>
      </c>
      <c r="AB254" s="23"/>
      <c r="AC254" s="4">
        <v>365</v>
      </c>
      <c r="AD254" s="32">
        <f t="shared" si="34"/>
        <v>131.7893</v>
      </c>
      <c r="AE254" s="32">
        <f t="shared" si="35"/>
        <v>144.17600000000002</v>
      </c>
      <c r="AF254" s="32">
        <f t="shared" si="36"/>
        <v>102.91</v>
      </c>
      <c r="AG254" s="32">
        <f t="shared" si="36"/>
        <v>254.71</v>
      </c>
      <c r="AH254" s="78"/>
      <c r="AI254" s="78"/>
      <c r="AJ254" s="55">
        <f t="shared" si="37"/>
        <v>633.58530000000007</v>
      </c>
      <c r="AK254" s="32"/>
      <c r="AL254" s="33"/>
      <c r="AM254" s="23"/>
    </row>
    <row r="255" spans="1:39" ht="15.6" x14ac:dyDescent="0.3">
      <c r="A255" s="64"/>
      <c r="B255" s="64"/>
      <c r="C255" s="5" t="s">
        <v>464</v>
      </c>
      <c r="D255" s="5" t="s">
        <v>120</v>
      </c>
      <c r="E255" s="7" t="s">
        <v>0</v>
      </c>
      <c r="F255" s="5"/>
      <c r="G255" s="23"/>
      <c r="H255" s="10">
        <v>2156</v>
      </c>
      <c r="I255" s="10">
        <v>3353</v>
      </c>
      <c r="J255" s="10">
        <v>2960</v>
      </c>
      <c r="K255" s="10">
        <v>3106</v>
      </c>
      <c r="L255" s="10">
        <v>3228</v>
      </c>
      <c r="M255" s="10">
        <v>71</v>
      </c>
      <c r="N255" s="9" cm="1">
        <f t="array" ref="N255">SUM((H255:L255)/5)</f>
        <v>2960.6</v>
      </c>
      <c r="O255" s="10">
        <v>3150</v>
      </c>
      <c r="P255" s="23"/>
      <c r="Q255" s="30">
        <v>49.828000000000003</v>
      </c>
      <c r="R255" s="30">
        <v>63.256999999999998</v>
      </c>
      <c r="S255" s="30">
        <v>0.441</v>
      </c>
      <c r="T255" s="30">
        <v>0.441</v>
      </c>
      <c r="U255" s="30">
        <f t="shared" si="32"/>
        <v>1260</v>
      </c>
      <c r="V255" s="30">
        <f t="shared" si="33"/>
        <v>1890</v>
      </c>
      <c r="W255" s="23"/>
      <c r="X255" s="30">
        <v>15.061999999999999</v>
      </c>
      <c r="Y255" s="30">
        <v>26.50609</v>
      </c>
      <c r="Z255" s="53">
        <v>26.50609</v>
      </c>
      <c r="AA255" s="54">
        <f t="shared" si="31"/>
        <v>43.735048500000005</v>
      </c>
      <c r="AB255" s="23"/>
      <c r="AC255" s="4">
        <v>365</v>
      </c>
      <c r="AD255" s="32">
        <f t="shared" si="34"/>
        <v>115.7603</v>
      </c>
      <c r="AE255" s="32">
        <f t="shared" si="35"/>
        <v>126.64049999999999</v>
      </c>
      <c r="AF255" s="32">
        <f t="shared" si="36"/>
        <v>333.98</v>
      </c>
      <c r="AG255" s="32">
        <f t="shared" si="36"/>
        <v>826.59</v>
      </c>
      <c r="AH255" s="78"/>
      <c r="AI255" s="78"/>
      <c r="AJ255" s="55">
        <f t="shared" si="37"/>
        <v>1402.9708000000001</v>
      </c>
      <c r="AK255" s="32"/>
      <c r="AL255" s="33"/>
      <c r="AM255" s="23"/>
    </row>
    <row r="256" spans="1:39" ht="45" x14ac:dyDescent="0.3">
      <c r="A256" s="64"/>
      <c r="B256" s="64"/>
      <c r="C256" s="5" t="s">
        <v>596</v>
      </c>
      <c r="D256" s="5" t="s">
        <v>120</v>
      </c>
      <c r="E256" s="7" t="s">
        <v>0</v>
      </c>
      <c r="F256" s="5"/>
      <c r="G256" s="23"/>
      <c r="H256" s="10">
        <v>2944</v>
      </c>
      <c r="I256" s="10">
        <v>3058</v>
      </c>
      <c r="J256" s="10">
        <v>2724</v>
      </c>
      <c r="K256" s="10">
        <v>3064</v>
      </c>
      <c r="L256" s="10">
        <v>2032</v>
      </c>
      <c r="M256" s="10">
        <v>1058</v>
      </c>
      <c r="N256" s="9" cm="1">
        <f t="array" ref="N256">SUM((H256:L256)/5)</f>
        <v>2764.4</v>
      </c>
      <c r="O256" s="10">
        <v>2760</v>
      </c>
      <c r="P256" s="23"/>
      <c r="Q256" s="30">
        <v>50.334000000000003</v>
      </c>
      <c r="R256" s="30">
        <v>63.256999999999998</v>
      </c>
      <c r="S256" s="30">
        <v>0.441</v>
      </c>
      <c r="T256" s="30">
        <v>0.441</v>
      </c>
      <c r="U256" s="30">
        <f t="shared" si="32"/>
        <v>1104</v>
      </c>
      <c r="V256" s="30">
        <f t="shared" si="33"/>
        <v>1656</v>
      </c>
      <c r="W256" s="23"/>
      <c r="X256" s="30" t="s">
        <v>238</v>
      </c>
      <c r="Y256" s="30" t="s">
        <v>244</v>
      </c>
      <c r="Z256" s="53">
        <f>SUM(27.4097+24.97966+25.2988)/3</f>
        <v>25.896053333333331</v>
      </c>
      <c r="AA256" s="54">
        <f t="shared" si="31"/>
        <v>42.728487999999999</v>
      </c>
      <c r="AB256" s="23"/>
      <c r="AC256" s="4">
        <v>365</v>
      </c>
      <c r="AD256" s="32">
        <f t="shared" si="34"/>
        <v>115.7603</v>
      </c>
      <c r="AE256" s="32">
        <f t="shared" si="35"/>
        <v>126.64049999999999</v>
      </c>
      <c r="AF256" s="32">
        <f t="shared" si="36"/>
        <v>285.89</v>
      </c>
      <c r="AG256" s="32">
        <f t="shared" si="36"/>
        <v>707.58</v>
      </c>
      <c r="AH256" s="78"/>
      <c r="AI256" s="78"/>
      <c r="AJ256" s="55">
        <f t="shared" si="37"/>
        <v>1235.8708000000001</v>
      </c>
      <c r="AK256" s="32"/>
      <c r="AL256" s="33"/>
      <c r="AM256" s="23"/>
    </row>
    <row r="257" spans="1:39" ht="15.6" x14ac:dyDescent="0.3">
      <c r="A257" s="64"/>
      <c r="B257" s="64"/>
      <c r="C257" s="5" t="s">
        <v>607</v>
      </c>
      <c r="D257" s="5" t="s">
        <v>120</v>
      </c>
      <c r="E257" s="7" t="s">
        <v>0</v>
      </c>
      <c r="F257" s="5"/>
      <c r="G257" s="23"/>
      <c r="H257" s="10">
        <v>130</v>
      </c>
      <c r="I257" s="10">
        <v>129</v>
      </c>
      <c r="J257" s="10">
        <v>128</v>
      </c>
      <c r="K257" s="10">
        <v>202</v>
      </c>
      <c r="L257" s="10">
        <v>299</v>
      </c>
      <c r="M257" s="10">
        <v>201</v>
      </c>
      <c r="N257" s="9" cm="1">
        <f t="array" ref="N257">SUM((H257:L257)/5)</f>
        <v>177.60000000000002</v>
      </c>
      <c r="O257" s="10">
        <v>250</v>
      </c>
      <c r="P257" s="23"/>
      <c r="Q257" s="30">
        <v>49.308</v>
      </c>
      <c r="R257" s="30">
        <v>72.016000000000005</v>
      </c>
      <c r="S257" s="30">
        <v>0.441</v>
      </c>
      <c r="T257" s="30">
        <v>0.441</v>
      </c>
      <c r="U257" s="30">
        <f t="shared" si="32"/>
        <v>100</v>
      </c>
      <c r="V257" s="30">
        <f t="shared" si="33"/>
        <v>150</v>
      </c>
      <c r="W257" s="23"/>
      <c r="X257" s="30">
        <v>15.868</v>
      </c>
      <c r="Y257" s="30">
        <v>27.0824</v>
      </c>
      <c r="Z257" s="53">
        <v>27.0824</v>
      </c>
      <c r="AA257" s="54">
        <f t="shared" si="31"/>
        <v>44.685960000000001</v>
      </c>
      <c r="AB257" s="23"/>
      <c r="AC257" s="4">
        <v>365</v>
      </c>
      <c r="AD257" s="32">
        <f t="shared" si="34"/>
        <v>131.7893</v>
      </c>
      <c r="AE257" s="32">
        <f t="shared" si="35"/>
        <v>144.17600000000002</v>
      </c>
      <c r="AF257" s="32">
        <f t="shared" si="36"/>
        <v>27.08</v>
      </c>
      <c r="AG257" s="32">
        <f t="shared" si="36"/>
        <v>67.03</v>
      </c>
      <c r="AH257" s="78"/>
      <c r="AI257" s="78"/>
      <c r="AJ257" s="55">
        <f t="shared" si="37"/>
        <v>370.07529999999997</v>
      </c>
      <c r="AK257" s="32"/>
      <c r="AL257" s="33"/>
      <c r="AM257" s="23"/>
    </row>
    <row r="258" spans="1:39" ht="15.6" x14ac:dyDescent="0.3">
      <c r="A258" s="64"/>
      <c r="B258" s="64"/>
      <c r="C258" s="5" t="s">
        <v>651</v>
      </c>
      <c r="D258" s="5" t="s">
        <v>120</v>
      </c>
      <c r="E258" s="7" t="s">
        <v>0</v>
      </c>
      <c r="F258" s="5"/>
      <c r="G258" s="23"/>
      <c r="H258" s="10">
        <v>584</v>
      </c>
      <c r="I258" s="10">
        <v>584</v>
      </c>
      <c r="J258" s="10">
        <v>596</v>
      </c>
      <c r="K258" s="10">
        <v>577</v>
      </c>
      <c r="L258" s="10">
        <v>439</v>
      </c>
      <c r="M258" s="10">
        <v>265</v>
      </c>
      <c r="N258" s="9" cm="1">
        <f t="array" ref="N258">SUM((H258:L258)/5)</f>
        <v>556</v>
      </c>
      <c r="O258" s="10">
        <v>550</v>
      </c>
      <c r="P258" s="23"/>
      <c r="Q258" s="30">
        <v>49.308</v>
      </c>
      <c r="R258" s="30">
        <v>72.016000000000005</v>
      </c>
      <c r="S258" s="30">
        <v>0.441</v>
      </c>
      <c r="T258" s="30">
        <v>0.441</v>
      </c>
      <c r="U258" s="30">
        <f t="shared" si="32"/>
        <v>220</v>
      </c>
      <c r="V258" s="30">
        <f t="shared" si="33"/>
        <v>330</v>
      </c>
      <c r="W258" s="23"/>
      <c r="X258" s="30">
        <v>15.868</v>
      </c>
      <c r="Y258" s="30">
        <v>27.083179999999999</v>
      </c>
      <c r="Z258" s="53">
        <v>27.083179999999999</v>
      </c>
      <c r="AA258" s="54">
        <f t="shared" si="31"/>
        <v>44.687246999999999</v>
      </c>
      <c r="AB258" s="23"/>
      <c r="AC258" s="4">
        <v>365</v>
      </c>
      <c r="AD258" s="32">
        <f t="shared" si="34"/>
        <v>131.7893</v>
      </c>
      <c r="AE258" s="32">
        <f t="shared" si="35"/>
        <v>144.17600000000002</v>
      </c>
      <c r="AF258" s="32">
        <f t="shared" si="36"/>
        <v>59.58</v>
      </c>
      <c r="AG258" s="32">
        <f t="shared" si="36"/>
        <v>147.47</v>
      </c>
      <c r="AH258" s="78"/>
      <c r="AI258" s="78"/>
      <c r="AJ258" s="55">
        <f t="shared" si="37"/>
        <v>483.01530000000002</v>
      </c>
      <c r="AK258" s="32"/>
      <c r="AL258" s="33"/>
      <c r="AM258" s="23"/>
    </row>
    <row r="259" spans="1:39" ht="30" x14ac:dyDescent="0.3">
      <c r="A259" s="64"/>
      <c r="B259" s="64"/>
      <c r="C259" s="5" t="s">
        <v>465</v>
      </c>
      <c r="D259" s="5" t="s">
        <v>120</v>
      </c>
      <c r="E259" s="7" t="s">
        <v>0</v>
      </c>
      <c r="F259" s="5"/>
      <c r="G259" s="23"/>
      <c r="H259" s="10">
        <v>429</v>
      </c>
      <c r="I259" s="10">
        <v>624</v>
      </c>
      <c r="J259" s="10">
        <v>770</v>
      </c>
      <c r="K259" s="10">
        <v>981</v>
      </c>
      <c r="L259" s="10">
        <v>916</v>
      </c>
      <c r="M259" s="10">
        <v>546</v>
      </c>
      <c r="N259" s="9" cm="1">
        <f t="array" ref="N259">SUM((H259:L259)/5)</f>
        <v>744</v>
      </c>
      <c r="O259" s="10">
        <v>940</v>
      </c>
      <c r="P259" s="23"/>
      <c r="Q259" s="30">
        <v>50.334000000000003</v>
      </c>
      <c r="R259" s="30">
        <v>63.256999999999998</v>
      </c>
      <c r="S259" s="30">
        <v>0.441</v>
      </c>
      <c r="T259" s="30">
        <v>0.441</v>
      </c>
      <c r="U259" s="30">
        <f t="shared" si="32"/>
        <v>376</v>
      </c>
      <c r="V259" s="30">
        <f t="shared" si="33"/>
        <v>564</v>
      </c>
      <c r="W259" s="23"/>
      <c r="X259" s="30" t="s">
        <v>229</v>
      </c>
      <c r="Y259" s="30" t="s">
        <v>245</v>
      </c>
      <c r="Z259" s="53">
        <f>SUM(26.7312+25.10013)/2</f>
        <v>25.915665000000001</v>
      </c>
      <c r="AA259" s="54">
        <f t="shared" si="31"/>
        <v>42.760847249999998</v>
      </c>
      <c r="AB259" s="23"/>
      <c r="AC259" s="4">
        <v>365</v>
      </c>
      <c r="AD259" s="32">
        <f t="shared" si="34"/>
        <v>115.7603</v>
      </c>
      <c r="AE259" s="32">
        <f t="shared" si="35"/>
        <v>126.64049999999999</v>
      </c>
      <c r="AF259" s="32">
        <f t="shared" si="36"/>
        <v>97.44</v>
      </c>
      <c r="AG259" s="32">
        <f t="shared" si="36"/>
        <v>241.17</v>
      </c>
      <c r="AH259" s="78"/>
      <c r="AI259" s="78"/>
      <c r="AJ259" s="55">
        <f t="shared" si="37"/>
        <v>581.01080000000002</v>
      </c>
      <c r="AK259" s="32"/>
      <c r="AL259" s="33"/>
      <c r="AM259" s="23"/>
    </row>
    <row r="260" spans="1:39" ht="30" x14ac:dyDescent="0.3">
      <c r="A260" s="64"/>
      <c r="B260" s="64"/>
      <c r="C260" s="5" t="s">
        <v>465</v>
      </c>
      <c r="D260" s="5" t="s">
        <v>120</v>
      </c>
      <c r="E260" s="7" t="s">
        <v>0</v>
      </c>
      <c r="F260" s="5"/>
      <c r="G260" s="23"/>
      <c r="H260" s="10">
        <v>229</v>
      </c>
      <c r="I260" s="10">
        <v>782</v>
      </c>
      <c r="J260" s="10">
        <v>835</v>
      </c>
      <c r="K260" s="10">
        <v>966</v>
      </c>
      <c r="L260" s="10">
        <v>872</v>
      </c>
      <c r="M260" s="10">
        <v>421</v>
      </c>
      <c r="N260" s="9" cm="1">
        <f t="array" ref="N260">SUM((H260:L260)/5)</f>
        <v>736.8</v>
      </c>
      <c r="O260" s="10">
        <v>900</v>
      </c>
      <c r="P260" s="23"/>
      <c r="Q260" s="30">
        <v>50.334000000000003</v>
      </c>
      <c r="R260" s="30">
        <v>63.256999999999998</v>
      </c>
      <c r="S260" s="30">
        <v>0.441</v>
      </c>
      <c r="T260" s="30">
        <v>0.441</v>
      </c>
      <c r="U260" s="30">
        <f t="shared" si="32"/>
        <v>360</v>
      </c>
      <c r="V260" s="30">
        <f t="shared" si="33"/>
        <v>540</v>
      </c>
      <c r="W260" s="23"/>
      <c r="X260" s="30" t="s">
        <v>246</v>
      </c>
      <c r="Y260" s="30" t="s">
        <v>247</v>
      </c>
      <c r="Z260" s="53">
        <f>SUM(26.70178+25.22061)/2</f>
        <v>25.961195</v>
      </c>
      <c r="AA260" s="54">
        <f t="shared" ref="AA260:AA323" si="38">SUM(Z260+Z260*$AA$4)</f>
        <v>42.835971749999999</v>
      </c>
      <c r="AB260" s="23"/>
      <c r="AC260" s="4">
        <v>365</v>
      </c>
      <c r="AD260" s="32">
        <f t="shared" si="34"/>
        <v>115.7603</v>
      </c>
      <c r="AE260" s="32">
        <f t="shared" si="35"/>
        <v>126.64049999999999</v>
      </c>
      <c r="AF260" s="32">
        <f t="shared" si="36"/>
        <v>93.46</v>
      </c>
      <c r="AG260" s="32">
        <f t="shared" si="36"/>
        <v>231.31</v>
      </c>
      <c r="AH260" s="78"/>
      <c r="AI260" s="78"/>
      <c r="AJ260" s="55">
        <f t="shared" si="37"/>
        <v>567.17079999999999</v>
      </c>
      <c r="AK260" s="32"/>
      <c r="AL260" s="33"/>
      <c r="AM260" s="23"/>
    </row>
    <row r="261" spans="1:39" ht="15.6" x14ac:dyDescent="0.3">
      <c r="A261" s="64"/>
      <c r="B261" s="64"/>
      <c r="C261" s="5" t="s">
        <v>600</v>
      </c>
      <c r="D261" s="5" t="s">
        <v>120</v>
      </c>
      <c r="E261" s="7" t="s">
        <v>0</v>
      </c>
      <c r="F261" s="5"/>
      <c r="G261" s="23"/>
      <c r="H261" s="10">
        <v>11</v>
      </c>
      <c r="I261" s="10">
        <v>10</v>
      </c>
      <c r="J261" s="10">
        <v>8</v>
      </c>
      <c r="K261" s="10">
        <v>12</v>
      </c>
      <c r="L261" s="10">
        <v>8</v>
      </c>
      <c r="M261" s="10">
        <v>5</v>
      </c>
      <c r="N261" s="9" cm="1">
        <f t="array" ref="N261">SUM((H261:L261)/5)</f>
        <v>9.8000000000000007</v>
      </c>
      <c r="O261" s="10">
        <v>10</v>
      </c>
      <c r="P261" s="23"/>
      <c r="Q261" s="30">
        <v>49.308</v>
      </c>
      <c r="R261" s="30">
        <v>72.016000000000005</v>
      </c>
      <c r="S261" s="30">
        <v>0.441</v>
      </c>
      <c r="T261" s="30">
        <v>0.441</v>
      </c>
      <c r="U261" s="30">
        <f t="shared" si="32"/>
        <v>4</v>
      </c>
      <c r="V261" s="30">
        <f t="shared" si="33"/>
        <v>6</v>
      </c>
      <c r="W261" s="23"/>
      <c r="X261" s="30">
        <v>15.868</v>
      </c>
      <c r="Y261" s="30">
        <v>27.110099999999999</v>
      </c>
      <c r="Z261" s="53">
        <v>27.110099999999999</v>
      </c>
      <c r="AA261" s="54">
        <f t="shared" si="38"/>
        <v>44.731665</v>
      </c>
      <c r="AB261" s="23"/>
      <c r="AC261" s="4">
        <v>365</v>
      </c>
      <c r="AD261" s="32">
        <f t="shared" si="34"/>
        <v>131.7893</v>
      </c>
      <c r="AE261" s="32">
        <f t="shared" si="35"/>
        <v>144.17600000000002</v>
      </c>
      <c r="AF261" s="32">
        <f t="shared" si="36"/>
        <v>1.08</v>
      </c>
      <c r="AG261" s="32">
        <f t="shared" si="36"/>
        <v>2.68</v>
      </c>
      <c r="AH261" s="78"/>
      <c r="AI261" s="78"/>
      <c r="AJ261" s="55">
        <f t="shared" si="37"/>
        <v>279.7253</v>
      </c>
      <c r="AK261" s="32"/>
      <c r="AL261" s="33"/>
      <c r="AM261" s="23"/>
    </row>
    <row r="262" spans="1:39" ht="45" x14ac:dyDescent="0.3">
      <c r="A262" s="64"/>
      <c r="B262" s="64"/>
      <c r="C262" s="5" t="s">
        <v>600</v>
      </c>
      <c r="D262" s="5" t="s">
        <v>120</v>
      </c>
      <c r="E262" s="7" t="s">
        <v>0</v>
      </c>
      <c r="F262" s="5"/>
      <c r="G262" s="23"/>
      <c r="H262" s="10">
        <v>2570</v>
      </c>
      <c r="I262" s="10">
        <v>2808</v>
      </c>
      <c r="J262" s="10">
        <v>2292</v>
      </c>
      <c r="K262" s="10">
        <v>1777</v>
      </c>
      <c r="L262" s="10">
        <v>1628</v>
      </c>
      <c r="M262" s="10">
        <v>726</v>
      </c>
      <c r="N262" s="9" cm="1">
        <f t="array" ref="N262">SUM((H262:L262)/5)</f>
        <v>2215</v>
      </c>
      <c r="O262" s="10">
        <v>2200</v>
      </c>
      <c r="P262" s="23"/>
      <c r="Q262" s="30">
        <v>50.334000000000003</v>
      </c>
      <c r="R262" s="30">
        <v>63.256999999999998</v>
      </c>
      <c r="S262" s="30">
        <v>0.441</v>
      </c>
      <c r="T262" s="30">
        <v>0.441</v>
      </c>
      <c r="U262" s="30">
        <f t="shared" si="32"/>
        <v>880</v>
      </c>
      <c r="V262" s="30">
        <f t="shared" si="33"/>
        <v>1320</v>
      </c>
      <c r="W262" s="23"/>
      <c r="X262" s="30" t="s">
        <v>238</v>
      </c>
      <c r="Y262" s="30" t="s">
        <v>248</v>
      </c>
      <c r="Z262" s="53">
        <f>SUM(27.3119+24.88113+25.20063)/3</f>
        <v>25.797886666666667</v>
      </c>
      <c r="AA262" s="54">
        <f t="shared" si="38"/>
        <v>42.566513</v>
      </c>
      <c r="AB262" s="23"/>
      <c r="AC262" s="4">
        <v>365</v>
      </c>
      <c r="AD262" s="32">
        <f t="shared" si="34"/>
        <v>115.7603</v>
      </c>
      <c r="AE262" s="32">
        <f t="shared" si="35"/>
        <v>126.64049999999999</v>
      </c>
      <c r="AF262" s="32">
        <f t="shared" si="36"/>
        <v>227.02</v>
      </c>
      <c r="AG262" s="32">
        <f t="shared" si="36"/>
        <v>561.88</v>
      </c>
      <c r="AH262" s="78"/>
      <c r="AI262" s="78"/>
      <c r="AJ262" s="55">
        <f t="shared" si="37"/>
        <v>1031.3008</v>
      </c>
      <c r="AK262" s="32"/>
      <c r="AL262" s="33"/>
      <c r="AM262" s="23"/>
    </row>
    <row r="263" spans="1:39" ht="15.6" x14ac:dyDescent="0.3">
      <c r="A263" s="64"/>
      <c r="B263" s="64"/>
      <c r="C263" s="5" t="s">
        <v>699</v>
      </c>
      <c r="D263" s="5" t="s">
        <v>120</v>
      </c>
      <c r="E263" s="7" t="s">
        <v>0</v>
      </c>
      <c r="F263" s="5"/>
      <c r="G263" s="23"/>
      <c r="H263" s="10">
        <v>36</v>
      </c>
      <c r="I263" s="10">
        <v>38</v>
      </c>
      <c r="J263" s="10">
        <v>39</v>
      </c>
      <c r="K263" s="10">
        <v>37</v>
      </c>
      <c r="L263" s="10">
        <v>91</v>
      </c>
      <c r="M263" s="10">
        <v>57</v>
      </c>
      <c r="N263" s="9" cm="1">
        <f t="array" ref="N263">SUM((H263:L263)/5)</f>
        <v>48.2</v>
      </c>
      <c r="O263" s="10">
        <v>65</v>
      </c>
      <c r="P263" s="23"/>
      <c r="Q263" s="30">
        <v>49.828000000000003</v>
      </c>
      <c r="R263" s="30">
        <v>63.256999999999998</v>
      </c>
      <c r="S263" s="30">
        <v>0.441</v>
      </c>
      <c r="T263" s="30">
        <v>0.441</v>
      </c>
      <c r="U263" s="30">
        <f t="shared" si="32"/>
        <v>26</v>
      </c>
      <c r="V263" s="30">
        <f t="shared" si="33"/>
        <v>39</v>
      </c>
      <c r="W263" s="23"/>
      <c r="X263" s="30">
        <v>15.061999999999999</v>
      </c>
      <c r="Y263" s="30">
        <v>26.504490000000001</v>
      </c>
      <c r="Z263" s="53">
        <v>26.504490000000001</v>
      </c>
      <c r="AA263" s="54">
        <f t="shared" si="38"/>
        <v>43.732408500000005</v>
      </c>
      <c r="AB263" s="23"/>
      <c r="AC263" s="4">
        <v>365</v>
      </c>
      <c r="AD263" s="32">
        <f t="shared" si="34"/>
        <v>115.7603</v>
      </c>
      <c r="AE263" s="32">
        <f t="shared" si="35"/>
        <v>126.64049999999999</v>
      </c>
      <c r="AF263" s="32">
        <f t="shared" si="36"/>
        <v>6.89</v>
      </c>
      <c r="AG263" s="32">
        <f t="shared" si="36"/>
        <v>17.059999999999999</v>
      </c>
      <c r="AH263" s="78"/>
      <c r="AI263" s="78"/>
      <c r="AJ263" s="55">
        <f t="shared" si="37"/>
        <v>266.35079999999999</v>
      </c>
      <c r="AK263" s="32"/>
      <c r="AL263" s="33"/>
      <c r="AM263" s="23"/>
    </row>
    <row r="264" spans="1:39" ht="30" x14ac:dyDescent="0.3">
      <c r="A264" s="64"/>
      <c r="B264" s="64"/>
      <c r="C264" s="5" t="s">
        <v>670</v>
      </c>
      <c r="D264" s="5" t="s">
        <v>120</v>
      </c>
      <c r="E264" s="7" t="s">
        <v>0</v>
      </c>
      <c r="F264" s="5"/>
      <c r="G264" s="23"/>
      <c r="H264" s="10">
        <v>1883</v>
      </c>
      <c r="I264" s="10">
        <v>1435</v>
      </c>
      <c r="J264" s="10">
        <v>1743</v>
      </c>
      <c r="K264" s="10">
        <v>2963</v>
      </c>
      <c r="L264" s="10">
        <v>2493</v>
      </c>
      <c r="M264" s="10">
        <v>174</v>
      </c>
      <c r="N264" s="9" cm="1">
        <f t="array" ref="N264">SUM((H264:L264)/5)</f>
        <v>2103.4</v>
      </c>
      <c r="O264" s="10">
        <v>2600</v>
      </c>
      <c r="P264" s="23"/>
      <c r="Q264" s="30">
        <v>49.325000000000003</v>
      </c>
      <c r="R264" s="30">
        <v>72.016000000000005</v>
      </c>
      <c r="S264" s="30">
        <v>0.441</v>
      </c>
      <c r="T264" s="30">
        <v>0.441</v>
      </c>
      <c r="U264" s="30">
        <f t="shared" si="32"/>
        <v>1040</v>
      </c>
      <c r="V264" s="30">
        <f t="shared" si="33"/>
        <v>1560</v>
      </c>
      <c r="W264" s="23"/>
      <c r="X264" s="30" t="s">
        <v>231</v>
      </c>
      <c r="Y264" s="30" t="s">
        <v>249</v>
      </c>
      <c r="Z264" s="53">
        <f>SUM(27.2142+25.09082)/2</f>
        <v>26.152509999999999</v>
      </c>
      <c r="AA264" s="54">
        <f t="shared" si="38"/>
        <v>43.151641499999997</v>
      </c>
      <c r="AB264" s="23"/>
      <c r="AC264" s="4">
        <v>365</v>
      </c>
      <c r="AD264" s="32">
        <f t="shared" si="34"/>
        <v>131.7893</v>
      </c>
      <c r="AE264" s="32">
        <f t="shared" si="35"/>
        <v>144.17600000000002</v>
      </c>
      <c r="AF264" s="32">
        <f t="shared" si="36"/>
        <v>271.99</v>
      </c>
      <c r="AG264" s="32">
        <f t="shared" si="36"/>
        <v>673.17</v>
      </c>
      <c r="AH264" s="78"/>
      <c r="AI264" s="78"/>
      <c r="AJ264" s="55">
        <f t="shared" si="37"/>
        <v>1221.1253000000002</v>
      </c>
      <c r="AK264" s="32"/>
      <c r="AL264" s="33"/>
      <c r="AM264" s="23"/>
    </row>
    <row r="265" spans="1:39" ht="30" x14ac:dyDescent="0.3">
      <c r="A265" s="64"/>
      <c r="B265" s="64"/>
      <c r="C265" s="5" t="s">
        <v>670</v>
      </c>
      <c r="D265" s="5" t="s">
        <v>120</v>
      </c>
      <c r="E265" s="7" t="s">
        <v>0</v>
      </c>
      <c r="F265" s="5"/>
      <c r="G265" s="23"/>
      <c r="H265" s="10">
        <v>3349</v>
      </c>
      <c r="I265" s="10">
        <v>2701</v>
      </c>
      <c r="J265" s="10">
        <v>2641</v>
      </c>
      <c r="K265" s="10">
        <v>1668</v>
      </c>
      <c r="L265" s="10">
        <v>1434</v>
      </c>
      <c r="M265" s="10">
        <v>874</v>
      </c>
      <c r="N265" s="9" cm="1">
        <f t="array" ref="N265">SUM((H265:L265)/5)</f>
        <v>2358.6000000000004</v>
      </c>
      <c r="O265" s="10">
        <v>2000</v>
      </c>
      <c r="P265" s="23"/>
      <c r="Q265" s="30">
        <v>49.325000000000003</v>
      </c>
      <c r="R265" s="30">
        <v>72.016000000000005</v>
      </c>
      <c r="S265" s="30">
        <v>0.441</v>
      </c>
      <c r="T265" s="30">
        <v>0.441</v>
      </c>
      <c r="U265" s="30">
        <f t="shared" si="32"/>
        <v>800</v>
      </c>
      <c r="V265" s="30">
        <f t="shared" si="33"/>
        <v>1200</v>
      </c>
      <c r="W265" s="23"/>
      <c r="X265" s="30" t="s">
        <v>231</v>
      </c>
      <c r="Y265" s="30" t="s">
        <v>250</v>
      </c>
      <c r="Z265" s="53">
        <f>SUM(27.16685+25.04324)/2</f>
        <v>26.105045</v>
      </c>
      <c r="AA265" s="54">
        <f t="shared" si="38"/>
        <v>43.073324249999999</v>
      </c>
      <c r="AB265" s="23"/>
      <c r="AC265" s="4">
        <v>365</v>
      </c>
      <c r="AD265" s="32">
        <f t="shared" si="34"/>
        <v>131.7893</v>
      </c>
      <c r="AE265" s="32">
        <f t="shared" si="35"/>
        <v>144.17600000000002</v>
      </c>
      <c r="AF265" s="32">
        <f t="shared" si="36"/>
        <v>208.84</v>
      </c>
      <c r="AG265" s="32">
        <f t="shared" si="36"/>
        <v>516.88</v>
      </c>
      <c r="AH265" s="78"/>
      <c r="AI265" s="78"/>
      <c r="AJ265" s="55">
        <f t="shared" si="37"/>
        <v>1001.6853</v>
      </c>
      <c r="AK265" s="32"/>
      <c r="AL265" s="33"/>
      <c r="AM265" s="23"/>
    </row>
    <row r="266" spans="1:39" ht="30" x14ac:dyDescent="0.3">
      <c r="A266" s="64"/>
      <c r="B266" s="64"/>
      <c r="C266" s="5" t="s">
        <v>670</v>
      </c>
      <c r="D266" s="5" t="s">
        <v>120</v>
      </c>
      <c r="E266" s="7" t="s">
        <v>0</v>
      </c>
      <c r="F266" s="5"/>
      <c r="G266" s="23"/>
      <c r="H266" s="10">
        <v>1856</v>
      </c>
      <c r="I266" s="10">
        <v>1397</v>
      </c>
      <c r="J266" s="10">
        <v>1558</v>
      </c>
      <c r="K266" s="10">
        <v>1485</v>
      </c>
      <c r="L266" s="10">
        <v>1234</v>
      </c>
      <c r="M266" s="10">
        <v>51</v>
      </c>
      <c r="N266" s="9" cm="1">
        <f t="array" ref="N266">SUM((H266:L266)/5)</f>
        <v>1505.9999999999998</v>
      </c>
      <c r="O266" s="10">
        <v>1500</v>
      </c>
      <c r="P266" s="23"/>
      <c r="Q266" s="30">
        <v>49.325000000000003</v>
      </c>
      <c r="R266" s="30">
        <v>72.016000000000005</v>
      </c>
      <c r="S266" s="30">
        <v>0.441</v>
      </c>
      <c r="T266" s="30">
        <v>0.441</v>
      </c>
      <c r="U266" s="30">
        <f t="shared" si="32"/>
        <v>600</v>
      </c>
      <c r="V266" s="30">
        <f t="shared" si="33"/>
        <v>900</v>
      </c>
      <c r="W266" s="23"/>
      <c r="X266" s="30" t="s">
        <v>231</v>
      </c>
      <c r="Y266" s="30" t="s">
        <v>251</v>
      </c>
      <c r="Z266" s="53">
        <f>SUM(27.18615+25.06233)/2</f>
        <v>26.12424</v>
      </c>
      <c r="AA266" s="54">
        <f t="shared" si="38"/>
        <v>43.104996</v>
      </c>
      <c r="AB266" s="23"/>
      <c r="AC266" s="4">
        <v>365</v>
      </c>
      <c r="AD266" s="32">
        <f t="shared" si="34"/>
        <v>131.7893</v>
      </c>
      <c r="AE266" s="32">
        <f t="shared" si="35"/>
        <v>144.17600000000002</v>
      </c>
      <c r="AF266" s="32">
        <f t="shared" si="36"/>
        <v>156.75</v>
      </c>
      <c r="AG266" s="32">
        <f t="shared" si="36"/>
        <v>387.94</v>
      </c>
      <c r="AH266" s="78"/>
      <c r="AI266" s="78"/>
      <c r="AJ266" s="55">
        <f t="shared" si="37"/>
        <v>820.65530000000001</v>
      </c>
      <c r="AK266" s="32"/>
      <c r="AL266" s="33"/>
      <c r="AM266" s="23"/>
    </row>
    <row r="267" spans="1:39" ht="30" x14ac:dyDescent="0.3">
      <c r="A267" s="64"/>
      <c r="B267" s="64"/>
      <c r="C267" s="5" t="s">
        <v>670</v>
      </c>
      <c r="D267" s="5" t="s">
        <v>120</v>
      </c>
      <c r="E267" s="7" t="s">
        <v>0</v>
      </c>
      <c r="F267" s="5"/>
      <c r="G267" s="23"/>
      <c r="H267" s="10">
        <v>1332</v>
      </c>
      <c r="I267" s="10">
        <v>1200</v>
      </c>
      <c r="J267" s="10">
        <v>1139</v>
      </c>
      <c r="K267" s="10">
        <v>1174</v>
      </c>
      <c r="L267" s="10">
        <v>1189</v>
      </c>
      <c r="M267" s="10">
        <v>428</v>
      </c>
      <c r="N267" s="9" cm="1">
        <f t="array" ref="N267">SUM((H267:L267)/5)</f>
        <v>1206.8</v>
      </c>
      <c r="O267" s="10">
        <v>1200</v>
      </c>
      <c r="P267" s="23"/>
      <c r="Q267" s="30">
        <v>49.325000000000003</v>
      </c>
      <c r="R267" s="30">
        <v>72.016000000000005</v>
      </c>
      <c r="S267" s="30">
        <v>0.441</v>
      </c>
      <c r="T267" s="30">
        <v>0.441</v>
      </c>
      <c r="U267" s="30">
        <f t="shared" si="32"/>
        <v>480</v>
      </c>
      <c r="V267" s="30">
        <f t="shared" si="33"/>
        <v>720</v>
      </c>
      <c r="W267" s="23"/>
      <c r="X267" s="30" t="s">
        <v>231</v>
      </c>
      <c r="Y267" s="30" t="s">
        <v>252</v>
      </c>
      <c r="Z267" s="53">
        <f>SUM(27.19732+24.0737)/2</f>
        <v>25.63551</v>
      </c>
      <c r="AA267" s="54">
        <f t="shared" si="38"/>
        <v>42.298591500000001</v>
      </c>
      <c r="AB267" s="23"/>
      <c r="AC267" s="4">
        <v>365</v>
      </c>
      <c r="AD267" s="32">
        <f t="shared" si="34"/>
        <v>131.7893</v>
      </c>
      <c r="AE267" s="32">
        <f t="shared" si="35"/>
        <v>144.17600000000002</v>
      </c>
      <c r="AF267" s="32">
        <f t="shared" si="36"/>
        <v>123.05</v>
      </c>
      <c r="AG267" s="32">
        <f t="shared" si="36"/>
        <v>304.55</v>
      </c>
      <c r="AH267" s="78"/>
      <c r="AI267" s="78"/>
      <c r="AJ267" s="55">
        <f t="shared" si="37"/>
        <v>703.56529999999998</v>
      </c>
      <c r="AK267" s="32"/>
      <c r="AL267" s="33"/>
      <c r="AM267" s="23"/>
    </row>
    <row r="268" spans="1:39" ht="15.6" x14ac:dyDescent="0.3">
      <c r="A268" s="64"/>
      <c r="B268" s="64"/>
      <c r="C268" s="5" t="s">
        <v>597</v>
      </c>
      <c r="D268" s="5" t="s">
        <v>120</v>
      </c>
      <c r="E268" s="7" t="s">
        <v>0</v>
      </c>
      <c r="F268" s="5"/>
      <c r="G268" s="23"/>
      <c r="H268" s="10">
        <v>1081</v>
      </c>
      <c r="I268" s="10">
        <v>898</v>
      </c>
      <c r="J268" s="10">
        <v>863</v>
      </c>
      <c r="K268" s="10">
        <v>964</v>
      </c>
      <c r="L268" s="10">
        <v>607</v>
      </c>
      <c r="M268" s="10">
        <v>478</v>
      </c>
      <c r="N268" s="9" cm="1">
        <f t="array" ref="N268">SUM((H268:L268)/5)</f>
        <v>882.6</v>
      </c>
      <c r="O268" s="10">
        <v>880</v>
      </c>
      <c r="P268" s="23"/>
      <c r="Q268" s="30">
        <v>49.828000000000003</v>
      </c>
      <c r="R268" s="30">
        <v>63.256999999999998</v>
      </c>
      <c r="S268" s="30">
        <v>0.441</v>
      </c>
      <c r="T268" s="30">
        <v>0.441</v>
      </c>
      <c r="U268" s="30">
        <f t="shared" si="32"/>
        <v>352</v>
      </c>
      <c r="V268" s="30">
        <f t="shared" si="33"/>
        <v>528</v>
      </c>
      <c r="W268" s="23"/>
      <c r="X268" s="30">
        <v>15.061999999999999</v>
      </c>
      <c r="Y268" s="30">
        <v>26.506530000000001</v>
      </c>
      <c r="Z268" s="53">
        <v>26.506530000000001</v>
      </c>
      <c r="AA268" s="54">
        <f t="shared" si="38"/>
        <v>43.735774500000005</v>
      </c>
      <c r="AB268" s="23"/>
      <c r="AC268" s="4">
        <v>365</v>
      </c>
      <c r="AD268" s="32">
        <f t="shared" si="34"/>
        <v>115.7603</v>
      </c>
      <c r="AE268" s="32">
        <f t="shared" si="35"/>
        <v>126.64049999999999</v>
      </c>
      <c r="AF268" s="32">
        <f t="shared" si="36"/>
        <v>93.3</v>
      </c>
      <c r="AG268" s="32">
        <f t="shared" si="36"/>
        <v>230.92</v>
      </c>
      <c r="AH268" s="78"/>
      <c r="AI268" s="78"/>
      <c r="AJ268" s="55">
        <f t="shared" si="37"/>
        <v>566.62080000000003</v>
      </c>
      <c r="AK268" s="32"/>
      <c r="AL268" s="33"/>
      <c r="AM268" s="23"/>
    </row>
    <row r="269" spans="1:39" ht="15.6" x14ac:dyDescent="0.3">
      <c r="A269" s="64"/>
      <c r="B269" s="64"/>
      <c r="C269" s="5" t="s">
        <v>597</v>
      </c>
      <c r="D269" s="5" t="s">
        <v>120</v>
      </c>
      <c r="E269" s="7" t="s">
        <v>0</v>
      </c>
      <c r="F269" s="5"/>
      <c r="G269" s="23"/>
      <c r="H269" s="10">
        <v>913</v>
      </c>
      <c r="I269" s="10">
        <v>972</v>
      </c>
      <c r="J269" s="10">
        <v>885</v>
      </c>
      <c r="K269" s="10">
        <v>953</v>
      </c>
      <c r="L269" s="10">
        <v>756</v>
      </c>
      <c r="M269" s="10">
        <v>373</v>
      </c>
      <c r="N269" s="9" cm="1">
        <f t="array" ref="N269">SUM((H269:L269)/5)</f>
        <v>895.8</v>
      </c>
      <c r="O269" s="10">
        <v>880</v>
      </c>
      <c r="P269" s="23"/>
      <c r="Q269" s="30">
        <v>49.828000000000003</v>
      </c>
      <c r="R269" s="30">
        <v>63.256999999999998</v>
      </c>
      <c r="S269" s="30">
        <v>0.441</v>
      </c>
      <c r="T269" s="30">
        <v>0.441</v>
      </c>
      <c r="U269" s="30">
        <f t="shared" si="32"/>
        <v>352</v>
      </c>
      <c r="V269" s="30">
        <f t="shared" si="33"/>
        <v>528</v>
      </c>
      <c r="W269" s="23"/>
      <c r="X269" s="30">
        <v>15.061999999999999</v>
      </c>
      <c r="Y269" s="30">
        <v>26.50637</v>
      </c>
      <c r="Z269" s="53">
        <v>26.50637</v>
      </c>
      <c r="AA269" s="54">
        <f t="shared" si="38"/>
        <v>43.735510500000004</v>
      </c>
      <c r="AB269" s="23"/>
      <c r="AC269" s="4">
        <v>365</v>
      </c>
      <c r="AD269" s="32">
        <f t="shared" si="34"/>
        <v>115.7603</v>
      </c>
      <c r="AE269" s="32">
        <f t="shared" si="35"/>
        <v>126.64049999999999</v>
      </c>
      <c r="AF269" s="32">
        <f t="shared" si="36"/>
        <v>93.3</v>
      </c>
      <c r="AG269" s="32">
        <f t="shared" si="36"/>
        <v>230.92</v>
      </c>
      <c r="AH269" s="78"/>
      <c r="AI269" s="78"/>
      <c r="AJ269" s="55">
        <f t="shared" si="37"/>
        <v>566.62080000000003</v>
      </c>
      <c r="AK269" s="32"/>
      <c r="AL269" s="33"/>
      <c r="AM269" s="23"/>
    </row>
    <row r="270" spans="1:39" ht="15.6" x14ac:dyDescent="0.3">
      <c r="A270" s="64"/>
      <c r="B270" s="64"/>
      <c r="C270" s="5" t="s">
        <v>636</v>
      </c>
      <c r="D270" s="5" t="s">
        <v>120</v>
      </c>
      <c r="E270" s="7" t="s">
        <v>0</v>
      </c>
      <c r="F270" s="5"/>
      <c r="G270" s="23"/>
      <c r="H270" s="10">
        <v>1057</v>
      </c>
      <c r="I270" s="10">
        <v>2162</v>
      </c>
      <c r="J270" s="10">
        <v>2274</v>
      </c>
      <c r="K270" s="10">
        <v>1936</v>
      </c>
      <c r="L270" s="10">
        <v>1640</v>
      </c>
      <c r="M270" s="10">
        <v>1004</v>
      </c>
      <c r="N270" s="9" cm="1">
        <f t="array" ref="N270">SUM((H270:L270)/5)</f>
        <v>1813.8</v>
      </c>
      <c r="O270" s="10">
        <v>1820</v>
      </c>
      <c r="P270" s="23"/>
      <c r="Q270" s="30">
        <v>49.308</v>
      </c>
      <c r="R270" s="30">
        <v>72.016000000000005</v>
      </c>
      <c r="S270" s="30">
        <v>0.441</v>
      </c>
      <c r="T270" s="30">
        <v>0.441</v>
      </c>
      <c r="U270" s="30">
        <f t="shared" si="32"/>
        <v>728</v>
      </c>
      <c r="V270" s="30">
        <f t="shared" si="33"/>
        <v>1092</v>
      </c>
      <c r="W270" s="23"/>
      <c r="X270" s="30">
        <v>15.868</v>
      </c>
      <c r="Y270" s="30">
        <v>27.082630000000002</v>
      </c>
      <c r="Z270" s="53">
        <v>27.082630000000002</v>
      </c>
      <c r="AA270" s="54">
        <f t="shared" si="38"/>
        <v>44.686339500000003</v>
      </c>
      <c r="AB270" s="23"/>
      <c r="AC270" s="4">
        <v>365</v>
      </c>
      <c r="AD270" s="32">
        <f t="shared" si="34"/>
        <v>131.7893</v>
      </c>
      <c r="AE270" s="32">
        <f t="shared" si="35"/>
        <v>144.17600000000002</v>
      </c>
      <c r="AF270" s="32">
        <f t="shared" si="36"/>
        <v>197.16</v>
      </c>
      <c r="AG270" s="32">
        <f t="shared" si="36"/>
        <v>487.97</v>
      </c>
      <c r="AH270" s="78"/>
      <c r="AI270" s="78"/>
      <c r="AJ270" s="55">
        <f t="shared" si="37"/>
        <v>961.09530000000007</v>
      </c>
      <c r="AK270" s="32"/>
      <c r="AL270" s="33"/>
      <c r="AM270" s="23"/>
    </row>
    <row r="271" spans="1:39" ht="15.6" x14ac:dyDescent="0.3">
      <c r="A271" s="64"/>
      <c r="B271" s="64"/>
      <c r="C271" s="5" t="s">
        <v>466</v>
      </c>
      <c r="D271" s="5" t="s">
        <v>120</v>
      </c>
      <c r="E271" s="7" t="s">
        <v>0</v>
      </c>
      <c r="F271" s="5"/>
      <c r="G271" s="23"/>
      <c r="H271" s="10">
        <v>3164</v>
      </c>
      <c r="I271" s="10">
        <v>2808</v>
      </c>
      <c r="J271" s="10">
        <v>2074</v>
      </c>
      <c r="K271" s="10">
        <v>1627</v>
      </c>
      <c r="L271" s="10">
        <v>2545</v>
      </c>
      <c r="M271" s="10">
        <v>784</v>
      </c>
      <c r="N271" s="9" cm="1">
        <f t="array" ref="N271">SUM((H271:L271)/5)</f>
        <v>2443.6</v>
      </c>
      <c r="O271" s="10">
        <v>2450</v>
      </c>
      <c r="P271" s="23"/>
      <c r="Q271" s="30">
        <v>49.828000000000003</v>
      </c>
      <c r="R271" s="30">
        <v>63.256999999999998</v>
      </c>
      <c r="S271" s="30">
        <v>0.441</v>
      </c>
      <c r="T271" s="30">
        <v>0.441</v>
      </c>
      <c r="U271" s="30">
        <f t="shared" si="32"/>
        <v>980</v>
      </c>
      <c r="V271" s="30">
        <f t="shared" si="33"/>
        <v>1470</v>
      </c>
      <c r="W271" s="23"/>
      <c r="X271" s="30">
        <v>15.061999999999999</v>
      </c>
      <c r="Y271" s="30">
        <v>26.50639</v>
      </c>
      <c r="Z271" s="53">
        <v>26.50639</v>
      </c>
      <c r="AA271" s="54">
        <f t="shared" si="38"/>
        <v>43.735543499999999</v>
      </c>
      <c r="AB271" s="23"/>
      <c r="AC271" s="4">
        <v>365</v>
      </c>
      <c r="AD271" s="32">
        <f t="shared" si="34"/>
        <v>115.7603</v>
      </c>
      <c r="AE271" s="32">
        <f t="shared" si="35"/>
        <v>126.64049999999999</v>
      </c>
      <c r="AF271" s="32">
        <f t="shared" si="36"/>
        <v>259.76</v>
      </c>
      <c r="AG271" s="32">
        <f t="shared" si="36"/>
        <v>642.91</v>
      </c>
      <c r="AH271" s="78"/>
      <c r="AI271" s="78"/>
      <c r="AJ271" s="55">
        <f t="shared" si="37"/>
        <v>1145.0708</v>
      </c>
      <c r="AK271" s="32"/>
      <c r="AL271" s="33"/>
      <c r="AM271" s="23"/>
    </row>
    <row r="272" spans="1:39" ht="15.6" x14ac:dyDescent="0.3">
      <c r="A272" s="64"/>
      <c r="B272" s="64"/>
      <c r="C272" s="5" t="s">
        <v>637</v>
      </c>
      <c r="D272" s="5" t="s">
        <v>120</v>
      </c>
      <c r="E272" s="7" t="s">
        <v>0</v>
      </c>
      <c r="F272" s="5"/>
      <c r="G272" s="23"/>
      <c r="H272" s="10">
        <v>1644</v>
      </c>
      <c r="I272" s="10">
        <v>1626</v>
      </c>
      <c r="J272" s="10">
        <v>1531</v>
      </c>
      <c r="K272" s="10">
        <v>3287</v>
      </c>
      <c r="L272" s="10">
        <v>1808</v>
      </c>
      <c r="M272" s="10">
        <v>796</v>
      </c>
      <c r="N272" s="9" cm="1">
        <f t="array" ref="N272">SUM((H272:L272)/5)</f>
        <v>1979.1999999999998</v>
      </c>
      <c r="O272" s="10">
        <v>2250</v>
      </c>
      <c r="P272" s="23"/>
      <c r="Q272" s="30">
        <v>49.308</v>
      </c>
      <c r="R272" s="30">
        <v>72.016000000000005</v>
      </c>
      <c r="S272" s="30">
        <v>0.441</v>
      </c>
      <c r="T272" s="30">
        <v>0.441</v>
      </c>
      <c r="U272" s="30">
        <f t="shared" si="32"/>
        <v>900</v>
      </c>
      <c r="V272" s="30">
        <f t="shared" si="33"/>
        <v>1350</v>
      </c>
      <c r="W272" s="23"/>
      <c r="X272" s="30">
        <v>15.868</v>
      </c>
      <c r="Y272" s="30">
        <v>27.082599999999999</v>
      </c>
      <c r="Z272" s="53">
        <v>27.082599999999999</v>
      </c>
      <c r="AA272" s="54">
        <f t="shared" si="38"/>
        <v>44.68629</v>
      </c>
      <c r="AB272" s="23"/>
      <c r="AC272" s="4">
        <v>365</v>
      </c>
      <c r="AD272" s="32">
        <f t="shared" si="34"/>
        <v>131.7893</v>
      </c>
      <c r="AE272" s="32">
        <f t="shared" si="35"/>
        <v>144.17600000000002</v>
      </c>
      <c r="AF272" s="32">
        <f t="shared" si="36"/>
        <v>243.74</v>
      </c>
      <c r="AG272" s="32">
        <f t="shared" si="36"/>
        <v>603.26</v>
      </c>
      <c r="AH272" s="78"/>
      <c r="AI272" s="78"/>
      <c r="AJ272" s="55">
        <f t="shared" si="37"/>
        <v>1122.9653000000001</v>
      </c>
      <c r="AK272" s="32"/>
      <c r="AL272" s="33"/>
      <c r="AM272" s="23"/>
    </row>
    <row r="273" spans="1:39" ht="15.6" x14ac:dyDescent="0.3">
      <c r="A273" s="64"/>
      <c r="B273" s="64"/>
      <c r="C273" s="5" t="s">
        <v>652</v>
      </c>
      <c r="D273" s="5" t="s">
        <v>120</v>
      </c>
      <c r="E273" s="7" t="s">
        <v>0</v>
      </c>
      <c r="F273" s="5"/>
      <c r="G273" s="23"/>
      <c r="H273" s="10">
        <v>2224</v>
      </c>
      <c r="I273" s="10">
        <v>2575</v>
      </c>
      <c r="J273" s="10">
        <v>2790</v>
      </c>
      <c r="K273" s="10">
        <v>2835</v>
      </c>
      <c r="L273" s="10">
        <v>2656</v>
      </c>
      <c r="M273" s="10">
        <v>142</v>
      </c>
      <c r="N273" s="9" cm="1">
        <f t="array" ref="N273">SUM((H273:L273)/5)</f>
        <v>2616</v>
      </c>
      <c r="O273" s="10">
        <v>2700</v>
      </c>
      <c r="P273" s="23"/>
      <c r="Q273" s="30">
        <v>49.308</v>
      </c>
      <c r="R273" s="30">
        <v>72.016000000000005</v>
      </c>
      <c r="S273" s="30">
        <v>0.441</v>
      </c>
      <c r="T273" s="30">
        <v>0.441</v>
      </c>
      <c r="U273" s="30">
        <f t="shared" si="32"/>
        <v>1080</v>
      </c>
      <c r="V273" s="30">
        <f t="shared" si="33"/>
        <v>1620</v>
      </c>
      <c r="W273" s="23"/>
      <c r="X273" s="30">
        <v>15.868</v>
      </c>
      <c r="Y273" s="30">
        <v>27.082719999999998</v>
      </c>
      <c r="Z273" s="53">
        <v>27.082719999999998</v>
      </c>
      <c r="AA273" s="54">
        <f t="shared" si="38"/>
        <v>44.686487999999997</v>
      </c>
      <c r="AB273" s="23"/>
      <c r="AC273" s="4">
        <v>365</v>
      </c>
      <c r="AD273" s="32">
        <f t="shared" si="34"/>
        <v>131.7893</v>
      </c>
      <c r="AE273" s="32">
        <f t="shared" si="35"/>
        <v>144.17600000000002</v>
      </c>
      <c r="AF273" s="32">
        <f t="shared" si="36"/>
        <v>292.49</v>
      </c>
      <c r="AG273" s="32">
        <f t="shared" si="36"/>
        <v>723.92</v>
      </c>
      <c r="AH273" s="78"/>
      <c r="AI273" s="78"/>
      <c r="AJ273" s="55">
        <f t="shared" si="37"/>
        <v>1292.3753000000002</v>
      </c>
      <c r="AK273" s="32"/>
      <c r="AL273" s="33"/>
      <c r="AM273" s="23"/>
    </row>
    <row r="274" spans="1:39" ht="15.6" x14ac:dyDescent="0.3">
      <c r="A274" s="64"/>
      <c r="B274" s="64"/>
      <c r="C274" s="5" t="s">
        <v>671</v>
      </c>
      <c r="D274" s="5" t="s">
        <v>120</v>
      </c>
      <c r="E274" s="7" t="s">
        <v>0</v>
      </c>
      <c r="F274" s="5"/>
      <c r="G274" s="23"/>
      <c r="H274" s="10">
        <v>2330</v>
      </c>
      <c r="I274" s="10">
        <v>2154</v>
      </c>
      <c r="J274" s="10">
        <v>2263</v>
      </c>
      <c r="K274" s="10">
        <v>2375</v>
      </c>
      <c r="L274" s="10">
        <v>2299</v>
      </c>
      <c r="M274" s="10">
        <v>98</v>
      </c>
      <c r="N274" s="9" cm="1">
        <f t="array" ref="N274">SUM((H274:L274)/5)</f>
        <v>2284.2000000000003</v>
      </c>
      <c r="O274" s="10">
        <v>2300</v>
      </c>
      <c r="P274" s="23"/>
      <c r="Q274" s="30">
        <v>49.308</v>
      </c>
      <c r="R274" s="30">
        <v>72.016000000000005</v>
      </c>
      <c r="S274" s="30">
        <v>0.441</v>
      </c>
      <c r="T274" s="30">
        <v>0.441</v>
      </c>
      <c r="U274" s="30">
        <f t="shared" si="32"/>
        <v>920</v>
      </c>
      <c r="V274" s="30">
        <f t="shared" si="33"/>
        <v>1380</v>
      </c>
      <c r="W274" s="23"/>
      <c r="X274" s="30">
        <v>15.868</v>
      </c>
      <c r="Y274" s="30">
        <v>27.08259</v>
      </c>
      <c r="Z274" s="53">
        <v>27.08259</v>
      </c>
      <c r="AA274" s="54">
        <f t="shared" si="38"/>
        <v>44.686273499999999</v>
      </c>
      <c r="AB274" s="23"/>
      <c r="AC274" s="4">
        <v>365</v>
      </c>
      <c r="AD274" s="32">
        <f t="shared" si="34"/>
        <v>131.7893</v>
      </c>
      <c r="AE274" s="32">
        <f t="shared" si="35"/>
        <v>144.17600000000002</v>
      </c>
      <c r="AF274" s="32">
        <f t="shared" si="36"/>
        <v>249.16</v>
      </c>
      <c r="AG274" s="32">
        <f t="shared" si="36"/>
        <v>616.66999999999996</v>
      </c>
      <c r="AH274" s="78"/>
      <c r="AI274" s="78"/>
      <c r="AJ274" s="55">
        <f t="shared" si="37"/>
        <v>1141.7953</v>
      </c>
      <c r="AK274" s="32"/>
      <c r="AL274" s="33"/>
      <c r="AM274" s="23"/>
    </row>
    <row r="275" spans="1:39" ht="15.6" x14ac:dyDescent="0.3">
      <c r="A275" s="64"/>
      <c r="B275" s="64"/>
      <c r="C275" s="5" t="s">
        <v>671</v>
      </c>
      <c r="D275" s="5" t="s">
        <v>120</v>
      </c>
      <c r="E275" s="7" t="s">
        <v>0</v>
      </c>
      <c r="F275" s="5"/>
      <c r="G275" s="23"/>
      <c r="H275" s="10">
        <v>3792</v>
      </c>
      <c r="I275" s="10">
        <v>3661</v>
      </c>
      <c r="J275" s="10">
        <v>3059</v>
      </c>
      <c r="K275" s="10">
        <v>2530</v>
      </c>
      <c r="L275" s="10">
        <v>2771</v>
      </c>
      <c r="M275" s="10">
        <v>1212</v>
      </c>
      <c r="N275" s="9" cm="1">
        <f t="array" ref="N275">SUM((H275:L275)/5)</f>
        <v>3162.5999999999995</v>
      </c>
      <c r="O275" s="10">
        <v>2800</v>
      </c>
      <c r="P275" s="23"/>
      <c r="Q275" s="30">
        <v>49.308</v>
      </c>
      <c r="R275" s="30">
        <v>72.016000000000005</v>
      </c>
      <c r="S275" s="30">
        <v>0.441</v>
      </c>
      <c r="T275" s="30">
        <v>0.441</v>
      </c>
      <c r="U275" s="30">
        <f t="shared" si="32"/>
        <v>1120</v>
      </c>
      <c r="V275" s="30">
        <f t="shared" si="33"/>
        <v>1680</v>
      </c>
      <c r="W275" s="23"/>
      <c r="X275" s="30">
        <v>15.868</v>
      </c>
      <c r="Y275" s="30">
        <v>27.082820000000002</v>
      </c>
      <c r="Z275" s="53">
        <v>27.082820000000002</v>
      </c>
      <c r="AA275" s="54">
        <f t="shared" si="38"/>
        <v>44.686653000000007</v>
      </c>
      <c r="AB275" s="23"/>
      <c r="AC275" s="4">
        <v>365</v>
      </c>
      <c r="AD275" s="32">
        <f t="shared" si="34"/>
        <v>131.7893</v>
      </c>
      <c r="AE275" s="32">
        <f t="shared" si="35"/>
        <v>144.17600000000002</v>
      </c>
      <c r="AF275" s="32">
        <f t="shared" si="36"/>
        <v>303.33</v>
      </c>
      <c r="AG275" s="32">
        <f t="shared" si="36"/>
        <v>750.74</v>
      </c>
      <c r="AH275" s="78"/>
      <c r="AI275" s="78"/>
      <c r="AJ275" s="55">
        <f t="shared" si="37"/>
        <v>1330.0353</v>
      </c>
      <c r="AK275" s="32"/>
      <c r="AL275" s="33"/>
      <c r="AM275" s="23"/>
    </row>
    <row r="276" spans="1:39" ht="15.6" x14ac:dyDescent="0.3">
      <c r="A276" s="64"/>
      <c r="B276" s="64"/>
      <c r="C276" s="5" t="s">
        <v>671</v>
      </c>
      <c r="D276" s="5" t="s">
        <v>120</v>
      </c>
      <c r="E276" s="7" t="s">
        <v>0</v>
      </c>
      <c r="F276" s="5"/>
      <c r="G276" s="23"/>
      <c r="H276" s="10">
        <v>2502</v>
      </c>
      <c r="I276" s="10">
        <v>2678</v>
      </c>
      <c r="J276" s="10">
        <v>2679</v>
      </c>
      <c r="K276" s="10">
        <v>2748</v>
      </c>
      <c r="L276" s="10">
        <v>3276</v>
      </c>
      <c r="M276" s="10">
        <v>135</v>
      </c>
      <c r="N276" s="9" cm="1">
        <f t="array" ref="N276">SUM((H276:L276)/5)</f>
        <v>2776.6000000000004</v>
      </c>
      <c r="O276" s="10">
        <v>2800</v>
      </c>
      <c r="P276" s="23"/>
      <c r="Q276" s="30">
        <v>49.308</v>
      </c>
      <c r="R276" s="30">
        <v>72.016000000000005</v>
      </c>
      <c r="S276" s="30">
        <v>0.441</v>
      </c>
      <c r="T276" s="30">
        <v>0.441</v>
      </c>
      <c r="U276" s="30">
        <f t="shared" si="32"/>
        <v>1120</v>
      </c>
      <c r="V276" s="30">
        <f t="shared" si="33"/>
        <v>1680</v>
      </c>
      <c r="W276" s="23"/>
      <c r="X276" s="30">
        <v>15.868</v>
      </c>
      <c r="Y276" s="30">
        <v>27.082909999999998</v>
      </c>
      <c r="Z276" s="53">
        <v>27.082909999999998</v>
      </c>
      <c r="AA276" s="54">
        <f t="shared" si="38"/>
        <v>44.686801500000001</v>
      </c>
      <c r="AB276" s="23"/>
      <c r="AC276" s="4">
        <v>365</v>
      </c>
      <c r="AD276" s="32">
        <f t="shared" si="34"/>
        <v>131.7893</v>
      </c>
      <c r="AE276" s="32">
        <f t="shared" si="35"/>
        <v>144.17600000000002</v>
      </c>
      <c r="AF276" s="32">
        <f t="shared" si="36"/>
        <v>303.33</v>
      </c>
      <c r="AG276" s="32">
        <f t="shared" si="36"/>
        <v>750.74</v>
      </c>
      <c r="AH276" s="78"/>
      <c r="AI276" s="78"/>
      <c r="AJ276" s="55">
        <f t="shared" si="37"/>
        <v>1330.0353</v>
      </c>
      <c r="AK276" s="32"/>
      <c r="AL276" s="33"/>
      <c r="AM276" s="23"/>
    </row>
    <row r="277" spans="1:39" ht="15.6" x14ac:dyDescent="0.3">
      <c r="A277" s="64"/>
      <c r="B277" s="64"/>
      <c r="C277" s="5" t="s">
        <v>671</v>
      </c>
      <c r="D277" s="5" t="s">
        <v>120</v>
      </c>
      <c r="E277" s="7" t="s">
        <v>0</v>
      </c>
      <c r="F277" s="5"/>
      <c r="G277" s="23"/>
      <c r="H277" s="10">
        <v>2784</v>
      </c>
      <c r="I277" s="10">
        <v>2936</v>
      </c>
      <c r="J277" s="10">
        <v>3097</v>
      </c>
      <c r="K277" s="10">
        <v>4180</v>
      </c>
      <c r="L277" s="10">
        <v>2768</v>
      </c>
      <c r="M277" s="10">
        <v>1079</v>
      </c>
      <c r="N277" s="9" cm="1">
        <f t="array" ref="N277">SUM((H277:L277)/5)</f>
        <v>3153</v>
      </c>
      <c r="O277" s="10">
        <v>3300</v>
      </c>
      <c r="P277" s="23"/>
      <c r="Q277" s="30">
        <v>49.308</v>
      </c>
      <c r="R277" s="30">
        <v>72.016000000000005</v>
      </c>
      <c r="S277" s="30">
        <v>0.441</v>
      </c>
      <c r="T277" s="30">
        <v>0.441</v>
      </c>
      <c r="U277" s="30">
        <f t="shared" si="32"/>
        <v>1320</v>
      </c>
      <c r="V277" s="30">
        <f t="shared" si="33"/>
        <v>1980</v>
      </c>
      <c r="W277" s="23"/>
      <c r="X277" s="30">
        <v>15.868</v>
      </c>
      <c r="Y277" s="30">
        <v>27.082879999999999</v>
      </c>
      <c r="Z277" s="53">
        <v>27.082879999999999</v>
      </c>
      <c r="AA277" s="54">
        <f t="shared" si="38"/>
        <v>44.686751999999998</v>
      </c>
      <c r="AB277" s="23"/>
      <c r="AC277" s="4">
        <v>365</v>
      </c>
      <c r="AD277" s="32">
        <f t="shared" si="34"/>
        <v>131.7893</v>
      </c>
      <c r="AE277" s="32">
        <f t="shared" si="35"/>
        <v>144.17600000000002</v>
      </c>
      <c r="AF277" s="32">
        <f t="shared" si="36"/>
        <v>357.49</v>
      </c>
      <c r="AG277" s="32">
        <f t="shared" si="36"/>
        <v>884.8</v>
      </c>
      <c r="AH277" s="78"/>
      <c r="AI277" s="78"/>
      <c r="AJ277" s="55">
        <f t="shared" si="37"/>
        <v>1518.2553</v>
      </c>
      <c r="AK277" s="32"/>
      <c r="AL277" s="33"/>
      <c r="AM277" s="23"/>
    </row>
    <row r="278" spans="1:39" ht="15.6" x14ac:dyDescent="0.3">
      <c r="A278" s="64"/>
      <c r="B278" s="64"/>
      <c r="C278" s="5" t="s">
        <v>671</v>
      </c>
      <c r="D278" s="5" t="s">
        <v>120</v>
      </c>
      <c r="E278" s="7" t="s">
        <v>0</v>
      </c>
      <c r="F278" s="5"/>
      <c r="G278" s="23"/>
      <c r="H278" s="10">
        <v>2514</v>
      </c>
      <c r="I278" s="10">
        <v>3583</v>
      </c>
      <c r="J278" s="10">
        <v>3939</v>
      </c>
      <c r="K278" s="10">
        <v>3498</v>
      </c>
      <c r="L278" s="10">
        <v>3408</v>
      </c>
      <c r="M278" s="10">
        <v>161</v>
      </c>
      <c r="N278" s="9" cm="1">
        <f t="array" ref="N278">SUM((H278:L278)/5)</f>
        <v>3388.4</v>
      </c>
      <c r="O278" s="10">
        <v>3400</v>
      </c>
      <c r="P278" s="23"/>
      <c r="Q278" s="30">
        <v>49.308</v>
      </c>
      <c r="R278" s="30">
        <v>72.016000000000005</v>
      </c>
      <c r="S278" s="30">
        <v>0.441</v>
      </c>
      <c r="T278" s="30">
        <v>0.441</v>
      </c>
      <c r="U278" s="30">
        <f t="shared" si="32"/>
        <v>1360</v>
      </c>
      <c r="V278" s="30">
        <f t="shared" si="33"/>
        <v>2040</v>
      </c>
      <c r="W278" s="23"/>
      <c r="X278" s="30">
        <v>15.868</v>
      </c>
      <c r="Y278" s="30">
        <v>27.082709999999999</v>
      </c>
      <c r="Z278" s="53">
        <v>27.082709999999999</v>
      </c>
      <c r="AA278" s="54">
        <f t="shared" si="38"/>
        <v>44.686471499999996</v>
      </c>
      <c r="AB278" s="23"/>
      <c r="AC278" s="4">
        <v>365</v>
      </c>
      <c r="AD278" s="32">
        <f t="shared" si="34"/>
        <v>131.7893</v>
      </c>
      <c r="AE278" s="32">
        <f t="shared" si="35"/>
        <v>144.17600000000002</v>
      </c>
      <c r="AF278" s="32">
        <f t="shared" si="36"/>
        <v>368.32</v>
      </c>
      <c r="AG278" s="32">
        <f t="shared" si="36"/>
        <v>911.6</v>
      </c>
      <c r="AH278" s="78"/>
      <c r="AI278" s="78"/>
      <c r="AJ278" s="55">
        <f t="shared" si="37"/>
        <v>1555.8852999999999</v>
      </c>
      <c r="AK278" s="32"/>
      <c r="AL278" s="33"/>
      <c r="AM278" s="23"/>
    </row>
    <row r="279" spans="1:39" ht="15.6" x14ac:dyDescent="0.3">
      <c r="A279" s="64"/>
      <c r="B279" s="64"/>
      <c r="C279" s="5" t="s">
        <v>653</v>
      </c>
      <c r="D279" s="5" t="s">
        <v>120</v>
      </c>
      <c r="E279" s="7" t="s">
        <v>0</v>
      </c>
      <c r="F279" s="5"/>
      <c r="G279" s="23"/>
      <c r="H279" s="10">
        <v>1542</v>
      </c>
      <c r="I279" s="10">
        <v>1260</v>
      </c>
      <c r="J279" s="10">
        <v>1246</v>
      </c>
      <c r="K279" s="10">
        <v>1119</v>
      </c>
      <c r="L279" s="10">
        <v>1346</v>
      </c>
      <c r="M279" s="10">
        <v>624</v>
      </c>
      <c r="N279" s="9" cm="1">
        <f t="array" ref="N279">SUM((H279:L279)/5)</f>
        <v>1302.5999999999999</v>
      </c>
      <c r="O279" s="10">
        <v>1300</v>
      </c>
      <c r="P279" s="23"/>
      <c r="Q279" s="30">
        <v>49.308</v>
      </c>
      <c r="R279" s="30">
        <v>72.016000000000005</v>
      </c>
      <c r="S279" s="30">
        <v>0.441</v>
      </c>
      <c r="T279" s="30">
        <v>0.441</v>
      </c>
      <c r="U279" s="30">
        <f t="shared" si="32"/>
        <v>520</v>
      </c>
      <c r="V279" s="30">
        <f t="shared" si="33"/>
        <v>780</v>
      </c>
      <c r="W279" s="23"/>
      <c r="X279" s="30">
        <v>15.868</v>
      </c>
      <c r="Y279" s="30">
        <v>27.08314</v>
      </c>
      <c r="Z279" s="53">
        <v>27.08314</v>
      </c>
      <c r="AA279" s="54">
        <f t="shared" si="38"/>
        <v>44.687181000000002</v>
      </c>
      <c r="AB279" s="23"/>
      <c r="AC279" s="4">
        <v>365</v>
      </c>
      <c r="AD279" s="32">
        <f t="shared" si="34"/>
        <v>131.7893</v>
      </c>
      <c r="AE279" s="32">
        <f t="shared" si="35"/>
        <v>144.17600000000002</v>
      </c>
      <c r="AF279" s="32">
        <f t="shared" si="36"/>
        <v>140.83000000000001</v>
      </c>
      <c r="AG279" s="32">
        <f t="shared" si="36"/>
        <v>348.56</v>
      </c>
      <c r="AH279" s="78"/>
      <c r="AI279" s="78"/>
      <c r="AJ279" s="55">
        <f t="shared" si="37"/>
        <v>765.35529999999994</v>
      </c>
      <c r="AK279" s="32"/>
      <c r="AL279" s="33"/>
      <c r="AM279" s="23"/>
    </row>
    <row r="280" spans="1:39" ht="15.6" x14ac:dyDescent="0.3">
      <c r="A280" s="64"/>
      <c r="B280" s="64"/>
      <c r="C280" s="5" t="s">
        <v>619</v>
      </c>
      <c r="D280" s="5" t="s">
        <v>120</v>
      </c>
      <c r="E280" s="7" t="s">
        <v>0</v>
      </c>
      <c r="F280" s="5"/>
      <c r="G280" s="23"/>
      <c r="H280" s="10">
        <v>1085</v>
      </c>
      <c r="I280" s="10">
        <v>923</v>
      </c>
      <c r="J280" s="10">
        <v>930</v>
      </c>
      <c r="K280" s="10">
        <v>822</v>
      </c>
      <c r="L280" s="10">
        <v>573</v>
      </c>
      <c r="M280" s="10">
        <v>356</v>
      </c>
      <c r="N280" s="9" cm="1">
        <f t="array" ref="N280">SUM((H280:L280)/5)</f>
        <v>866.6</v>
      </c>
      <c r="O280" s="10">
        <v>850</v>
      </c>
      <c r="P280" s="23"/>
      <c r="Q280" s="30">
        <v>49.308</v>
      </c>
      <c r="R280" s="30">
        <v>72.016000000000005</v>
      </c>
      <c r="S280" s="30">
        <v>0.441</v>
      </c>
      <c r="T280" s="30">
        <v>0.441</v>
      </c>
      <c r="U280" s="30">
        <f t="shared" si="32"/>
        <v>340</v>
      </c>
      <c r="V280" s="30">
        <f t="shared" si="33"/>
        <v>510</v>
      </c>
      <c r="W280" s="23"/>
      <c r="X280" s="30">
        <v>15.868</v>
      </c>
      <c r="Y280" s="30">
        <v>27.083369999999999</v>
      </c>
      <c r="Z280" s="53">
        <v>27.083369999999999</v>
      </c>
      <c r="AA280" s="54">
        <f t="shared" si="38"/>
        <v>44.687560500000004</v>
      </c>
      <c r="AB280" s="23"/>
      <c r="AC280" s="4">
        <v>365</v>
      </c>
      <c r="AD280" s="32">
        <f t="shared" si="34"/>
        <v>131.7893</v>
      </c>
      <c r="AE280" s="32">
        <f t="shared" si="35"/>
        <v>144.17600000000002</v>
      </c>
      <c r="AF280" s="32">
        <f t="shared" si="36"/>
        <v>92.08</v>
      </c>
      <c r="AG280" s="32">
        <f t="shared" si="36"/>
        <v>227.91</v>
      </c>
      <c r="AH280" s="78"/>
      <c r="AI280" s="78"/>
      <c r="AJ280" s="55">
        <f t="shared" si="37"/>
        <v>595.95529999999997</v>
      </c>
      <c r="AK280" s="32"/>
      <c r="AL280" s="33"/>
      <c r="AM280" s="23"/>
    </row>
    <row r="281" spans="1:39" ht="15.6" x14ac:dyDescent="0.3">
      <c r="A281" s="64"/>
      <c r="B281" s="64"/>
      <c r="C281" s="5" t="s">
        <v>619</v>
      </c>
      <c r="D281" s="5" t="s">
        <v>120</v>
      </c>
      <c r="E281" s="7" t="s">
        <v>0</v>
      </c>
      <c r="F281" s="5"/>
      <c r="G281" s="23"/>
      <c r="H281" s="10">
        <v>1436</v>
      </c>
      <c r="I281" s="10">
        <v>1269</v>
      </c>
      <c r="J281" s="10">
        <v>1356</v>
      </c>
      <c r="K281" s="10">
        <v>1279</v>
      </c>
      <c r="L281" s="10">
        <v>1459</v>
      </c>
      <c r="M281" s="10">
        <v>606</v>
      </c>
      <c r="N281" s="9" cm="1">
        <f t="array" ref="N281">SUM((H281:L281)/5)</f>
        <v>1359.8</v>
      </c>
      <c r="O281" s="10">
        <v>1360</v>
      </c>
      <c r="P281" s="23"/>
      <c r="Q281" s="30">
        <v>49.308</v>
      </c>
      <c r="R281" s="30">
        <v>72.016000000000005</v>
      </c>
      <c r="S281" s="30">
        <v>0.441</v>
      </c>
      <c r="T281" s="30">
        <v>0.441</v>
      </c>
      <c r="U281" s="30">
        <f t="shared" si="32"/>
        <v>544</v>
      </c>
      <c r="V281" s="30">
        <f t="shared" si="33"/>
        <v>816</v>
      </c>
      <c r="W281" s="23"/>
      <c r="X281" s="30">
        <v>15.868</v>
      </c>
      <c r="Y281" s="30">
        <v>27.083130000000001</v>
      </c>
      <c r="Z281" s="53">
        <v>27.083130000000001</v>
      </c>
      <c r="AA281" s="54">
        <f t="shared" si="38"/>
        <v>44.687164500000002</v>
      </c>
      <c r="AB281" s="23"/>
      <c r="AC281" s="4">
        <v>365</v>
      </c>
      <c r="AD281" s="32">
        <f t="shared" si="34"/>
        <v>131.7893</v>
      </c>
      <c r="AE281" s="32">
        <f t="shared" si="35"/>
        <v>144.17600000000002</v>
      </c>
      <c r="AF281" s="32">
        <f t="shared" si="36"/>
        <v>147.33000000000001</v>
      </c>
      <c r="AG281" s="32">
        <f t="shared" si="36"/>
        <v>364.65</v>
      </c>
      <c r="AH281" s="78"/>
      <c r="AI281" s="78"/>
      <c r="AJ281" s="55">
        <f t="shared" si="37"/>
        <v>787.94529999999997</v>
      </c>
      <c r="AK281" s="32"/>
      <c r="AL281" s="33"/>
      <c r="AM281" s="23"/>
    </row>
    <row r="282" spans="1:39" ht="15.6" x14ac:dyDescent="0.3">
      <c r="A282" s="64"/>
      <c r="B282" s="64"/>
      <c r="C282" s="5" t="s">
        <v>601</v>
      </c>
      <c r="D282" s="5" t="s">
        <v>120</v>
      </c>
      <c r="E282" s="7" t="s">
        <v>0</v>
      </c>
      <c r="F282" s="5"/>
      <c r="G282" s="23"/>
      <c r="H282" s="10">
        <v>1179</v>
      </c>
      <c r="I282" s="10">
        <v>1034</v>
      </c>
      <c r="J282" s="10">
        <v>812</v>
      </c>
      <c r="K282" s="10">
        <v>917</v>
      </c>
      <c r="L282" s="10">
        <v>1126</v>
      </c>
      <c r="M282" s="10">
        <v>738</v>
      </c>
      <c r="N282" s="9" cm="1">
        <f t="array" ref="N282">SUM((H282:L282)/5)</f>
        <v>1013.5999999999999</v>
      </c>
      <c r="O282" s="10">
        <v>1010</v>
      </c>
      <c r="P282" s="23"/>
      <c r="Q282" s="30">
        <v>49.308</v>
      </c>
      <c r="R282" s="30">
        <v>72.016000000000005</v>
      </c>
      <c r="S282" s="30">
        <v>0.441</v>
      </c>
      <c r="T282" s="30">
        <v>0.441</v>
      </c>
      <c r="U282" s="30">
        <f t="shared" si="32"/>
        <v>404</v>
      </c>
      <c r="V282" s="30">
        <f t="shared" si="33"/>
        <v>606</v>
      </c>
      <c r="W282" s="23"/>
      <c r="X282" s="30">
        <v>15.868</v>
      </c>
      <c r="Y282" s="30">
        <v>27.082740000000001</v>
      </c>
      <c r="Z282" s="53">
        <v>27.082740000000001</v>
      </c>
      <c r="AA282" s="54">
        <f t="shared" si="38"/>
        <v>44.686520999999999</v>
      </c>
      <c r="AB282" s="23"/>
      <c r="AC282" s="4">
        <v>365</v>
      </c>
      <c r="AD282" s="32">
        <f t="shared" si="34"/>
        <v>131.7893</v>
      </c>
      <c r="AE282" s="32">
        <f t="shared" si="35"/>
        <v>144.17600000000002</v>
      </c>
      <c r="AF282" s="32">
        <f t="shared" si="36"/>
        <v>109.41</v>
      </c>
      <c r="AG282" s="32">
        <f t="shared" si="36"/>
        <v>270.8</v>
      </c>
      <c r="AH282" s="78"/>
      <c r="AI282" s="78"/>
      <c r="AJ282" s="55">
        <f t="shared" si="37"/>
        <v>656.17530000000011</v>
      </c>
      <c r="AK282" s="32"/>
      <c r="AL282" s="33"/>
      <c r="AM282" s="23"/>
    </row>
    <row r="283" spans="1:39" ht="15.6" x14ac:dyDescent="0.3">
      <c r="A283" s="64"/>
      <c r="B283" s="64"/>
      <c r="C283" s="5" t="s">
        <v>672</v>
      </c>
      <c r="D283" s="5" t="s">
        <v>120</v>
      </c>
      <c r="E283" s="7" t="s">
        <v>0</v>
      </c>
      <c r="F283" s="5"/>
      <c r="G283" s="23"/>
      <c r="H283" s="10">
        <v>0</v>
      </c>
      <c r="I283" s="10">
        <v>0</v>
      </c>
      <c r="J283" s="10">
        <v>0</v>
      </c>
      <c r="K283" s="10">
        <v>0</v>
      </c>
      <c r="L283" s="10">
        <v>0</v>
      </c>
      <c r="M283" s="10">
        <v>0</v>
      </c>
      <c r="N283" s="9" cm="1">
        <f t="array" ref="N283">SUM((H283:L283)/5)</f>
        <v>0</v>
      </c>
      <c r="O283" s="10">
        <v>0</v>
      </c>
      <c r="P283" s="23"/>
      <c r="Q283" s="30">
        <v>49.308</v>
      </c>
      <c r="R283" s="30">
        <v>63.256999999999998</v>
      </c>
      <c r="S283" s="30">
        <v>0.441</v>
      </c>
      <c r="T283" s="30">
        <v>0.441</v>
      </c>
      <c r="U283" s="30">
        <f t="shared" si="32"/>
        <v>0</v>
      </c>
      <c r="V283" s="30">
        <f t="shared" si="33"/>
        <v>0</v>
      </c>
      <c r="W283" s="23"/>
      <c r="X283" s="30">
        <v>15.868</v>
      </c>
      <c r="Y283" s="30">
        <v>27.870339999999999</v>
      </c>
      <c r="Z283" s="53">
        <v>27.870339999999999</v>
      </c>
      <c r="AA283" s="54">
        <f t="shared" si="38"/>
        <v>45.986060999999999</v>
      </c>
      <c r="AB283" s="23"/>
      <c r="AC283" s="4">
        <v>365</v>
      </c>
      <c r="AD283" s="32">
        <f t="shared" si="34"/>
        <v>115.7603</v>
      </c>
      <c r="AE283" s="32">
        <f t="shared" si="35"/>
        <v>126.64049999999999</v>
      </c>
      <c r="AF283" s="32">
        <f t="shared" si="36"/>
        <v>0</v>
      </c>
      <c r="AG283" s="32">
        <f t="shared" si="36"/>
        <v>0</v>
      </c>
      <c r="AH283" s="78"/>
      <c r="AI283" s="78"/>
      <c r="AJ283" s="55">
        <f t="shared" si="37"/>
        <v>242.4008</v>
      </c>
      <c r="AK283" s="32"/>
      <c r="AL283" s="33"/>
      <c r="AM283" s="23"/>
    </row>
    <row r="284" spans="1:39" ht="15.6" x14ac:dyDescent="0.3">
      <c r="A284" s="64"/>
      <c r="B284" s="64"/>
      <c r="C284" s="5" t="s">
        <v>638</v>
      </c>
      <c r="D284" s="5" t="s">
        <v>120</v>
      </c>
      <c r="E284" s="7" t="s">
        <v>0</v>
      </c>
      <c r="F284" s="5"/>
      <c r="G284" s="23"/>
      <c r="H284" s="10">
        <v>579</v>
      </c>
      <c r="I284" s="10">
        <v>493</v>
      </c>
      <c r="J284" s="10">
        <v>538</v>
      </c>
      <c r="K284" s="10">
        <v>477</v>
      </c>
      <c r="L284" s="10">
        <v>552</v>
      </c>
      <c r="M284" s="10">
        <v>232</v>
      </c>
      <c r="N284" s="9" cm="1">
        <f t="array" ref="N284">SUM((H284:L284)/5)</f>
        <v>527.79999999999995</v>
      </c>
      <c r="O284" s="10">
        <v>500</v>
      </c>
      <c r="P284" s="23"/>
      <c r="Q284" s="30">
        <v>49.308</v>
      </c>
      <c r="R284" s="30">
        <v>72.016000000000005</v>
      </c>
      <c r="S284" s="30">
        <v>0.441</v>
      </c>
      <c r="T284" s="30">
        <v>0.441</v>
      </c>
      <c r="U284" s="30">
        <f t="shared" si="32"/>
        <v>200</v>
      </c>
      <c r="V284" s="30">
        <f t="shared" si="33"/>
        <v>300</v>
      </c>
      <c r="W284" s="23"/>
      <c r="X284" s="30">
        <v>15.868</v>
      </c>
      <c r="Y284" s="30">
        <v>27.082509999999999</v>
      </c>
      <c r="Z284" s="53">
        <v>27.082509999999999</v>
      </c>
      <c r="AA284" s="54">
        <f t="shared" si="38"/>
        <v>44.686141499999998</v>
      </c>
      <c r="AB284" s="23"/>
      <c r="AC284" s="4">
        <v>365</v>
      </c>
      <c r="AD284" s="32">
        <f t="shared" si="34"/>
        <v>131.7893</v>
      </c>
      <c r="AE284" s="32">
        <f t="shared" si="35"/>
        <v>144.17600000000002</v>
      </c>
      <c r="AF284" s="32">
        <f t="shared" si="36"/>
        <v>54.17</v>
      </c>
      <c r="AG284" s="32">
        <f t="shared" si="36"/>
        <v>134.06</v>
      </c>
      <c r="AH284" s="78"/>
      <c r="AI284" s="78"/>
      <c r="AJ284" s="55">
        <f t="shared" si="37"/>
        <v>464.19530000000003</v>
      </c>
      <c r="AK284" s="32"/>
      <c r="AL284" s="33"/>
      <c r="AM284" s="23"/>
    </row>
    <row r="285" spans="1:39" ht="15.6" x14ac:dyDescent="0.3">
      <c r="A285" s="64"/>
      <c r="B285" s="64"/>
      <c r="C285" s="5" t="s">
        <v>673</v>
      </c>
      <c r="D285" s="5" t="s">
        <v>120</v>
      </c>
      <c r="E285" s="7" t="s">
        <v>0</v>
      </c>
      <c r="F285" s="5"/>
      <c r="G285" s="23"/>
      <c r="H285" s="10">
        <v>1016</v>
      </c>
      <c r="I285" s="10">
        <v>1124</v>
      </c>
      <c r="J285" s="10">
        <v>1285</v>
      </c>
      <c r="K285" s="10">
        <v>1168</v>
      </c>
      <c r="L285" s="10">
        <v>771</v>
      </c>
      <c r="M285" s="10">
        <v>507</v>
      </c>
      <c r="N285" s="9" cm="1">
        <f t="array" ref="N285">SUM((H285:L285)/5)</f>
        <v>1072.8</v>
      </c>
      <c r="O285" s="10">
        <v>1070</v>
      </c>
      <c r="P285" s="23"/>
      <c r="Q285" s="30">
        <v>49.308</v>
      </c>
      <c r="R285" s="30">
        <v>72.016000000000005</v>
      </c>
      <c r="S285" s="30">
        <v>0.441</v>
      </c>
      <c r="T285" s="30">
        <v>0.441</v>
      </c>
      <c r="U285" s="30">
        <f t="shared" si="32"/>
        <v>428</v>
      </c>
      <c r="V285" s="30">
        <f t="shared" si="33"/>
        <v>642</v>
      </c>
      <c r="W285" s="23"/>
      <c r="X285" s="30">
        <v>15.868</v>
      </c>
      <c r="Y285" s="30">
        <v>27.08239</v>
      </c>
      <c r="Z285" s="53">
        <v>27.08239</v>
      </c>
      <c r="AA285" s="54">
        <f t="shared" si="38"/>
        <v>44.6859435</v>
      </c>
      <c r="AB285" s="23"/>
      <c r="AC285" s="4">
        <v>365</v>
      </c>
      <c r="AD285" s="32">
        <f t="shared" si="34"/>
        <v>131.7893</v>
      </c>
      <c r="AE285" s="32">
        <f t="shared" si="35"/>
        <v>144.17600000000002</v>
      </c>
      <c r="AF285" s="32">
        <f t="shared" si="36"/>
        <v>115.91</v>
      </c>
      <c r="AG285" s="32">
        <f t="shared" si="36"/>
        <v>286.88</v>
      </c>
      <c r="AH285" s="78"/>
      <c r="AI285" s="78"/>
      <c r="AJ285" s="55">
        <f t="shared" si="37"/>
        <v>678.75530000000003</v>
      </c>
      <c r="AK285" s="32"/>
      <c r="AL285" s="33"/>
      <c r="AM285" s="23"/>
    </row>
    <row r="286" spans="1:39" ht="15.6" x14ac:dyDescent="0.3">
      <c r="A286" s="64"/>
      <c r="B286" s="64"/>
      <c r="C286" s="5" t="s">
        <v>673</v>
      </c>
      <c r="D286" s="5" t="s">
        <v>120</v>
      </c>
      <c r="E286" s="7" t="s">
        <v>0</v>
      </c>
      <c r="F286" s="5"/>
      <c r="G286" s="23"/>
      <c r="H286" s="10">
        <v>1775</v>
      </c>
      <c r="I286" s="10">
        <v>1372</v>
      </c>
      <c r="J286" s="10">
        <v>1190</v>
      </c>
      <c r="K286" s="10">
        <v>1771</v>
      </c>
      <c r="L286" s="10">
        <v>1900</v>
      </c>
      <c r="M286" s="10">
        <v>1028</v>
      </c>
      <c r="N286" s="9" cm="1">
        <f t="array" ref="N286">SUM((H286:L286)/5)</f>
        <v>1601.6</v>
      </c>
      <c r="O286" s="10">
        <v>1800</v>
      </c>
      <c r="P286" s="23"/>
      <c r="Q286" s="30">
        <v>49.308</v>
      </c>
      <c r="R286" s="30">
        <v>72.016000000000005</v>
      </c>
      <c r="S286" s="30">
        <v>0.441</v>
      </c>
      <c r="T286" s="30">
        <v>0.441</v>
      </c>
      <c r="U286" s="30">
        <f t="shared" si="32"/>
        <v>720</v>
      </c>
      <c r="V286" s="30">
        <f t="shared" si="33"/>
        <v>1080</v>
      </c>
      <c r="W286" s="23"/>
      <c r="X286" s="30">
        <v>15.868</v>
      </c>
      <c r="Y286" s="30">
        <v>27.082920000000001</v>
      </c>
      <c r="Z286" s="53">
        <v>27.082920000000001</v>
      </c>
      <c r="AA286" s="54">
        <f t="shared" si="38"/>
        <v>44.686818000000002</v>
      </c>
      <c r="AB286" s="23"/>
      <c r="AC286" s="4">
        <v>365</v>
      </c>
      <c r="AD286" s="32">
        <f t="shared" si="34"/>
        <v>131.7893</v>
      </c>
      <c r="AE286" s="32">
        <f t="shared" si="35"/>
        <v>144.17600000000002</v>
      </c>
      <c r="AF286" s="32">
        <f t="shared" si="36"/>
        <v>195</v>
      </c>
      <c r="AG286" s="32">
        <f t="shared" si="36"/>
        <v>482.62</v>
      </c>
      <c r="AH286" s="78"/>
      <c r="AI286" s="78"/>
      <c r="AJ286" s="55">
        <f t="shared" si="37"/>
        <v>953.58529999999996</v>
      </c>
      <c r="AK286" s="32"/>
      <c r="AL286" s="33"/>
      <c r="AM286" s="23"/>
    </row>
    <row r="287" spans="1:39" ht="15.6" x14ac:dyDescent="0.3">
      <c r="A287" s="64"/>
      <c r="B287" s="64"/>
      <c r="C287" s="5" t="s">
        <v>685</v>
      </c>
      <c r="D287" s="5" t="s">
        <v>120</v>
      </c>
      <c r="E287" s="7" t="s">
        <v>0</v>
      </c>
      <c r="F287" s="5"/>
      <c r="G287" s="23"/>
      <c r="H287" s="10">
        <v>237</v>
      </c>
      <c r="I287" s="10">
        <v>557</v>
      </c>
      <c r="J287" s="10">
        <v>810</v>
      </c>
      <c r="K287" s="10">
        <v>734</v>
      </c>
      <c r="L287" s="10">
        <v>856</v>
      </c>
      <c r="M287" s="10">
        <v>36</v>
      </c>
      <c r="N287" s="9" cm="1">
        <f t="array" ref="N287">SUM((H287:L287)/5)</f>
        <v>638.79999999999995</v>
      </c>
      <c r="O287" s="10">
        <v>800</v>
      </c>
      <c r="P287" s="23"/>
      <c r="Q287" s="30">
        <v>49.308</v>
      </c>
      <c r="R287" s="30">
        <v>72.016000000000005</v>
      </c>
      <c r="S287" s="30">
        <v>0.441</v>
      </c>
      <c r="T287" s="30">
        <v>0.441</v>
      </c>
      <c r="U287" s="30">
        <f t="shared" si="32"/>
        <v>320</v>
      </c>
      <c r="V287" s="30">
        <f t="shared" si="33"/>
        <v>480</v>
      </c>
      <c r="W287" s="23"/>
      <c r="X287" s="30">
        <v>15.868</v>
      </c>
      <c r="Y287" s="30">
        <v>27.082260000000002</v>
      </c>
      <c r="Z287" s="53">
        <v>27.082260000000002</v>
      </c>
      <c r="AA287" s="54">
        <f t="shared" si="38"/>
        <v>44.685729000000002</v>
      </c>
      <c r="AB287" s="23"/>
      <c r="AC287" s="4">
        <v>365</v>
      </c>
      <c r="AD287" s="32">
        <f t="shared" si="34"/>
        <v>131.7893</v>
      </c>
      <c r="AE287" s="32">
        <f t="shared" si="35"/>
        <v>144.17600000000002</v>
      </c>
      <c r="AF287" s="32">
        <f t="shared" si="36"/>
        <v>86.66</v>
      </c>
      <c r="AG287" s="32">
        <f t="shared" si="36"/>
        <v>214.49</v>
      </c>
      <c r="AH287" s="78"/>
      <c r="AI287" s="78"/>
      <c r="AJ287" s="55">
        <f t="shared" si="37"/>
        <v>577.11530000000005</v>
      </c>
      <c r="AK287" s="32"/>
      <c r="AL287" s="33"/>
      <c r="AM287" s="23"/>
    </row>
    <row r="288" spans="1:39" ht="15.6" x14ac:dyDescent="0.3">
      <c r="A288" s="64"/>
      <c r="B288" s="64"/>
      <c r="C288" s="5" t="s">
        <v>498</v>
      </c>
      <c r="D288" s="5" t="s">
        <v>120</v>
      </c>
      <c r="E288" s="7" t="s">
        <v>0</v>
      </c>
      <c r="F288" s="5"/>
      <c r="G288" s="23"/>
      <c r="H288" s="10">
        <v>770</v>
      </c>
      <c r="I288" s="10">
        <v>804</v>
      </c>
      <c r="J288" s="10">
        <v>656</v>
      </c>
      <c r="K288" s="10">
        <v>544</v>
      </c>
      <c r="L288" s="10">
        <v>717</v>
      </c>
      <c r="M288" s="10">
        <v>355</v>
      </c>
      <c r="N288" s="9" cm="1">
        <f t="array" ref="N288">SUM((H288:L288)/5)</f>
        <v>698.19999999999993</v>
      </c>
      <c r="O288" s="10">
        <v>750</v>
      </c>
      <c r="P288" s="23"/>
      <c r="Q288" s="30">
        <v>49.308</v>
      </c>
      <c r="R288" s="30">
        <v>72.016000000000005</v>
      </c>
      <c r="S288" s="30">
        <v>0.441</v>
      </c>
      <c r="T288" s="30">
        <v>0.441</v>
      </c>
      <c r="U288" s="30">
        <f t="shared" si="32"/>
        <v>300</v>
      </c>
      <c r="V288" s="30">
        <f t="shared" si="33"/>
        <v>450</v>
      </c>
      <c r="W288" s="23"/>
      <c r="X288" s="30">
        <v>15.868</v>
      </c>
      <c r="Y288" s="30">
        <v>27.082519999999999</v>
      </c>
      <c r="Z288" s="53">
        <v>27.082519999999999</v>
      </c>
      <c r="AA288" s="54">
        <f t="shared" si="38"/>
        <v>44.686157999999999</v>
      </c>
      <c r="AB288" s="23"/>
      <c r="AC288" s="4">
        <v>365</v>
      </c>
      <c r="AD288" s="32">
        <f t="shared" si="34"/>
        <v>131.7893</v>
      </c>
      <c r="AE288" s="32">
        <f t="shared" si="35"/>
        <v>144.17600000000002</v>
      </c>
      <c r="AF288" s="32">
        <f t="shared" si="36"/>
        <v>81.25</v>
      </c>
      <c r="AG288" s="32">
        <f t="shared" si="36"/>
        <v>201.09</v>
      </c>
      <c r="AH288" s="78"/>
      <c r="AI288" s="78"/>
      <c r="AJ288" s="55">
        <f t="shared" si="37"/>
        <v>558.30529999999999</v>
      </c>
      <c r="AK288" s="32"/>
      <c r="AL288" s="33"/>
      <c r="AM288" s="23"/>
    </row>
    <row r="289" spans="1:39" ht="45" x14ac:dyDescent="0.3">
      <c r="A289" s="64"/>
      <c r="B289" s="64"/>
      <c r="C289" s="5" t="s">
        <v>608</v>
      </c>
      <c r="D289" s="5" t="s">
        <v>120</v>
      </c>
      <c r="E289" s="7" t="s">
        <v>0</v>
      </c>
      <c r="F289" s="5"/>
      <c r="G289" s="23"/>
      <c r="H289" s="10">
        <v>1311</v>
      </c>
      <c r="I289" s="10">
        <v>1625</v>
      </c>
      <c r="J289" s="10">
        <v>1844</v>
      </c>
      <c r="K289" s="10">
        <v>1863</v>
      </c>
      <c r="L289" s="10">
        <v>1833</v>
      </c>
      <c r="M289" s="10">
        <v>114</v>
      </c>
      <c r="N289" s="9" cm="1">
        <f t="array" ref="N289">SUM((H289:L289)/5)</f>
        <v>1695.1999999999998</v>
      </c>
      <c r="O289" s="10">
        <v>1850</v>
      </c>
      <c r="P289" s="23"/>
      <c r="Q289" s="30">
        <v>50.334000000000003</v>
      </c>
      <c r="R289" s="30">
        <v>63.256999999999998</v>
      </c>
      <c r="S289" s="30">
        <v>0.441</v>
      </c>
      <c r="T289" s="30">
        <v>0.441</v>
      </c>
      <c r="U289" s="30">
        <f t="shared" si="32"/>
        <v>740</v>
      </c>
      <c r="V289" s="30">
        <f t="shared" si="33"/>
        <v>1110</v>
      </c>
      <c r="W289" s="23"/>
      <c r="X289" s="30" t="s">
        <v>253</v>
      </c>
      <c r="Y289" s="30" t="s">
        <v>254</v>
      </c>
      <c r="Z289" s="53">
        <f>SUM(27.46326+25.03337+25.35281)/3</f>
        <v>25.949813333333335</v>
      </c>
      <c r="AA289" s="54">
        <f t="shared" si="38"/>
        <v>42.817192000000006</v>
      </c>
      <c r="AB289" s="23"/>
      <c r="AC289" s="4">
        <v>365</v>
      </c>
      <c r="AD289" s="32">
        <f t="shared" si="34"/>
        <v>115.7603</v>
      </c>
      <c r="AE289" s="32">
        <f t="shared" si="35"/>
        <v>126.64049999999999</v>
      </c>
      <c r="AF289" s="32">
        <f t="shared" si="36"/>
        <v>192.03</v>
      </c>
      <c r="AG289" s="32">
        <f t="shared" si="36"/>
        <v>475.27</v>
      </c>
      <c r="AH289" s="78"/>
      <c r="AI289" s="78"/>
      <c r="AJ289" s="55">
        <f t="shared" si="37"/>
        <v>909.70079999999996</v>
      </c>
      <c r="AK289" s="32"/>
      <c r="AL289" s="33"/>
      <c r="AM289" s="23"/>
    </row>
    <row r="290" spans="1:39" ht="15.6" x14ac:dyDescent="0.3">
      <c r="A290" s="64"/>
      <c r="B290" s="64"/>
      <c r="C290" s="5" t="s">
        <v>608</v>
      </c>
      <c r="D290" s="5" t="s">
        <v>120</v>
      </c>
      <c r="E290" s="7" t="s">
        <v>0</v>
      </c>
      <c r="F290" s="5"/>
      <c r="G290" s="23"/>
      <c r="H290" s="10">
        <v>691</v>
      </c>
      <c r="I290" s="10">
        <v>806</v>
      </c>
      <c r="J290" s="10">
        <v>541</v>
      </c>
      <c r="K290" s="10">
        <v>331</v>
      </c>
      <c r="L290" s="10">
        <v>526</v>
      </c>
      <c r="M290" s="10">
        <v>582</v>
      </c>
      <c r="N290" s="9" cm="1">
        <f t="array" ref="N290">SUM((H290:L290)/5)</f>
        <v>579</v>
      </c>
      <c r="O290" s="10">
        <v>580</v>
      </c>
      <c r="P290" s="23"/>
      <c r="Q290" s="30">
        <v>49.828000000000003</v>
      </c>
      <c r="R290" s="30">
        <v>63.256999999999998</v>
      </c>
      <c r="S290" s="30">
        <v>0.441</v>
      </c>
      <c r="T290" s="30">
        <v>0.441</v>
      </c>
      <c r="U290" s="30">
        <f t="shared" si="32"/>
        <v>232</v>
      </c>
      <c r="V290" s="30">
        <f t="shared" si="33"/>
        <v>348</v>
      </c>
      <c r="W290" s="23"/>
      <c r="X290" s="30">
        <v>15.061999999999999</v>
      </c>
      <c r="Y290" s="30">
        <v>26.5059</v>
      </c>
      <c r="Z290" s="53">
        <v>26.5059</v>
      </c>
      <c r="AA290" s="54">
        <f t="shared" si="38"/>
        <v>43.734735000000001</v>
      </c>
      <c r="AB290" s="23"/>
      <c r="AC290" s="4">
        <v>365</v>
      </c>
      <c r="AD290" s="32">
        <f t="shared" si="34"/>
        <v>115.7603</v>
      </c>
      <c r="AE290" s="32">
        <f t="shared" si="35"/>
        <v>126.64049999999999</v>
      </c>
      <c r="AF290" s="32">
        <f t="shared" si="36"/>
        <v>61.49</v>
      </c>
      <c r="AG290" s="32">
        <f t="shared" si="36"/>
        <v>152.19999999999999</v>
      </c>
      <c r="AH290" s="78"/>
      <c r="AI290" s="78"/>
      <c r="AJ290" s="55">
        <f t="shared" si="37"/>
        <v>456.0908</v>
      </c>
      <c r="AK290" s="32"/>
      <c r="AL290" s="33"/>
      <c r="AM290" s="23"/>
    </row>
    <row r="291" spans="1:39" ht="15.6" x14ac:dyDescent="0.3">
      <c r="A291" s="64"/>
      <c r="B291" s="64"/>
      <c r="C291" s="5" t="s">
        <v>608</v>
      </c>
      <c r="D291" s="5" t="s">
        <v>120</v>
      </c>
      <c r="E291" s="7" t="s">
        <v>0</v>
      </c>
      <c r="F291" s="5"/>
      <c r="G291" s="23"/>
      <c r="H291" s="10">
        <v>1517</v>
      </c>
      <c r="I291" s="10">
        <v>1523</v>
      </c>
      <c r="J291" s="10">
        <v>1453</v>
      </c>
      <c r="K291" s="10">
        <v>1460</v>
      </c>
      <c r="L291" s="10">
        <v>1328</v>
      </c>
      <c r="M291" s="10">
        <v>818</v>
      </c>
      <c r="N291" s="9" cm="1">
        <f t="array" ref="N291">SUM((H291:L291)/5)</f>
        <v>1456.1999999999998</v>
      </c>
      <c r="O291" s="10">
        <v>1460</v>
      </c>
      <c r="P291" s="23"/>
      <c r="Q291" s="30">
        <v>49.828000000000003</v>
      </c>
      <c r="R291" s="30">
        <v>63.256999999999998</v>
      </c>
      <c r="S291" s="30">
        <v>0.441</v>
      </c>
      <c r="T291" s="30">
        <v>0.441</v>
      </c>
      <c r="U291" s="30">
        <f t="shared" si="32"/>
        <v>584</v>
      </c>
      <c r="V291" s="30">
        <f t="shared" si="33"/>
        <v>876</v>
      </c>
      <c r="W291" s="23"/>
      <c r="X291" s="30">
        <v>15.061999999999999</v>
      </c>
      <c r="Y291" s="30">
        <v>26.506340000000002</v>
      </c>
      <c r="Z291" s="53">
        <v>26.506340000000002</v>
      </c>
      <c r="AA291" s="54">
        <f t="shared" si="38"/>
        <v>43.735461000000001</v>
      </c>
      <c r="AB291" s="23"/>
      <c r="AC291" s="4">
        <v>365</v>
      </c>
      <c r="AD291" s="32">
        <f t="shared" si="34"/>
        <v>115.7603</v>
      </c>
      <c r="AE291" s="32">
        <f t="shared" si="35"/>
        <v>126.64049999999999</v>
      </c>
      <c r="AF291" s="32">
        <f t="shared" si="36"/>
        <v>154.80000000000001</v>
      </c>
      <c r="AG291" s="32">
        <f t="shared" si="36"/>
        <v>383.12</v>
      </c>
      <c r="AH291" s="78"/>
      <c r="AI291" s="78"/>
      <c r="AJ291" s="55">
        <f t="shared" si="37"/>
        <v>780.32079999999996</v>
      </c>
      <c r="AK291" s="32"/>
      <c r="AL291" s="33"/>
      <c r="AM291" s="23"/>
    </row>
    <row r="292" spans="1:39" ht="15.6" x14ac:dyDescent="0.3">
      <c r="A292" s="64"/>
      <c r="B292" s="64"/>
      <c r="C292" s="5" t="s">
        <v>608</v>
      </c>
      <c r="D292" s="5" t="s">
        <v>120</v>
      </c>
      <c r="E292" s="7" t="s">
        <v>0</v>
      </c>
      <c r="F292" s="5"/>
      <c r="G292" s="23"/>
      <c r="H292" s="10">
        <v>594</v>
      </c>
      <c r="I292" s="10">
        <v>618</v>
      </c>
      <c r="J292" s="10">
        <v>600</v>
      </c>
      <c r="K292" s="10">
        <v>588</v>
      </c>
      <c r="L292" s="10">
        <v>655</v>
      </c>
      <c r="M292" s="10">
        <v>529</v>
      </c>
      <c r="N292" s="9" cm="1">
        <f t="array" ref="N292">SUM((H292:L292)/5)</f>
        <v>611</v>
      </c>
      <c r="O292" s="10">
        <v>620</v>
      </c>
      <c r="P292" s="23"/>
      <c r="Q292" s="30">
        <v>49.828000000000003</v>
      </c>
      <c r="R292" s="30">
        <v>63.256999999999998</v>
      </c>
      <c r="S292" s="30">
        <v>0.441</v>
      </c>
      <c r="T292" s="30">
        <v>0.441</v>
      </c>
      <c r="U292" s="30">
        <f t="shared" si="32"/>
        <v>248</v>
      </c>
      <c r="V292" s="30">
        <f t="shared" si="33"/>
        <v>372</v>
      </c>
      <c r="W292" s="23"/>
      <c r="X292" s="30">
        <v>15.061999999999999</v>
      </c>
      <c r="Y292" s="30">
        <v>26.506799999999998</v>
      </c>
      <c r="Z292" s="53">
        <v>26.506799999999998</v>
      </c>
      <c r="AA292" s="54">
        <f t="shared" si="38"/>
        <v>43.736220000000003</v>
      </c>
      <c r="AB292" s="23"/>
      <c r="AC292" s="4">
        <v>365</v>
      </c>
      <c r="AD292" s="32">
        <f t="shared" si="34"/>
        <v>115.7603</v>
      </c>
      <c r="AE292" s="32">
        <f t="shared" si="35"/>
        <v>126.64049999999999</v>
      </c>
      <c r="AF292" s="32">
        <f t="shared" si="36"/>
        <v>65.739999999999995</v>
      </c>
      <c r="AG292" s="32">
        <f t="shared" si="36"/>
        <v>162.69999999999999</v>
      </c>
      <c r="AH292" s="78"/>
      <c r="AI292" s="78"/>
      <c r="AJ292" s="55">
        <f t="shared" si="37"/>
        <v>470.8408</v>
      </c>
      <c r="AK292" s="32"/>
      <c r="AL292" s="33"/>
      <c r="AM292" s="23"/>
    </row>
    <row r="293" spans="1:39" ht="15.6" x14ac:dyDescent="0.3">
      <c r="A293" s="64"/>
      <c r="B293" s="64"/>
      <c r="C293" s="5" t="s">
        <v>467</v>
      </c>
      <c r="D293" s="5" t="s">
        <v>120</v>
      </c>
      <c r="E293" s="7" t="s">
        <v>0</v>
      </c>
      <c r="F293" s="5"/>
      <c r="G293" s="23"/>
      <c r="H293" s="10">
        <v>246</v>
      </c>
      <c r="I293" s="10">
        <v>853</v>
      </c>
      <c r="J293" s="10">
        <v>405</v>
      </c>
      <c r="K293" s="10">
        <v>574</v>
      </c>
      <c r="L293" s="10">
        <v>1620</v>
      </c>
      <c r="M293" s="10">
        <v>404</v>
      </c>
      <c r="N293" s="9" cm="1">
        <f t="array" ref="N293">SUM((H293:L293)/5)</f>
        <v>739.6</v>
      </c>
      <c r="O293" s="10">
        <v>740</v>
      </c>
      <c r="P293" s="23"/>
      <c r="Q293" s="30">
        <v>49.828000000000003</v>
      </c>
      <c r="R293" s="30">
        <v>63.256999999999998</v>
      </c>
      <c r="S293" s="30">
        <v>0.441</v>
      </c>
      <c r="T293" s="30">
        <v>0.441</v>
      </c>
      <c r="U293" s="30">
        <f t="shared" si="32"/>
        <v>296</v>
      </c>
      <c r="V293" s="30">
        <f t="shared" si="33"/>
        <v>444</v>
      </c>
      <c r="W293" s="23"/>
      <c r="X293" s="30">
        <v>15.061999999999999</v>
      </c>
      <c r="Y293" s="30">
        <v>26.505890000000001</v>
      </c>
      <c r="Z293" s="53">
        <v>26.505890000000001</v>
      </c>
      <c r="AA293" s="54">
        <f t="shared" si="38"/>
        <v>43.7347185</v>
      </c>
      <c r="AB293" s="23"/>
      <c r="AC293" s="4">
        <v>365</v>
      </c>
      <c r="AD293" s="32">
        <f t="shared" si="34"/>
        <v>115.7603</v>
      </c>
      <c r="AE293" s="32">
        <f t="shared" si="35"/>
        <v>126.64049999999999</v>
      </c>
      <c r="AF293" s="32">
        <f t="shared" si="36"/>
        <v>78.459999999999994</v>
      </c>
      <c r="AG293" s="32">
        <f t="shared" si="36"/>
        <v>194.18</v>
      </c>
      <c r="AH293" s="78"/>
      <c r="AI293" s="78"/>
      <c r="AJ293" s="55">
        <f t="shared" si="37"/>
        <v>515.04079999999999</v>
      </c>
      <c r="AK293" s="32"/>
      <c r="AL293" s="33"/>
      <c r="AM293" s="23"/>
    </row>
    <row r="294" spans="1:39" ht="30" x14ac:dyDescent="0.3">
      <c r="A294" s="64"/>
      <c r="B294" s="64"/>
      <c r="C294" s="5" t="s">
        <v>468</v>
      </c>
      <c r="D294" s="5" t="s">
        <v>120</v>
      </c>
      <c r="E294" s="7" t="s">
        <v>0</v>
      </c>
      <c r="F294" s="5"/>
      <c r="G294" s="23"/>
      <c r="H294" s="10">
        <v>639</v>
      </c>
      <c r="I294" s="10">
        <v>986</v>
      </c>
      <c r="J294" s="10">
        <v>1012</v>
      </c>
      <c r="K294" s="10">
        <v>1202</v>
      </c>
      <c r="L294" s="10">
        <v>1060</v>
      </c>
      <c r="M294" s="10">
        <v>533</v>
      </c>
      <c r="N294" s="9" cm="1">
        <f t="array" ref="N294">SUM((H294:L294)/5)</f>
        <v>979.8</v>
      </c>
      <c r="O294" s="10">
        <v>1100</v>
      </c>
      <c r="P294" s="23"/>
      <c r="Q294" s="30">
        <v>50.334000000000003</v>
      </c>
      <c r="R294" s="30">
        <v>63.256999999999998</v>
      </c>
      <c r="S294" s="30">
        <v>0.441</v>
      </c>
      <c r="T294" s="30">
        <v>0.441</v>
      </c>
      <c r="U294" s="30">
        <f t="shared" si="32"/>
        <v>440</v>
      </c>
      <c r="V294" s="30">
        <f t="shared" si="33"/>
        <v>660</v>
      </c>
      <c r="W294" s="23"/>
      <c r="X294" s="30" t="s">
        <v>229</v>
      </c>
      <c r="Y294" s="30" t="s">
        <v>255</v>
      </c>
      <c r="Z294" s="53">
        <f>SUM(26.71966+25.05524)/2</f>
        <v>25.887450000000001</v>
      </c>
      <c r="AA294" s="54">
        <f t="shared" si="38"/>
        <v>42.714292499999999</v>
      </c>
      <c r="AB294" s="23"/>
      <c r="AC294" s="4">
        <v>365</v>
      </c>
      <c r="AD294" s="32">
        <f t="shared" si="34"/>
        <v>115.7603</v>
      </c>
      <c r="AE294" s="32">
        <f t="shared" si="35"/>
        <v>126.64049999999999</v>
      </c>
      <c r="AF294" s="32">
        <f t="shared" si="36"/>
        <v>113.9</v>
      </c>
      <c r="AG294" s="32">
        <f t="shared" si="36"/>
        <v>281.91000000000003</v>
      </c>
      <c r="AH294" s="78"/>
      <c r="AI294" s="78"/>
      <c r="AJ294" s="55">
        <f t="shared" si="37"/>
        <v>638.21080000000006</v>
      </c>
      <c r="AK294" s="32"/>
      <c r="AL294" s="33"/>
      <c r="AM294" s="23"/>
    </row>
    <row r="295" spans="1:39" ht="30" x14ac:dyDescent="0.3">
      <c r="A295" s="64"/>
      <c r="B295" s="64"/>
      <c r="C295" s="5" t="s">
        <v>468</v>
      </c>
      <c r="D295" s="5" t="s">
        <v>120</v>
      </c>
      <c r="E295" s="7" t="s">
        <v>0</v>
      </c>
      <c r="F295" s="5"/>
      <c r="G295" s="23"/>
      <c r="H295" s="10">
        <v>612</v>
      </c>
      <c r="I295" s="10">
        <v>682</v>
      </c>
      <c r="J295" s="10">
        <v>605</v>
      </c>
      <c r="K295" s="10">
        <v>1321</v>
      </c>
      <c r="L295" s="10">
        <v>960</v>
      </c>
      <c r="M295" s="10">
        <v>597</v>
      </c>
      <c r="N295" s="9" cm="1">
        <f t="array" ref="N295">SUM((H295:L295)/5)</f>
        <v>836</v>
      </c>
      <c r="O295" s="10">
        <v>900</v>
      </c>
      <c r="P295" s="23"/>
      <c r="Q295" s="30">
        <v>50.334000000000003</v>
      </c>
      <c r="R295" s="30">
        <v>63.256999999999998</v>
      </c>
      <c r="S295" s="30">
        <v>0.441</v>
      </c>
      <c r="T295" s="30">
        <v>0.441</v>
      </c>
      <c r="U295" s="30">
        <f t="shared" si="32"/>
        <v>360</v>
      </c>
      <c r="V295" s="30">
        <f t="shared" si="33"/>
        <v>540</v>
      </c>
      <c r="W295" s="23"/>
      <c r="X295" s="30" t="s">
        <v>256</v>
      </c>
      <c r="Y295" s="30" t="s">
        <v>257</v>
      </c>
      <c r="Z295" s="53">
        <f>SUM(26.74955+25.26816)/2</f>
        <v>26.008855000000001</v>
      </c>
      <c r="AA295" s="54">
        <f t="shared" si="38"/>
        <v>42.914610750000001</v>
      </c>
      <c r="AB295" s="23"/>
      <c r="AC295" s="4">
        <v>365</v>
      </c>
      <c r="AD295" s="32">
        <f t="shared" si="34"/>
        <v>115.7603</v>
      </c>
      <c r="AE295" s="32">
        <f t="shared" si="35"/>
        <v>126.64049999999999</v>
      </c>
      <c r="AF295" s="32">
        <f t="shared" si="36"/>
        <v>93.63</v>
      </c>
      <c r="AG295" s="32">
        <f t="shared" si="36"/>
        <v>231.74</v>
      </c>
      <c r="AH295" s="78"/>
      <c r="AI295" s="78"/>
      <c r="AJ295" s="55">
        <f t="shared" si="37"/>
        <v>567.77080000000001</v>
      </c>
      <c r="AK295" s="32"/>
      <c r="AL295" s="33"/>
      <c r="AM295" s="23"/>
    </row>
    <row r="296" spans="1:39" ht="45" x14ac:dyDescent="0.3">
      <c r="A296" s="64"/>
      <c r="B296" s="64"/>
      <c r="C296" s="5" t="s">
        <v>620</v>
      </c>
      <c r="D296" s="5" t="s">
        <v>120</v>
      </c>
      <c r="E296" s="7" t="s">
        <v>0</v>
      </c>
      <c r="F296" s="5"/>
      <c r="G296" s="23"/>
      <c r="H296" s="10">
        <v>4259</v>
      </c>
      <c r="I296" s="10">
        <v>3035</v>
      </c>
      <c r="J296" s="10">
        <v>2699</v>
      </c>
      <c r="K296" s="10">
        <v>2596</v>
      </c>
      <c r="L296" s="10">
        <v>1468</v>
      </c>
      <c r="M296" s="10">
        <v>649</v>
      </c>
      <c r="N296" s="9" cm="1">
        <f t="array" ref="N296">SUM((H296:L296)/5)</f>
        <v>2811.4</v>
      </c>
      <c r="O296" s="10">
        <v>2300</v>
      </c>
      <c r="P296" s="23"/>
      <c r="Q296" s="30">
        <v>50.334000000000003</v>
      </c>
      <c r="R296" s="30">
        <v>63.256999999999998</v>
      </c>
      <c r="S296" s="30">
        <v>0.441</v>
      </c>
      <c r="T296" s="30">
        <v>0.441</v>
      </c>
      <c r="U296" s="30">
        <f t="shared" si="32"/>
        <v>920</v>
      </c>
      <c r="V296" s="30">
        <f t="shared" si="33"/>
        <v>1380</v>
      </c>
      <c r="W296" s="23"/>
      <c r="X296" s="30" t="s">
        <v>238</v>
      </c>
      <c r="Y296" s="30" t="s">
        <v>258</v>
      </c>
      <c r="Z296" s="53">
        <f>SUM(27.34186+24.91049+25.22969)/3</f>
        <v>25.827346666666667</v>
      </c>
      <c r="AA296" s="54">
        <f t="shared" si="38"/>
        <v>42.615122</v>
      </c>
      <c r="AB296" s="23"/>
      <c r="AC296" s="4">
        <v>365</v>
      </c>
      <c r="AD296" s="32">
        <f t="shared" si="34"/>
        <v>115.7603</v>
      </c>
      <c r="AE296" s="32">
        <f t="shared" si="35"/>
        <v>126.64049999999999</v>
      </c>
      <c r="AF296" s="32">
        <f t="shared" si="36"/>
        <v>237.61</v>
      </c>
      <c r="AG296" s="32">
        <f t="shared" si="36"/>
        <v>588.09</v>
      </c>
      <c r="AH296" s="78"/>
      <c r="AI296" s="78"/>
      <c r="AJ296" s="55">
        <f t="shared" si="37"/>
        <v>1068.1008000000002</v>
      </c>
      <c r="AK296" s="32"/>
      <c r="AL296" s="33"/>
      <c r="AM296" s="23"/>
    </row>
    <row r="297" spans="1:39" ht="45" x14ac:dyDescent="0.3">
      <c r="A297" s="64"/>
      <c r="B297" s="64"/>
      <c r="C297" s="5" t="s">
        <v>620</v>
      </c>
      <c r="D297" s="5" t="s">
        <v>120</v>
      </c>
      <c r="E297" s="7" t="s">
        <v>0</v>
      </c>
      <c r="F297" s="5"/>
      <c r="G297" s="23"/>
      <c r="H297" s="10">
        <v>2857</v>
      </c>
      <c r="I297" s="10">
        <v>3765</v>
      </c>
      <c r="J297" s="10">
        <v>3983</v>
      </c>
      <c r="K297" s="10">
        <v>3803</v>
      </c>
      <c r="L297" s="10">
        <v>1612</v>
      </c>
      <c r="M297" s="10">
        <v>686</v>
      </c>
      <c r="N297" s="9" cm="1">
        <f t="array" ref="N297">SUM((H297:L297)/5)</f>
        <v>3204</v>
      </c>
      <c r="O297" s="10">
        <v>3200</v>
      </c>
      <c r="P297" s="23"/>
      <c r="Q297" s="30">
        <v>59.098999999999997</v>
      </c>
      <c r="R297" s="30">
        <v>88.853999999999999</v>
      </c>
      <c r="S297" s="30">
        <v>0.441</v>
      </c>
      <c r="T297" s="30">
        <v>0.441</v>
      </c>
      <c r="U297" s="30">
        <f t="shared" si="32"/>
        <v>1280</v>
      </c>
      <c r="V297" s="30">
        <f t="shared" si="33"/>
        <v>1920</v>
      </c>
      <c r="W297" s="23"/>
      <c r="X297" s="30" t="s">
        <v>259</v>
      </c>
      <c r="Y297" s="30" t="s">
        <v>260</v>
      </c>
      <c r="Z297" s="53">
        <f>SUM(27.34486+24.91463+25.2339)/3</f>
        <v>25.831130000000002</v>
      </c>
      <c r="AA297" s="54">
        <f t="shared" si="38"/>
        <v>42.621364499999999</v>
      </c>
      <c r="AB297" s="23"/>
      <c r="AC297" s="4">
        <v>365</v>
      </c>
      <c r="AD297" s="32">
        <f t="shared" si="34"/>
        <v>162.6028</v>
      </c>
      <c r="AE297" s="32">
        <f t="shared" si="35"/>
        <v>177.88569999999999</v>
      </c>
      <c r="AF297" s="32">
        <f t="shared" si="36"/>
        <v>330.64</v>
      </c>
      <c r="AG297" s="32">
        <f t="shared" si="36"/>
        <v>818.33</v>
      </c>
      <c r="AH297" s="78"/>
      <c r="AI297" s="78"/>
      <c r="AJ297" s="55">
        <f t="shared" si="37"/>
        <v>1489.4585000000002</v>
      </c>
      <c r="AK297" s="32"/>
      <c r="AL297" s="33"/>
      <c r="AM297" s="23"/>
    </row>
    <row r="298" spans="1:39" ht="45" x14ac:dyDescent="0.3">
      <c r="A298" s="64"/>
      <c r="B298" s="64"/>
      <c r="C298" s="5" t="s">
        <v>620</v>
      </c>
      <c r="D298" s="5" t="s">
        <v>120</v>
      </c>
      <c r="E298" s="7" t="s">
        <v>0</v>
      </c>
      <c r="F298" s="5"/>
      <c r="G298" s="23"/>
      <c r="H298" s="10">
        <v>1686</v>
      </c>
      <c r="I298" s="10">
        <v>1677</v>
      </c>
      <c r="J298" s="10">
        <v>1714</v>
      </c>
      <c r="K298" s="10">
        <v>1718</v>
      </c>
      <c r="L298" s="10">
        <v>1359</v>
      </c>
      <c r="M298" s="10">
        <v>861</v>
      </c>
      <c r="N298" s="9" cm="1">
        <f t="array" ref="N298">SUM((H298:L298)/5)</f>
        <v>1630.8</v>
      </c>
      <c r="O298" s="10">
        <v>1630</v>
      </c>
      <c r="P298" s="23" t="s">
        <v>33</v>
      </c>
      <c r="Q298" s="30">
        <v>50.344000000000001</v>
      </c>
      <c r="R298" s="30">
        <v>63.256999999999998</v>
      </c>
      <c r="S298" s="30">
        <v>0.441</v>
      </c>
      <c r="T298" s="30">
        <v>0.441</v>
      </c>
      <c r="U298" s="30">
        <f t="shared" si="32"/>
        <v>652</v>
      </c>
      <c r="V298" s="30">
        <f t="shared" si="33"/>
        <v>978</v>
      </c>
      <c r="W298" s="23"/>
      <c r="X298" s="30" t="s">
        <v>238</v>
      </c>
      <c r="Y298" s="30" t="s">
        <v>261</v>
      </c>
      <c r="Z298" s="53">
        <f>SUM(27.46996+25.04039+25.36024)/3</f>
        <v>25.956863333333335</v>
      </c>
      <c r="AA298" s="54">
        <f t="shared" si="38"/>
        <v>42.828824500000003</v>
      </c>
      <c r="AB298" s="23"/>
      <c r="AC298" s="4">
        <v>365</v>
      </c>
      <c r="AD298" s="32">
        <f t="shared" si="34"/>
        <v>115.7603</v>
      </c>
      <c r="AE298" s="32">
        <f t="shared" si="35"/>
        <v>126.64049999999999</v>
      </c>
      <c r="AF298" s="32">
        <f t="shared" si="36"/>
        <v>169.24</v>
      </c>
      <c r="AG298" s="32">
        <f t="shared" si="36"/>
        <v>418.87</v>
      </c>
      <c r="AH298" s="78"/>
      <c r="AI298" s="78"/>
      <c r="AJ298" s="55">
        <f t="shared" si="37"/>
        <v>830.51080000000002</v>
      </c>
      <c r="AK298" s="32"/>
      <c r="AL298" s="33"/>
      <c r="AM298" s="23"/>
    </row>
    <row r="299" spans="1:39" ht="45" x14ac:dyDescent="0.3">
      <c r="A299" s="64"/>
      <c r="B299" s="64"/>
      <c r="C299" s="5" t="s">
        <v>620</v>
      </c>
      <c r="D299" s="5" t="s">
        <v>120</v>
      </c>
      <c r="E299" s="7" t="s">
        <v>0</v>
      </c>
      <c r="F299" s="5"/>
      <c r="G299" s="23"/>
      <c r="H299" s="10">
        <v>1737</v>
      </c>
      <c r="I299" s="10">
        <v>1728</v>
      </c>
      <c r="J299" s="10">
        <v>1741</v>
      </c>
      <c r="K299" s="10">
        <v>1751</v>
      </c>
      <c r="L299" s="10">
        <v>1493</v>
      </c>
      <c r="M299" s="10">
        <v>684</v>
      </c>
      <c r="N299" s="9" cm="1">
        <f t="array" ref="N299">SUM((H299:L299)/5)</f>
        <v>1690</v>
      </c>
      <c r="O299" s="10">
        <v>1690</v>
      </c>
      <c r="P299" s="23"/>
      <c r="Q299" s="30">
        <v>50.344000000000001</v>
      </c>
      <c r="R299" s="30">
        <v>63.256999999999998</v>
      </c>
      <c r="S299" s="30">
        <v>0.441</v>
      </c>
      <c r="T299" s="30">
        <v>0.441</v>
      </c>
      <c r="U299" s="30">
        <f t="shared" si="32"/>
        <v>676</v>
      </c>
      <c r="V299" s="30">
        <f t="shared" si="33"/>
        <v>1014</v>
      </c>
      <c r="W299" s="23"/>
      <c r="X299" s="30" t="s">
        <v>238</v>
      </c>
      <c r="Y299" s="30" t="s">
        <v>262</v>
      </c>
      <c r="Z299" s="53">
        <f>SUM(27.46764+25.03845+25.35765)/3</f>
        <v>25.954580000000004</v>
      </c>
      <c r="AA299" s="54">
        <f t="shared" si="38"/>
        <v>42.825057000000008</v>
      </c>
      <c r="AB299" s="23"/>
      <c r="AC299" s="4">
        <v>365</v>
      </c>
      <c r="AD299" s="32">
        <f t="shared" si="34"/>
        <v>115.7603</v>
      </c>
      <c r="AE299" s="32">
        <f t="shared" si="35"/>
        <v>126.64049999999999</v>
      </c>
      <c r="AF299" s="32">
        <f t="shared" si="36"/>
        <v>175.45</v>
      </c>
      <c r="AG299" s="32">
        <f t="shared" si="36"/>
        <v>434.25</v>
      </c>
      <c r="AH299" s="78"/>
      <c r="AI299" s="78"/>
      <c r="AJ299" s="55">
        <f t="shared" si="37"/>
        <v>852.10079999999994</v>
      </c>
      <c r="AK299" s="32"/>
      <c r="AL299" s="33"/>
      <c r="AM299" s="23"/>
    </row>
    <row r="300" spans="1:39" ht="45" x14ac:dyDescent="0.3">
      <c r="A300" s="64"/>
      <c r="B300" s="64"/>
      <c r="C300" s="5" t="s">
        <v>654</v>
      </c>
      <c r="D300" s="5" t="s">
        <v>120</v>
      </c>
      <c r="E300" s="7" t="s">
        <v>0</v>
      </c>
      <c r="F300" s="5"/>
      <c r="G300" s="23"/>
      <c r="H300" s="10">
        <v>3562</v>
      </c>
      <c r="I300" s="10">
        <v>4014</v>
      </c>
      <c r="J300" s="10">
        <v>3933</v>
      </c>
      <c r="K300" s="10">
        <v>2758</v>
      </c>
      <c r="L300" s="10">
        <v>1950</v>
      </c>
      <c r="M300" s="10">
        <v>889</v>
      </c>
      <c r="N300" s="9" cm="1">
        <f t="array" ref="N300">SUM((H300:L300)/5)</f>
        <v>3243.3999999999996</v>
      </c>
      <c r="O300" s="10">
        <v>3000</v>
      </c>
      <c r="P300" s="23"/>
      <c r="Q300" s="30">
        <v>59.098999999999997</v>
      </c>
      <c r="R300" s="30">
        <v>88.853999999999999</v>
      </c>
      <c r="S300" s="30">
        <v>0.441</v>
      </c>
      <c r="T300" s="30">
        <v>0.441</v>
      </c>
      <c r="U300" s="30">
        <f t="shared" si="32"/>
        <v>1200</v>
      </c>
      <c r="V300" s="30">
        <f t="shared" si="33"/>
        <v>1800</v>
      </c>
      <c r="W300" s="23"/>
      <c r="X300" s="30" t="s">
        <v>259</v>
      </c>
      <c r="Y300" s="30" t="s">
        <v>263</v>
      </c>
      <c r="Z300" s="53">
        <f>SUM(27.3968+24.96755+25.2864)/3</f>
        <v>25.883583333333334</v>
      </c>
      <c r="AA300" s="54">
        <f t="shared" si="38"/>
        <v>42.707912500000006</v>
      </c>
      <c r="AB300" s="23"/>
      <c r="AC300" s="4">
        <v>365</v>
      </c>
      <c r="AD300" s="32">
        <f t="shared" si="34"/>
        <v>162.6028</v>
      </c>
      <c r="AE300" s="32">
        <f t="shared" si="35"/>
        <v>177.88569999999999</v>
      </c>
      <c r="AF300" s="32">
        <f t="shared" si="36"/>
        <v>310.60000000000002</v>
      </c>
      <c r="AG300" s="32">
        <f t="shared" si="36"/>
        <v>768.74</v>
      </c>
      <c r="AH300" s="78"/>
      <c r="AI300" s="78"/>
      <c r="AJ300" s="55">
        <f t="shared" si="37"/>
        <v>1419.8285000000001</v>
      </c>
      <c r="AK300" s="32"/>
      <c r="AL300" s="33"/>
      <c r="AM300" s="23"/>
    </row>
    <row r="301" spans="1:39" ht="45" x14ac:dyDescent="0.3">
      <c r="A301" s="64"/>
      <c r="B301" s="64"/>
      <c r="C301" s="5" t="s">
        <v>654</v>
      </c>
      <c r="D301" s="5" t="s">
        <v>120</v>
      </c>
      <c r="E301" s="7" t="s">
        <v>0</v>
      </c>
      <c r="F301" s="5"/>
      <c r="G301" s="23"/>
      <c r="H301" s="10">
        <v>3287</v>
      </c>
      <c r="I301" s="10">
        <v>2583</v>
      </c>
      <c r="J301" s="10">
        <v>2122</v>
      </c>
      <c r="K301" s="10">
        <v>1831</v>
      </c>
      <c r="L301" s="10">
        <v>1300</v>
      </c>
      <c r="M301" s="10">
        <v>62</v>
      </c>
      <c r="N301" s="9" cm="1">
        <f t="array" ref="N301">SUM((H301:L301)/5)</f>
        <v>2224.6000000000004</v>
      </c>
      <c r="O301" s="10">
        <v>1500</v>
      </c>
      <c r="P301" s="23"/>
      <c r="Q301" s="30">
        <v>50.334000000000003</v>
      </c>
      <c r="R301" s="30">
        <v>63.256999999999998</v>
      </c>
      <c r="S301" s="30">
        <v>0.441</v>
      </c>
      <c r="T301" s="30">
        <v>0.441</v>
      </c>
      <c r="U301" s="30">
        <f t="shared" si="32"/>
        <v>600</v>
      </c>
      <c r="V301" s="30">
        <f t="shared" si="33"/>
        <v>900</v>
      </c>
      <c r="W301" s="23"/>
      <c r="X301" s="30" t="s">
        <v>238</v>
      </c>
      <c r="Y301" s="30" t="s">
        <v>264</v>
      </c>
      <c r="Z301" s="53">
        <f>SUM(27.32044+24.89187+25.21162)/3</f>
        <v>25.807976666666665</v>
      </c>
      <c r="AA301" s="54">
        <f t="shared" si="38"/>
        <v>42.583161500000003</v>
      </c>
      <c r="AB301" s="23"/>
      <c r="AC301" s="4">
        <v>365</v>
      </c>
      <c r="AD301" s="32">
        <f t="shared" si="34"/>
        <v>115.7603</v>
      </c>
      <c r="AE301" s="32">
        <f t="shared" si="35"/>
        <v>126.64049999999999</v>
      </c>
      <c r="AF301" s="32">
        <f t="shared" si="36"/>
        <v>154.85</v>
      </c>
      <c r="AG301" s="32">
        <f t="shared" si="36"/>
        <v>383.25</v>
      </c>
      <c r="AH301" s="78"/>
      <c r="AI301" s="78"/>
      <c r="AJ301" s="55">
        <f t="shared" si="37"/>
        <v>780.50080000000003</v>
      </c>
      <c r="AK301" s="32"/>
      <c r="AL301" s="33"/>
      <c r="AM301" s="23"/>
    </row>
    <row r="302" spans="1:39" ht="15.6" x14ac:dyDescent="0.3">
      <c r="A302" s="64"/>
      <c r="B302" s="64"/>
      <c r="C302" s="5" t="s">
        <v>686</v>
      </c>
      <c r="D302" s="5" t="s">
        <v>120</v>
      </c>
      <c r="E302" s="7" t="s">
        <v>0</v>
      </c>
      <c r="F302" s="5"/>
      <c r="G302" s="23"/>
      <c r="H302" s="10">
        <v>248</v>
      </c>
      <c r="I302" s="10">
        <v>236</v>
      </c>
      <c r="J302" s="10">
        <v>217</v>
      </c>
      <c r="K302" s="10">
        <v>240</v>
      </c>
      <c r="L302" s="10">
        <v>122</v>
      </c>
      <c r="M302" s="10">
        <v>73</v>
      </c>
      <c r="N302" s="9" cm="1">
        <f t="array" ref="N302">SUM((H302:L302)/5)</f>
        <v>212.60000000000002</v>
      </c>
      <c r="O302" s="10">
        <v>200</v>
      </c>
      <c r="P302" s="23"/>
      <c r="Q302" s="30">
        <v>49.308</v>
      </c>
      <c r="R302" s="30">
        <v>72.016000000000005</v>
      </c>
      <c r="S302" s="30">
        <v>0.441</v>
      </c>
      <c r="T302" s="30">
        <v>0.441</v>
      </c>
      <c r="U302" s="30">
        <f t="shared" si="32"/>
        <v>80</v>
      </c>
      <c r="V302" s="30">
        <f t="shared" si="33"/>
        <v>120</v>
      </c>
      <c r="W302" s="23"/>
      <c r="X302" s="30">
        <v>15.868</v>
      </c>
      <c r="Y302" s="30">
        <v>27.08182</v>
      </c>
      <c r="Z302" s="53">
        <v>27.08182</v>
      </c>
      <c r="AA302" s="54">
        <f t="shared" si="38"/>
        <v>44.685003000000002</v>
      </c>
      <c r="AB302" s="23"/>
      <c r="AC302" s="4">
        <v>365</v>
      </c>
      <c r="AD302" s="32">
        <f t="shared" si="34"/>
        <v>131.7893</v>
      </c>
      <c r="AE302" s="32">
        <f t="shared" si="35"/>
        <v>144.17600000000002</v>
      </c>
      <c r="AF302" s="32">
        <f t="shared" si="36"/>
        <v>21.67</v>
      </c>
      <c r="AG302" s="32">
        <f t="shared" si="36"/>
        <v>53.62</v>
      </c>
      <c r="AH302" s="78"/>
      <c r="AI302" s="78"/>
      <c r="AJ302" s="55">
        <f t="shared" si="37"/>
        <v>351.25530000000003</v>
      </c>
      <c r="AK302" s="32"/>
      <c r="AL302" s="33"/>
      <c r="AM302" s="23"/>
    </row>
    <row r="303" spans="1:39" ht="15.6" x14ac:dyDescent="0.3">
      <c r="A303" s="64"/>
      <c r="B303" s="64"/>
      <c r="C303" s="5" t="s">
        <v>686</v>
      </c>
      <c r="D303" s="5" t="s">
        <v>120</v>
      </c>
      <c r="E303" s="7" t="s">
        <v>0</v>
      </c>
      <c r="F303" s="5"/>
      <c r="G303" s="23"/>
      <c r="H303" s="10">
        <v>166</v>
      </c>
      <c r="I303" s="10">
        <v>547</v>
      </c>
      <c r="J303" s="10">
        <v>175</v>
      </c>
      <c r="K303" s="10">
        <v>116</v>
      </c>
      <c r="L303" s="10">
        <v>117</v>
      </c>
      <c r="M303" s="10">
        <v>62</v>
      </c>
      <c r="N303" s="9" cm="1">
        <f t="array" ref="N303">SUM((H303:L303)/5)</f>
        <v>224.20000000000002</v>
      </c>
      <c r="O303" s="10">
        <v>200</v>
      </c>
      <c r="P303" s="23"/>
      <c r="Q303" s="30">
        <v>49.308</v>
      </c>
      <c r="R303" s="30">
        <v>72.016000000000005</v>
      </c>
      <c r="S303" s="30">
        <v>0.441</v>
      </c>
      <c r="T303" s="30">
        <v>0.441</v>
      </c>
      <c r="U303" s="30">
        <f t="shared" si="32"/>
        <v>80</v>
      </c>
      <c r="V303" s="30">
        <f t="shared" si="33"/>
        <v>120</v>
      </c>
      <c r="W303" s="23"/>
      <c r="X303" s="30">
        <v>15.868</v>
      </c>
      <c r="Y303" s="30">
        <v>27.079249999999998</v>
      </c>
      <c r="Z303" s="53">
        <v>27.079249999999998</v>
      </c>
      <c r="AA303" s="54">
        <f t="shared" si="38"/>
        <v>44.6807625</v>
      </c>
      <c r="AB303" s="23"/>
      <c r="AC303" s="4">
        <v>365</v>
      </c>
      <c r="AD303" s="32">
        <f t="shared" si="34"/>
        <v>131.7893</v>
      </c>
      <c r="AE303" s="32">
        <f t="shared" si="35"/>
        <v>144.17600000000002</v>
      </c>
      <c r="AF303" s="32">
        <f t="shared" si="36"/>
        <v>21.66</v>
      </c>
      <c r="AG303" s="32">
        <f t="shared" si="36"/>
        <v>53.62</v>
      </c>
      <c r="AH303" s="78"/>
      <c r="AI303" s="78"/>
      <c r="AJ303" s="55">
        <f t="shared" si="37"/>
        <v>351.24530000000004</v>
      </c>
      <c r="AK303" s="32"/>
      <c r="AL303" s="33"/>
      <c r="AM303" s="23"/>
    </row>
    <row r="304" spans="1:39" ht="15.6" x14ac:dyDescent="0.3">
      <c r="A304" s="64"/>
      <c r="B304" s="64"/>
      <c r="C304" s="5" t="s">
        <v>613</v>
      </c>
      <c r="D304" s="5" t="s">
        <v>120</v>
      </c>
      <c r="E304" s="7" t="s">
        <v>0</v>
      </c>
      <c r="F304" s="5"/>
      <c r="G304" s="23"/>
      <c r="H304" s="10">
        <v>583</v>
      </c>
      <c r="I304" s="10">
        <v>601</v>
      </c>
      <c r="J304" s="10">
        <v>577</v>
      </c>
      <c r="K304" s="10">
        <v>643</v>
      </c>
      <c r="L304" s="10">
        <v>603</v>
      </c>
      <c r="M304" s="10">
        <v>29</v>
      </c>
      <c r="N304" s="9" cm="1">
        <f t="array" ref="N304">SUM((H304:L304)/5)</f>
        <v>601.40000000000009</v>
      </c>
      <c r="O304" s="10">
        <v>610</v>
      </c>
      <c r="P304" s="23"/>
      <c r="Q304" s="30">
        <v>49.308</v>
      </c>
      <c r="R304" s="30">
        <v>72.016000000000005</v>
      </c>
      <c r="S304" s="30">
        <v>0.441</v>
      </c>
      <c r="T304" s="30">
        <v>0.441</v>
      </c>
      <c r="U304" s="30">
        <f t="shared" si="32"/>
        <v>244</v>
      </c>
      <c r="V304" s="30">
        <f t="shared" si="33"/>
        <v>366</v>
      </c>
      <c r="W304" s="23"/>
      <c r="X304" s="30">
        <v>15.868</v>
      </c>
      <c r="Y304" s="30">
        <v>27.083320000000001</v>
      </c>
      <c r="Z304" s="53">
        <v>27.083320000000001</v>
      </c>
      <c r="AA304" s="54">
        <f t="shared" si="38"/>
        <v>44.687477999999999</v>
      </c>
      <c r="AB304" s="23"/>
      <c r="AC304" s="4">
        <v>365</v>
      </c>
      <c r="AD304" s="32">
        <f t="shared" si="34"/>
        <v>131.7893</v>
      </c>
      <c r="AE304" s="32">
        <f t="shared" si="35"/>
        <v>144.17600000000002</v>
      </c>
      <c r="AF304" s="32">
        <f t="shared" si="36"/>
        <v>66.08</v>
      </c>
      <c r="AG304" s="32">
        <f t="shared" si="36"/>
        <v>163.56</v>
      </c>
      <c r="AH304" s="78"/>
      <c r="AI304" s="78"/>
      <c r="AJ304" s="55">
        <f t="shared" si="37"/>
        <v>505.6053</v>
      </c>
      <c r="AK304" s="32"/>
      <c r="AL304" s="33"/>
      <c r="AM304" s="23"/>
    </row>
    <row r="305" spans="1:39" ht="45" x14ac:dyDescent="0.3">
      <c r="A305" s="64"/>
      <c r="B305" s="64"/>
      <c r="C305" s="5" t="s">
        <v>469</v>
      </c>
      <c r="D305" s="5" t="s">
        <v>120</v>
      </c>
      <c r="E305" s="7" t="s">
        <v>0</v>
      </c>
      <c r="F305" s="5"/>
      <c r="G305" s="23"/>
      <c r="H305" s="10">
        <v>2798</v>
      </c>
      <c r="I305" s="10">
        <v>2912</v>
      </c>
      <c r="J305" s="10">
        <v>225</v>
      </c>
      <c r="K305" s="10">
        <v>798</v>
      </c>
      <c r="L305" s="10">
        <v>696</v>
      </c>
      <c r="M305" s="10">
        <v>32</v>
      </c>
      <c r="N305" s="9" cm="1">
        <f t="array" ref="N305">SUM((H305:L305)/5)</f>
        <v>1485.8</v>
      </c>
      <c r="O305" s="10">
        <v>1400</v>
      </c>
      <c r="P305" s="23"/>
      <c r="Q305" s="30">
        <v>50.334000000000003</v>
      </c>
      <c r="R305" s="30">
        <v>63.256999999999998</v>
      </c>
      <c r="S305" s="30">
        <v>0.441</v>
      </c>
      <c r="T305" s="30">
        <v>0.441</v>
      </c>
      <c r="U305" s="30">
        <f t="shared" si="32"/>
        <v>560</v>
      </c>
      <c r="V305" s="30">
        <f t="shared" si="33"/>
        <v>840</v>
      </c>
      <c r="W305" s="23"/>
      <c r="X305" s="30" t="s">
        <v>265</v>
      </c>
      <c r="Y305" s="30" t="s">
        <v>266</v>
      </c>
      <c r="Z305" s="53">
        <f>SUM(27.47578+25.0445+25.42125)</f>
        <v>77.94153</v>
      </c>
      <c r="AA305" s="54">
        <f t="shared" si="38"/>
        <v>128.60352449999999</v>
      </c>
      <c r="AB305" s="23"/>
      <c r="AC305" s="4">
        <v>365</v>
      </c>
      <c r="AD305" s="32">
        <f t="shared" si="34"/>
        <v>115.7603</v>
      </c>
      <c r="AE305" s="32">
        <f t="shared" si="35"/>
        <v>126.64049999999999</v>
      </c>
      <c r="AF305" s="32">
        <f t="shared" si="36"/>
        <v>436.47</v>
      </c>
      <c r="AG305" s="32">
        <f t="shared" si="36"/>
        <v>1080.27</v>
      </c>
      <c r="AH305" s="78"/>
      <c r="AI305" s="78"/>
      <c r="AJ305" s="55">
        <f t="shared" si="37"/>
        <v>1759.1408000000001</v>
      </c>
      <c r="AK305" s="32"/>
      <c r="AL305" s="33"/>
      <c r="AM305" s="23"/>
    </row>
    <row r="306" spans="1:39" ht="15.6" x14ac:dyDescent="0.3">
      <c r="A306" s="64"/>
      <c r="B306" s="64"/>
      <c r="C306" s="5" t="s">
        <v>470</v>
      </c>
      <c r="D306" s="5" t="s">
        <v>120</v>
      </c>
      <c r="E306" s="7" t="s">
        <v>0</v>
      </c>
      <c r="F306" s="5"/>
      <c r="G306" s="23"/>
      <c r="H306" s="10">
        <v>149</v>
      </c>
      <c r="I306" s="10">
        <v>148</v>
      </c>
      <c r="J306" s="10">
        <v>149</v>
      </c>
      <c r="K306" s="10">
        <v>253</v>
      </c>
      <c r="L306" s="10">
        <v>935</v>
      </c>
      <c r="M306" s="10">
        <v>733</v>
      </c>
      <c r="N306" s="9" cm="1">
        <f t="array" ref="N306">SUM((H306:L306)/5)</f>
        <v>326.8</v>
      </c>
      <c r="O306" s="10">
        <v>800</v>
      </c>
      <c r="P306" s="23"/>
      <c r="Q306" s="30">
        <v>49.308</v>
      </c>
      <c r="R306" s="30">
        <v>72.016000000000005</v>
      </c>
      <c r="S306" s="30">
        <v>0.441</v>
      </c>
      <c r="T306" s="30">
        <v>0.441</v>
      </c>
      <c r="U306" s="30">
        <f t="shared" ref="U306:U369" si="39">IF(E306="Gas",O306*R301,O306*$R$4)</f>
        <v>320</v>
      </c>
      <c r="V306" s="30">
        <f t="shared" ref="V306:V369" si="40">IF(E306="Gas",O306*T301,O306*$T$4)</f>
        <v>480</v>
      </c>
      <c r="W306" s="23"/>
      <c r="X306" s="30">
        <v>15.868</v>
      </c>
      <c r="Y306" s="30">
        <v>27.082789999999999</v>
      </c>
      <c r="Z306" s="53">
        <v>27.082789999999999</v>
      </c>
      <c r="AA306" s="54">
        <f t="shared" si="38"/>
        <v>44.686603500000004</v>
      </c>
      <c r="AB306" s="23"/>
      <c r="AC306" s="4">
        <v>365</v>
      </c>
      <c r="AD306" s="32">
        <f t="shared" ref="AD306:AD369" si="41">ROUND(R306*183,2)/100</f>
        <v>131.7893</v>
      </c>
      <c r="AE306" s="32">
        <f t="shared" ref="AE306:AE369" si="42">ROUND((R306+R306*$AE$4)*(365-183),2)/100</f>
        <v>144.17600000000002</v>
      </c>
      <c r="AF306" s="32">
        <f t="shared" ref="AF306:AG369" si="43">ROUND((U306*Z306)/100,2)</f>
        <v>86.66</v>
      </c>
      <c r="AG306" s="32">
        <f t="shared" si="43"/>
        <v>214.5</v>
      </c>
      <c r="AH306" s="78"/>
      <c r="AI306" s="78"/>
      <c r="AJ306" s="55">
        <f t="shared" ref="AJ306:AJ369" si="44">SUM(AD306:AG306)</f>
        <v>577.12530000000004</v>
      </c>
      <c r="AK306" s="32"/>
      <c r="AL306" s="33"/>
      <c r="AM306" s="23"/>
    </row>
    <row r="307" spans="1:39" ht="45" x14ac:dyDescent="0.3">
      <c r="A307" s="64"/>
      <c r="B307" s="64"/>
      <c r="C307" s="5" t="s">
        <v>471</v>
      </c>
      <c r="D307" s="5" t="s">
        <v>120</v>
      </c>
      <c r="E307" s="7" t="s">
        <v>0</v>
      </c>
      <c r="F307" s="5"/>
      <c r="G307" s="23"/>
      <c r="H307" s="10">
        <v>2124</v>
      </c>
      <c r="I307" s="10">
        <v>1686</v>
      </c>
      <c r="J307" s="10">
        <v>1327</v>
      </c>
      <c r="K307" s="10">
        <v>1442</v>
      </c>
      <c r="L307" s="10">
        <v>1426</v>
      </c>
      <c r="M307" s="10">
        <v>544</v>
      </c>
      <c r="N307" s="9" cm="1">
        <f t="array" ref="N307">SUM((H307:L307)/5)</f>
        <v>1601.0000000000002</v>
      </c>
      <c r="O307" s="10">
        <v>1550</v>
      </c>
      <c r="P307" s="23"/>
      <c r="Q307" s="30">
        <v>50.334000000000003</v>
      </c>
      <c r="R307" s="30">
        <v>63.256999999999998</v>
      </c>
      <c r="S307" s="30">
        <v>0.441</v>
      </c>
      <c r="T307" s="30">
        <v>0.441</v>
      </c>
      <c r="U307" s="30">
        <f t="shared" si="39"/>
        <v>620</v>
      </c>
      <c r="V307" s="30">
        <f t="shared" si="40"/>
        <v>930</v>
      </c>
      <c r="W307" s="23"/>
      <c r="X307" s="30" t="s">
        <v>265</v>
      </c>
      <c r="Y307" s="30" t="s">
        <v>267</v>
      </c>
      <c r="Z307" s="53">
        <f>SUM(27.46809+25.03613+24.41055)/3</f>
        <v>25.638256666666667</v>
      </c>
      <c r="AA307" s="54">
        <f t="shared" si="38"/>
        <v>42.303123499999998</v>
      </c>
      <c r="AB307" s="23"/>
      <c r="AC307" s="4">
        <v>365</v>
      </c>
      <c r="AD307" s="32">
        <f t="shared" si="41"/>
        <v>115.7603</v>
      </c>
      <c r="AE307" s="32">
        <f t="shared" si="42"/>
        <v>126.64049999999999</v>
      </c>
      <c r="AF307" s="32">
        <f t="shared" si="43"/>
        <v>158.96</v>
      </c>
      <c r="AG307" s="32">
        <f t="shared" si="43"/>
        <v>393.42</v>
      </c>
      <c r="AH307" s="78"/>
      <c r="AI307" s="78"/>
      <c r="AJ307" s="55">
        <f t="shared" si="44"/>
        <v>794.7808</v>
      </c>
      <c r="AK307" s="32"/>
      <c r="AL307" s="33"/>
      <c r="AM307" s="23"/>
    </row>
    <row r="308" spans="1:39" ht="15.6" x14ac:dyDescent="0.3">
      <c r="A308" s="64"/>
      <c r="B308" s="64"/>
      <c r="C308" s="5" t="s">
        <v>472</v>
      </c>
      <c r="D308" s="5" t="s">
        <v>120</v>
      </c>
      <c r="E308" s="7" t="s">
        <v>0</v>
      </c>
      <c r="F308" s="5"/>
      <c r="G308" s="23"/>
      <c r="H308" s="10">
        <v>2240</v>
      </c>
      <c r="I308" s="10">
        <v>2239</v>
      </c>
      <c r="J308" s="10">
        <v>2298</v>
      </c>
      <c r="K308" s="10">
        <v>1862</v>
      </c>
      <c r="L308" s="10">
        <v>2688</v>
      </c>
      <c r="M308" s="10">
        <v>965</v>
      </c>
      <c r="N308" s="9" cm="1">
        <f t="array" ref="N308">SUM((H308:L308)/5)</f>
        <v>2265.4</v>
      </c>
      <c r="O308" s="10">
        <v>2300</v>
      </c>
      <c r="P308" s="23"/>
      <c r="Q308" s="30">
        <v>49.828000000000003</v>
      </c>
      <c r="R308" s="30">
        <v>63.256999999999998</v>
      </c>
      <c r="S308" s="30">
        <v>0.441</v>
      </c>
      <c r="T308" s="30">
        <v>0.441</v>
      </c>
      <c r="U308" s="30">
        <f t="shared" si="39"/>
        <v>920</v>
      </c>
      <c r="V308" s="30">
        <f t="shared" si="40"/>
        <v>1380</v>
      </c>
      <c r="W308" s="23"/>
      <c r="X308" s="30">
        <v>15.061999999999999</v>
      </c>
      <c r="Y308" s="30">
        <v>26.50638</v>
      </c>
      <c r="Z308" s="53">
        <v>26.50638</v>
      </c>
      <c r="AA308" s="54">
        <f t="shared" si="38"/>
        <v>43.735527000000005</v>
      </c>
      <c r="AB308" s="23"/>
      <c r="AC308" s="4">
        <v>365</v>
      </c>
      <c r="AD308" s="32">
        <f t="shared" si="41"/>
        <v>115.7603</v>
      </c>
      <c r="AE308" s="32">
        <f t="shared" si="42"/>
        <v>126.64049999999999</v>
      </c>
      <c r="AF308" s="32">
        <f t="shared" si="43"/>
        <v>243.86</v>
      </c>
      <c r="AG308" s="32">
        <f t="shared" si="43"/>
        <v>603.54999999999995</v>
      </c>
      <c r="AH308" s="78"/>
      <c r="AI308" s="78"/>
      <c r="AJ308" s="55">
        <f t="shared" si="44"/>
        <v>1089.8108</v>
      </c>
      <c r="AK308" s="32"/>
      <c r="AL308" s="33"/>
      <c r="AM308" s="23"/>
    </row>
    <row r="309" spans="1:39" ht="15.6" x14ac:dyDescent="0.3">
      <c r="A309" s="64"/>
      <c r="B309" s="64"/>
      <c r="C309" s="5" t="s">
        <v>473</v>
      </c>
      <c r="D309" s="5" t="s">
        <v>120</v>
      </c>
      <c r="E309" s="7" t="s">
        <v>0</v>
      </c>
      <c r="F309" s="5"/>
      <c r="G309" s="23"/>
      <c r="H309" s="10">
        <v>906</v>
      </c>
      <c r="I309" s="10">
        <v>1989</v>
      </c>
      <c r="J309" s="10">
        <v>1917</v>
      </c>
      <c r="K309" s="10">
        <v>809</v>
      </c>
      <c r="L309" s="10">
        <v>382</v>
      </c>
      <c r="M309" s="10">
        <v>219</v>
      </c>
      <c r="N309" s="9" cm="1">
        <f t="array" ref="N309">SUM((H309:L309)/5)</f>
        <v>1200.6000000000001</v>
      </c>
      <c r="O309" s="10">
        <v>1200</v>
      </c>
      <c r="P309" s="23"/>
      <c r="Q309" s="30">
        <v>49.828000000000003</v>
      </c>
      <c r="R309" s="30">
        <v>63.256999999999998</v>
      </c>
      <c r="S309" s="30">
        <v>0.441</v>
      </c>
      <c r="T309" s="30">
        <v>0.441</v>
      </c>
      <c r="U309" s="30">
        <f t="shared" si="39"/>
        <v>480</v>
      </c>
      <c r="V309" s="30">
        <f t="shared" si="40"/>
        <v>720</v>
      </c>
      <c r="W309" s="23"/>
      <c r="X309" s="30">
        <v>49.828000000000003</v>
      </c>
      <c r="Y309" s="30">
        <v>26.50535</v>
      </c>
      <c r="Z309" s="53">
        <v>26.50535</v>
      </c>
      <c r="AA309" s="54">
        <f t="shared" si="38"/>
        <v>43.733827500000004</v>
      </c>
      <c r="AB309" s="23"/>
      <c r="AC309" s="4">
        <v>365</v>
      </c>
      <c r="AD309" s="32">
        <f t="shared" si="41"/>
        <v>115.7603</v>
      </c>
      <c r="AE309" s="32">
        <f t="shared" si="42"/>
        <v>126.64049999999999</v>
      </c>
      <c r="AF309" s="32">
        <f t="shared" si="43"/>
        <v>127.23</v>
      </c>
      <c r="AG309" s="32">
        <f t="shared" si="43"/>
        <v>314.88</v>
      </c>
      <c r="AH309" s="78"/>
      <c r="AI309" s="78"/>
      <c r="AJ309" s="55">
        <f t="shared" si="44"/>
        <v>684.51080000000002</v>
      </c>
      <c r="AK309" s="32"/>
      <c r="AL309" s="33"/>
      <c r="AM309" s="23"/>
    </row>
    <row r="310" spans="1:39" ht="30" x14ac:dyDescent="0.3">
      <c r="A310" s="64"/>
      <c r="B310" s="64"/>
      <c r="C310" s="5" t="s">
        <v>473</v>
      </c>
      <c r="D310" s="5" t="s">
        <v>120</v>
      </c>
      <c r="E310" s="7" t="s">
        <v>0</v>
      </c>
      <c r="F310" s="5"/>
      <c r="G310" s="23"/>
      <c r="H310" s="10">
        <v>8285</v>
      </c>
      <c r="I310" s="10">
        <v>6950</v>
      </c>
      <c r="J310" s="10">
        <v>5418</v>
      </c>
      <c r="K310" s="10">
        <v>6349</v>
      </c>
      <c r="L310" s="10">
        <v>5170</v>
      </c>
      <c r="M310" s="10">
        <v>264</v>
      </c>
      <c r="N310" s="9" cm="1">
        <f t="array" ref="N310">SUM((H310:L310)/5)</f>
        <v>6434.4000000000005</v>
      </c>
      <c r="O310" s="10">
        <v>6450</v>
      </c>
      <c r="P310" s="23"/>
      <c r="Q310" s="30">
        <v>59.098999999999997</v>
      </c>
      <c r="R310" s="30">
        <v>88.853999999999999</v>
      </c>
      <c r="S310" s="30">
        <v>0.441</v>
      </c>
      <c r="T310" s="30">
        <v>0.441</v>
      </c>
      <c r="U310" s="30">
        <f t="shared" si="39"/>
        <v>2580</v>
      </c>
      <c r="V310" s="30">
        <f t="shared" si="40"/>
        <v>3870</v>
      </c>
      <c r="W310" s="23"/>
      <c r="X310" s="30" t="s">
        <v>268</v>
      </c>
      <c r="Y310" s="30" t="s">
        <v>269</v>
      </c>
      <c r="Z310" s="53">
        <f>SUM(26.6923+25.06111)/2</f>
        <v>25.876705000000001</v>
      </c>
      <c r="AA310" s="54">
        <f t="shared" si="38"/>
        <v>42.696563250000004</v>
      </c>
      <c r="AB310" s="23"/>
      <c r="AC310" s="4">
        <v>365</v>
      </c>
      <c r="AD310" s="32">
        <f t="shared" si="41"/>
        <v>162.6028</v>
      </c>
      <c r="AE310" s="32">
        <f t="shared" si="42"/>
        <v>177.88569999999999</v>
      </c>
      <c r="AF310" s="32">
        <f t="shared" si="43"/>
        <v>667.62</v>
      </c>
      <c r="AG310" s="32">
        <f t="shared" si="43"/>
        <v>1652.36</v>
      </c>
      <c r="AH310" s="78"/>
      <c r="AI310" s="78"/>
      <c r="AJ310" s="55">
        <f t="shared" si="44"/>
        <v>2660.4684999999999</v>
      </c>
      <c r="AK310" s="32"/>
      <c r="AL310" s="33"/>
      <c r="AM310" s="23"/>
    </row>
    <row r="311" spans="1:39" ht="30" x14ac:dyDescent="0.3">
      <c r="A311" s="64"/>
      <c r="B311" s="64"/>
      <c r="C311" s="5" t="s">
        <v>473</v>
      </c>
      <c r="D311" s="5" t="s">
        <v>120</v>
      </c>
      <c r="E311" s="7" t="s">
        <v>0</v>
      </c>
      <c r="F311" s="5"/>
      <c r="G311" s="23"/>
      <c r="H311" s="10">
        <v>25998</v>
      </c>
      <c r="I311" s="10">
        <v>24901</v>
      </c>
      <c r="J311" s="10">
        <v>22487</v>
      </c>
      <c r="K311" s="10">
        <v>23697</v>
      </c>
      <c r="L311" s="10">
        <v>18989</v>
      </c>
      <c r="M311" s="10">
        <v>9778</v>
      </c>
      <c r="N311" s="9" cm="1">
        <f t="array" ref="N311">SUM((H311:L311)/5)</f>
        <v>23214.399999999998</v>
      </c>
      <c r="O311" s="10">
        <v>23200</v>
      </c>
      <c r="P311" s="23"/>
      <c r="Q311" s="30">
        <v>75.238</v>
      </c>
      <c r="R311" s="30">
        <v>135.40899999999999</v>
      </c>
      <c r="S311" s="30">
        <v>0.441</v>
      </c>
      <c r="T311" s="30">
        <v>0.441</v>
      </c>
      <c r="U311" s="30">
        <f t="shared" si="39"/>
        <v>9280</v>
      </c>
      <c r="V311" s="30">
        <f t="shared" si="40"/>
        <v>13920</v>
      </c>
      <c r="W311" s="23"/>
      <c r="X311" s="30" t="s">
        <v>268</v>
      </c>
      <c r="Y311" s="30" t="s">
        <v>270</v>
      </c>
      <c r="Z311" s="53">
        <f>SUM(26.73458+25.10349)/2</f>
        <v>25.919035000000001</v>
      </c>
      <c r="AA311" s="54">
        <f t="shared" si="38"/>
        <v>42.766407749999999</v>
      </c>
      <c r="AB311" s="23"/>
      <c r="AC311" s="4">
        <v>365</v>
      </c>
      <c r="AD311" s="32">
        <f t="shared" si="41"/>
        <v>247.79849999999999</v>
      </c>
      <c r="AE311" s="32">
        <f t="shared" si="42"/>
        <v>271.08879999999999</v>
      </c>
      <c r="AF311" s="32">
        <f t="shared" si="43"/>
        <v>2405.29</v>
      </c>
      <c r="AG311" s="32">
        <f t="shared" si="43"/>
        <v>5953.08</v>
      </c>
      <c r="AH311" s="78"/>
      <c r="AI311" s="78"/>
      <c r="AJ311" s="55">
        <f t="shared" si="44"/>
        <v>8877.2572999999993</v>
      </c>
      <c r="AK311" s="32"/>
      <c r="AL311" s="33"/>
      <c r="AM311" s="23"/>
    </row>
    <row r="312" spans="1:39" ht="15.6" x14ac:dyDescent="0.3">
      <c r="A312" s="64"/>
      <c r="B312" s="64"/>
      <c r="C312" s="5" t="s">
        <v>473</v>
      </c>
      <c r="D312" s="5" t="s">
        <v>120</v>
      </c>
      <c r="E312" s="7" t="s">
        <v>0</v>
      </c>
      <c r="F312" s="5"/>
      <c r="G312" s="23"/>
      <c r="H312" s="10">
        <v>7544</v>
      </c>
      <c r="I312" s="10">
        <v>5884</v>
      </c>
      <c r="J312" s="10">
        <v>5904</v>
      </c>
      <c r="K312" s="10">
        <v>6245</v>
      </c>
      <c r="L312" s="10">
        <v>5103</v>
      </c>
      <c r="M312" s="10">
        <v>2995</v>
      </c>
      <c r="N312" s="9" cm="1">
        <f t="array" ref="N312">SUM((H312:L312)/5)</f>
        <v>6136</v>
      </c>
      <c r="O312" s="10">
        <v>6140</v>
      </c>
      <c r="P312" s="23"/>
      <c r="Q312" s="30">
        <v>58.593000000000004</v>
      </c>
      <c r="R312" s="30">
        <v>88.584000000000003</v>
      </c>
      <c r="S312" s="30">
        <v>0.441</v>
      </c>
      <c r="T312" s="30">
        <v>0.441</v>
      </c>
      <c r="U312" s="30">
        <f t="shared" si="39"/>
        <v>2456</v>
      </c>
      <c r="V312" s="30">
        <f t="shared" si="40"/>
        <v>3684</v>
      </c>
      <c r="W312" s="23"/>
      <c r="X312" s="30">
        <v>15.061999999999999</v>
      </c>
      <c r="Y312" s="30">
        <v>26.506219999999999</v>
      </c>
      <c r="Z312" s="53">
        <v>26.506219999999999</v>
      </c>
      <c r="AA312" s="54">
        <f t="shared" si="38"/>
        <v>43.735263000000003</v>
      </c>
      <c r="AB312" s="23"/>
      <c r="AC312" s="4">
        <v>365</v>
      </c>
      <c r="AD312" s="32">
        <f t="shared" si="41"/>
        <v>162.1087</v>
      </c>
      <c r="AE312" s="32">
        <f t="shared" si="42"/>
        <v>177.34520000000001</v>
      </c>
      <c r="AF312" s="32">
        <f t="shared" si="43"/>
        <v>650.99</v>
      </c>
      <c r="AG312" s="32">
        <f t="shared" si="43"/>
        <v>1611.21</v>
      </c>
      <c r="AH312" s="78"/>
      <c r="AI312" s="78"/>
      <c r="AJ312" s="55">
        <f t="shared" si="44"/>
        <v>2601.6539000000002</v>
      </c>
      <c r="AK312" s="32"/>
      <c r="AL312" s="33"/>
      <c r="AM312" s="23"/>
    </row>
    <row r="313" spans="1:39" ht="30" x14ac:dyDescent="0.3">
      <c r="A313" s="64"/>
      <c r="B313" s="64"/>
      <c r="C313" s="5" t="s">
        <v>473</v>
      </c>
      <c r="D313" s="5" t="s">
        <v>120</v>
      </c>
      <c r="E313" s="7" t="s">
        <v>0</v>
      </c>
      <c r="F313" s="5"/>
      <c r="G313" s="23"/>
      <c r="H313" s="10">
        <v>1249</v>
      </c>
      <c r="I313" s="10">
        <v>1390</v>
      </c>
      <c r="J313" s="10">
        <v>1757</v>
      </c>
      <c r="K313" s="10">
        <v>1659</v>
      </c>
      <c r="L313" s="10">
        <v>924</v>
      </c>
      <c r="M313" s="10">
        <v>879</v>
      </c>
      <c r="N313" s="9" cm="1">
        <f t="array" ref="N313">SUM((H313:L313)/5)</f>
        <v>1395.8</v>
      </c>
      <c r="O313" s="10">
        <v>1400</v>
      </c>
      <c r="P313" s="23"/>
      <c r="Q313" s="30">
        <v>50.334000000000003</v>
      </c>
      <c r="R313" s="30">
        <v>63.256999999999998</v>
      </c>
      <c r="S313" s="30">
        <v>0.441</v>
      </c>
      <c r="T313" s="30">
        <v>0.441</v>
      </c>
      <c r="U313" s="30">
        <f t="shared" si="39"/>
        <v>560</v>
      </c>
      <c r="V313" s="30">
        <f t="shared" si="40"/>
        <v>840</v>
      </c>
      <c r="W313" s="23"/>
      <c r="X313" s="30" t="s">
        <v>229</v>
      </c>
      <c r="Y313" s="30" t="s">
        <v>271</v>
      </c>
      <c r="Z313" s="53">
        <f>SUM(26.6993+25.06881)/2</f>
        <v>25.884055</v>
      </c>
      <c r="AA313" s="54">
        <f t="shared" si="38"/>
        <v>42.708690750000002</v>
      </c>
      <c r="AB313" s="23"/>
      <c r="AC313" s="4">
        <v>365</v>
      </c>
      <c r="AD313" s="32">
        <f t="shared" si="41"/>
        <v>115.7603</v>
      </c>
      <c r="AE313" s="32">
        <f t="shared" si="42"/>
        <v>126.64049999999999</v>
      </c>
      <c r="AF313" s="32">
        <f t="shared" si="43"/>
        <v>144.94999999999999</v>
      </c>
      <c r="AG313" s="32">
        <f t="shared" si="43"/>
        <v>358.75</v>
      </c>
      <c r="AH313" s="78"/>
      <c r="AI313" s="78"/>
      <c r="AJ313" s="55">
        <f t="shared" si="44"/>
        <v>746.10079999999994</v>
      </c>
      <c r="AK313" s="32"/>
      <c r="AL313" s="33"/>
      <c r="AM313" s="23"/>
    </row>
    <row r="314" spans="1:39" ht="45" x14ac:dyDescent="0.3">
      <c r="A314" s="64"/>
      <c r="B314" s="64"/>
      <c r="C314" s="5" t="s">
        <v>473</v>
      </c>
      <c r="D314" s="5" t="s">
        <v>120</v>
      </c>
      <c r="E314" s="7" t="s">
        <v>0</v>
      </c>
      <c r="F314" s="5"/>
      <c r="G314" s="23"/>
      <c r="H314" s="10">
        <v>10909</v>
      </c>
      <c r="I314" s="10">
        <v>9197</v>
      </c>
      <c r="J314" s="10">
        <v>9750</v>
      </c>
      <c r="K314" s="10">
        <v>9162</v>
      </c>
      <c r="L314" s="10">
        <v>6236</v>
      </c>
      <c r="M314" s="10">
        <v>538</v>
      </c>
      <c r="N314" s="9" cm="1">
        <f t="array" ref="N314">SUM((H314:L314)/5)</f>
        <v>9050.8000000000011</v>
      </c>
      <c r="O314" s="10">
        <v>9060</v>
      </c>
      <c r="P314" s="23"/>
      <c r="Q314" s="30">
        <v>59.098999999999997</v>
      </c>
      <c r="R314" s="30">
        <v>88.584000000000003</v>
      </c>
      <c r="S314" s="30">
        <v>0.441</v>
      </c>
      <c r="T314" s="30">
        <v>0.441</v>
      </c>
      <c r="U314" s="30">
        <f t="shared" si="39"/>
        <v>3624</v>
      </c>
      <c r="V314" s="30">
        <f t="shared" si="40"/>
        <v>5436</v>
      </c>
      <c r="W314" s="23"/>
      <c r="X314" s="30" t="s">
        <v>272</v>
      </c>
      <c r="Y314" s="30" t="s">
        <v>273</v>
      </c>
      <c r="Z314" s="53">
        <f>SUM(27.53023+25.09867+25.47335)/3</f>
        <v>26.034083333333331</v>
      </c>
      <c r="AA314" s="54">
        <f t="shared" si="38"/>
        <v>42.9562375</v>
      </c>
      <c r="AB314" s="23"/>
      <c r="AC314" s="4">
        <v>365</v>
      </c>
      <c r="AD314" s="32">
        <f t="shared" si="41"/>
        <v>162.1087</v>
      </c>
      <c r="AE314" s="32">
        <f t="shared" si="42"/>
        <v>177.34520000000001</v>
      </c>
      <c r="AF314" s="32">
        <f t="shared" si="43"/>
        <v>943.48</v>
      </c>
      <c r="AG314" s="32">
        <f t="shared" si="43"/>
        <v>2335.1</v>
      </c>
      <c r="AH314" s="78"/>
      <c r="AI314" s="78"/>
      <c r="AJ314" s="55">
        <f t="shared" si="44"/>
        <v>3618.0338999999999</v>
      </c>
      <c r="AK314" s="32"/>
      <c r="AL314" s="33"/>
      <c r="AM314" s="23"/>
    </row>
    <row r="315" spans="1:39" ht="45" x14ac:dyDescent="0.3">
      <c r="A315" s="64"/>
      <c r="B315" s="64"/>
      <c r="C315" s="5" t="s">
        <v>473</v>
      </c>
      <c r="D315" s="5" t="s">
        <v>120</v>
      </c>
      <c r="E315" s="7" t="s">
        <v>0</v>
      </c>
      <c r="F315" s="5"/>
      <c r="G315" s="23"/>
      <c r="H315" s="10">
        <v>5882</v>
      </c>
      <c r="I315" s="10">
        <v>7723</v>
      </c>
      <c r="J315" s="10">
        <v>7330</v>
      </c>
      <c r="K315" s="10">
        <v>7301</v>
      </c>
      <c r="L315" s="10">
        <v>4967</v>
      </c>
      <c r="M315" s="10">
        <v>3153</v>
      </c>
      <c r="N315" s="9" cm="1">
        <f t="array" ref="N315">SUM((H315:L315)/5)</f>
        <v>6640.5999999999995</v>
      </c>
      <c r="O315" s="10">
        <v>6640</v>
      </c>
      <c r="P315" s="23"/>
      <c r="Q315" s="30">
        <v>59.098999999999997</v>
      </c>
      <c r="R315" s="30">
        <v>88.584000000000003</v>
      </c>
      <c r="S315" s="30">
        <v>0.441</v>
      </c>
      <c r="T315" s="30">
        <v>0.441</v>
      </c>
      <c r="U315" s="30">
        <f t="shared" si="39"/>
        <v>2656</v>
      </c>
      <c r="V315" s="30">
        <f t="shared" si="40"/>
        <v>3984</v>
      </c>
      <c r="W315" s="23"/>
      <c r="X315" s="30" t="s">
        <v>272</v>
      </c>
      <c r="Y315" s="30" t="s">
        <v>274</v>
      </c>
      <c r="Z315" s="53">
        <f>SUM(27.47583+25.04425+25.41879)/3</f>
        <v>25.979623333333336</v>
      </c>
      <c r="AA315" s="54">
        <f t="shared" si="38"/>
        <v>42.86637850000001</v>
      </c>
      <c r="AB315" s="23"/>
      <c r="AC315" s="4">
        <v>365</v>
      </c>
      <c r="AD315" s="32">
        <f t="shared" si="41"/>
        <v>162.1087</v>
      </c>
      <c r="AE315" s="32">
        <f t="shared" si="42"/>
        <v>177.34520000000001</v>
      </c>
      <c r="AF315" s="32">
        <f t="shared" si="43"/>
        <v>690.02</v>
      </c>
      <c r="AG315" s="32">
        <f t="shared" si="43"/>
        <v>1707.8</v>
      </c>
      <c r="AH315" s="78"/>
      <c r="AI315" s="78"/>
      <c r="AJ315" s="55">
        <f t="shared" si="44"/>
        <v>2737.2739000000001</v>
      </c>
      <c r="AK315" s="32"/>
      <c r="AL315" s="33"/>
      <c r="AM315" s="23"/>
    </row>
    <row r="316" spans="1:39" ht="45" x14ac:dyDescent="0.3">
      <c r="A316" s="64"/>
      <c r="B316" s="64"/>
      <c r="C316" s="5" t="s">
        <v>473</v>
      </c>
      <c r="D316" s="5" t="s">
        <v>120</v>
      </c>
      <c r="E316" s="7" t="s">
        <v>0</v>
      </c>
      <c r="F316" s="5"/>
      <c r="G316" s="23"/>
      <c r="H316" s="10">
        <v>1924</v>
      </c>
      <c r="I316" s="10">
        <v>2081</v>
      </c>
      <c r="J316" s="10">
        <v>1913</v>
      </c>
      <c r="K316" s="10">
        <v>1931</v>
      </c>
      <c r="L316" s="10">
        <v>1453</v>
      </c>
      <c r="M316" s="10">
        <v>602</v>
      </c>
      <c r="N316" s="9" cm="1">
        <f t="array" ref="N316">SUM((H316:L316)/5)</f>
        <v>1860.4</v>
      </c>
      <c r="O316" s="10">
        <v>1860</v>
      </c>
      <c r="P316" s="23"/>
      <c r="Q316" s="30">
        <v>50.334000000000003</v>
      </c>
      <c r="R316" s="30">
        <v>63.256999999999998</v>
      </c>
      <c r="S316" s="30">
        <v>0.441</v>
      </c>
      <c r="T316" s="30">
        <v>0.441</v>
      </c>
      <c r="U316" s="30">
        <f t="shared" si="39"/>
        <v>744</v>
      </c>
      <c r="V316" s="30">
        <f t="shared" si="40"/>
        <v>1116</v>
      </c>
      <c r="W316" s="23"/>
      <c r="X316" s="30" t="s">
        <v>265</v>
      </c>
      <c r="Y316" s="30" t="s">
        <v>275</v>
      </c>
      <c r="Z316" s="53">
        <f>SUM(27.52584+25.09471+25.47005)/3</f>
        <v>26.030199999999997</v>
      </c>
      <c r="AA316" s="54">
        <f t="shared" si="38"/>
        <v>42.949829999999992</v>
      </c>
      <c r="AB316" s="23"/>
      <c r="AC316" s="4">
        <v>365</v>
      </c>
      <c r="AD316" s="32">
        <f t="shared" si="41"/>
        <v>115.7603</v>
      </c>
      <c r="AE316" s="32">
        <f t="shared" si="42"/>
        <v>126.64049999999999</v>
      </c>
      <c r="AF316" s="32">
        <f t="shared" si="43"/>
        <v>193.66</v>
      </c>
      <c r="AG316" s="32">
        <f t="shared" si="43"/>
        <v>479.32</v>
      </c>
      <c r="AH316" s="78"/>
      <c r="AI316" s="78"/>
      <c r="AJ316" s="55">
        <f t="shared" si="44"/>
        <v>915.38079999999991</v>
      </c>
      <c r="AK316" s="32"/>
      <c r="AL316" s="33"/>
      <c r="AM316" s="23"/>
    </row>
    <row r="317" spans="1:39" ht="45" x14ac:dyDescent="0.3">
      <c r="A317" s="64"/>
      <c r="B317" s="64"/>
      <c r="C317" s="5" t="s">
        <v>473</v>
      </c>
      <c r="D317" s="5" t="s">
        <v>120</v>
      </c>
      <c r="E317" s="7" t="s">
        <v>0</v>
      </c>
      <c r="F317" s="5"/>
      <c r="G317" s="23"/>
      <c r="H317" s="10">
        <v>8570</v>
      </c>
      <c r="I317" s="10">
        <v>7794</v>
      </c>
      <c r="J317" s="10">
        <v>10011</v>
      </c>
      <c r="K317" s="10">
        <v>10517</v>
      </c>
      <c r="L317" s="10">
        <v>8666</v>
      </c>
      <c r="M317" s="10">
        <v>4468</v>
      </c>
      <c r="N317" s="9" cm="1">
        <f t="array" ref="N317">SUM((H317:L317)/5)</f>
        <v>9111.6</v>
      </c>
      <c r="O317" s="10">
        <v>9110</v>
      </c>
      <c r="P317" s="23"/>
      <c r="Q317" s="30">
        <v>59.098999999999997</v>
      </c>
      <c r="R317" s="30">
        <v>88.853999999999999</v>
      </c>
      <c r="S317" s="30">
        <v>0.441</v>
      </c>
      <c r="T317" s="30">
        <v>0.441</v>
      </c>
      <c r="U317" s="30">
        <f t="shared" si="39"/>
        <v>3644</v>
      </c>
      <c r="V317" s="30">
        <f t="shared" si="40"/>
        <v>5466</v>
      </c>
      <c r="W317" s="23"/>
      <c r="X317" s="30" t="s">
        <v>272</v>
      </c>
      <c r="Y317" s="30" t="s">
        <v>276</v>
      </c>
      <c r="Z317" s="53">
        <f>SUM(27.47728+25.04562+25.42018)/3</f>
        <v>25.981026666666665</v>
      </c>
      <c r="AA317" s="54">
        <f t="shared" si="38"/>
        <v>42.868693999999998</v>
      </c>
      <c r="AB317" s="23"/>
      <c r="AC317" s="4">
        <v>365</v>
      </c>
      <c r="AD317" s="32">
        <f t="shared" si="41"/>
        <v>162.6028</v>
      </c>
      <c r="AE317" s="32">
        <f t="shared" si="42"/>
        <v>177.88569999999999</v>
      </c>
      <c r="AF317" s="32">
        <f t="shared" si="43"/>
        <v>946.75</v>
      </c>
      <c r="AG317" s="32">
        <f t="shared" si="43"/>
        <v>2343.1999999999998</v>
      </c>
      <c r="AH317" s="78"/>
      <c r="AI317" s="78"/>
      <c r="AJ317" s="55">
        <f t="shared" si="44"/>
        <v>3630.4384999999997</v>
      </c>
      <c r="AK317" s="32"/>
      <c r="AL317" s="33"/>
      <c r="AM317" s="23"/>
    </row>
    <row r="318" spans="1:39" ht="45" x14ac:dyDescent="0.3">
      <c r="A318" s="64"/>
      <c r="B318" s="64"/>
      <c r="C318" s="5" t="s">
        <v>473</v>
      </c>
      <c r="D318" s="5" t="s">
        <v>120</v>
      </c>
      <c r="E318" s="7" t="s">
        <v>0</v>
      </c>
      <c r="F318" s="5"/>
      <c r="G318" s="23"/>
      <c r="H318" s="10">
        <v>6179</v>
      </c>
      <c r="I318" s="10">
        <v>5850</v>
      </c>
      <c r="J318" s="10">
        <v>5839</v>
      </c>
      <c r="K318" s="10">
        <v>5681</v>
      </c>
      <c r="L318" s="10">
        <v>4697</v>
      </c>
      <c r="M318" s="10">
        <v>3865</v>
      </c>
      <c r="N318" s="9" cm="1">
        <f t="array" ref="N318">SUM((H318:L318)/5)</f>
        <v>5649.2</v>
      </c>
      <c r="O318" s="10">
        <v>5650</v>
      </c>
      <c r="P318" s="23"/>
      <c r="Q318" s="30">
        <v>59.098999999999997</v>
      </c>
      <c r="R318" s="30">
        <v>88.853999999999999</v>
      </c>
      <c r="S318" s="30">
        <v>0.441</v>
      </c>
      <c r="T318" s="30">
        <v>0.441</v>
      </c>
      <c r="U318" s="30">
        <f t="shared" si="39"/>
        <v>2260</v>
      </c>
      <c r="V318" s="30">
        <f t="shared" si="40"/>
        <v>3390</v>
      </c>
      <c r="W318" s="23"/>
      <c r="X318" s="30" t="s">
        <v>277</v>
      </c>
      <c r="Y318" s="30" t="s">
        <v>278</v>
      </c>
      <c r="Z318" s="53">
        <f>SUM(27.44941+25.01799+25.39252)/3</f>
        <v>25.953306666666666</v>
      </c>
      <c r="AA318" s="54">
        <f t="shared" si="38"/>
        <v>42.822956000000005</v>
      </c>
      <c r="AB318" s="23"/>
      <c r="AC318" s="4">
        <v>365</v>
      </c>
      <c r="AD318" s="32">
        <f t="shared" si="41"/>
        <v>162.6028</v>
      </c>
      <c r="AE318" s="32">
        <f t="shared" si="42"/>
        <v>177.88569999999999</v>
      </c>
      <c r="AF318" s="32">
        <f t="shared" si="43"/>
        <v>586.54</v>
      </c>
      <c r="AG318" s="32">
        <f t="shared" si="43"/>
        <v>1451.7</v>
      </c>
      <c r="AH318" s="78"/>
      <c r="AI318" s="78"/>
      <c r="AJ318" s="55">
        <f t="shared" si="44"/>
        <v>2378.7285000000002</v>
      </c>
      <c r="AK318" s="32"/>
      <c r="AL318" s="33"/>
      <c r="AM318" s="23"/>
    </row>
    <row r="319" spans="1:39" ht="15.6" x14ac:dyDescent="0.3">
      <c r="A319" s="64"/>
      <c r="B319" s="64"/>
      <c r="C319" s="5" t="s">
        <v>700</v>
      </c>
      <c r="D319" s="5" t="s">
        <v>120</v>
      </c>
      <c r="E319" s="7" t="s">
        <v>0</v>
      </c>
      <c r="F319" s="5"/>
      <c r="G319" s="23"/>
      <c r="H319" s="10">
        <v>821</v>
      </c>
      <c r="I319" s="10">
        <v>808</v>
      </c>
      <c r="J319" s="10">
        <v>801</v>
      </c>
      <c r="K319" s="10">
        <v>818</v>
      </c>
      <c r="L319" s="10">
        <v>1032</v>
      </c>
      <c r="M319" s="10">
        <v>762</v>
      </c>
      <c r="N319" s="9" cm="1">
        <f t="array" ref="N319">SUM((H319:L319)/5)</f>
        <v>855.99999999999989</v>
      </c>
      <c r="O319" s="10">
        <v>860</v>
      </c>
      <c r="P319" s="23"/>
      <c r="Q319" s="30">
        <v>49.308</v>
      </c>
      <c r="R319" s="30">
        <v>72.016000000000005</v>
      </c>
      <c r="S319" s="30">
        <v>0.441</v>
      </c>
      <c r="T319" s="30">
        <v>0.441</v>
      </c>
      <c r="U319" s="30">
        <f t="shared" si="39"/>
        <v>344</v>
      </c>
      <c r="V319" s="30">
        <f t="shared" si="40"/>
        <v>516</v>
      </c>
      <c r="W319" s="23"/>
      <c r="X319" s="30">
        <v>15.386799999999999</v>
      </c>
      <c r="Y319" s="30">
        <v>27.083020000000001</v>
      </c>
      <c r="Z319" s="53">
        <v>27.083020000000001</v>
      </c>
      <c r="AA319" s="54">
        <f t="shared" si="38"/>
        <v>44.686982999999998</v>
      </c>
      <c r="AB319" s="23"/>
      <c r="AC319" s="4">
        <v>365</v>
      </c>
      <c r="AD319" s="32">
        <f t="shared" si="41"/>
        <v>131.7893</v>
      </c>
      <c r="AE319" s="32">
        <f t="shared" si="42"/>
        <v>144.17600000000002</v>
      </c>
      <c r="AF319" s="32">
        <f t="shared" si="43"/>
        <v>93.17</v>
      </c>
      <c r="AG319" s="32">
        <f t="shared" si="43"/>
        <v>230.58</v>
      </c>
      <c r="AH319" s="78"/>
      <c r="AI319" s="78"/>
      <c r="AJ319" s="55">
        <f t="shared" si="44"/>
        <v>599.71530000000007</v>
      </c>
      <c r="AK319" s="32"/>
      <c r="AL319" s="33"/>
      <c r="AM319" s="23"/>
    </row>
    <row r="320" spans="1:39" ht="30" x14ac:dyDescent="0.3">
      <c r="A320" s="64"/>
      <c r="B320" s="64"/>
      <c r="C320" s="5" t="s">
        <v>674</v>
      </c>
      <c r="D320" s="5" t="s">
        <v>120</v>
      </c>
      <c r="E320" s="7" t="s">
        <v>0</v>
      </c>
      <c r="F320" s="5"/>
      <c r="G320" s="23"/>
      <c r="H320" s="10">
        <v>1726</v>
      </c>
      <c r="I320" s="10">
        <v>1729</v>
      </c>
      <c r="J320" s="10">
        <v>1871</v>
      </c>
      <c r="K320" s="10">
        <v>1918</v>
      </c>
      <c r="L320" s="10">
        <v>1234</v>
      </c>
      <c r="M320" s="10">
        <v>771</v>
      </c>
      <c r="N320" s="9" cm="1">
        <f t="array" ref="N320">SUM((H320:L320)/5)</f>
        <v>1695.6000000000001</v>
      </c>
      <c r="O320" s="10">
        <v>1690</v>
      </c>
      <c r="P320" s="23"/>
      <c r="Q320" s="30">
        <v>49.325000000000003</v>
      </c>
      <c r="R320" s="30">
        <v>72.016000000000005</v>
      </c>
      <c r="S320" s="30">
        <v>0.441</v>
      </c>
      <c r="T320" s="30">
        <v>0.441</v>
      </c>
      <c r="U320" s="30">
        <f t="shared" si="39"/>
        <v>676</v>
      </c>
      <c r="V320" s="30">
        <f t="shared" si="40"/>
        <v>1014</v>
      </c>
      <c r="W320" s="23"/>
      <c r="X320" s="30" t="s">
        <v>279</v>
      </c>
      <c r="Y320" s="30" t="s">
        <v>280</v>
      </c>
      <c r="Z320" s="53">
        <f>SUM(27.21446+25.09079)/2</f>
        <v>26.152625</v>
      </c>
      <c r="AA320" s="54">
        <f t="shared" si="38"/>
        <v>43.151831250000001</v>
      </c>
      <c r="AB320" s="23"/>
      <c r="AC320" s="4">
        <v>365</v>
      </c>
      <c r="AD320" s="32">
        <f t="shared" si="41"/>
        <v>131.7893</v>
      </c>
      <c r="AE320" s="32">
        <f t="shared" si="42"/>
        <v>144.17600000000002</v>
      </c>
      <c r="AF320" s="32">
        <f t="shared" si="43"/>
        <v>176.79</v>
      </c>
      <c r="AG320" s="32">
        <f t="shared" si="43"/>
        <v>437.56</v>
      </c>
      <c r="AH320" s="78"/>
      <c r="AI320" s="78"/>
      <c r="AJ320" s="55">
        <f t="shared" si="44"/>
        <v>890.31529999999998</v>
      </c>
      <c r="AK320" s="32"/>
      <c r="AL320" s="33"/>
      <c r="AM320" s="23"/>
    </row>
    <row r="321" spans="1:39" ht="15.6" x14ac:dyDescent="0.3">
      <c r="A321" s="64"/>
      <c r="B321" s="64"/>
      <c r="C321" s="5" t="s">
        <v>674</v>
      </c>
      <c r="D321" s="5" t="s">
        <v>120</v>
      </c>
      <c r="E321" s="7" t="s">
        <v>0</v>
      </c>
      <c r="F321" s="5"/>
      <c r="G321" s="23"/>
      <c r="H321" s="10">
        <v>1633</v>
      </c>
      <c r="I321" s="10">
        <v>1780</v>
      </c>
      <c r="J321" s="10">
        <v>2063</v>
      </c>
      <c r="K321" s="10">
        <v>2063</v>
      </c>
      <c r="L321" s="10">
        <v>2226</v>
      </c>
      <c r="M321" s="10">
        <v>539</v>
      </c>
      <c r="N321" s="9" cm="1">
        <f t="array" ref="N321">SUM((H321:L321)/5)</f>
        <v>1953.0000000000002</v>
      </c>
      <c r="O321" s="10">
        <v>2100</v>
      </c>
      <c r="P321" s="23"/>
      <c r="Q321" s="30">
        <v>49.308</v>
      </c>
      <c r="R321" s="30">
        <v>72.016000000000005</v>
      </c>
      <c r="S321" s="30">
        <v>0.441</v>
      </c>
      <c r="T321" s="30">
        <v>0.441</v>
      </c>
      <c r="U321" s="30">
        <f t="shared" si="39"/>
        <v>840</v>
      </c>
      <c r="V321" s="30">
        <f t="shared" si="40"/>
        <v>1260</v>
      </c>
      <c r="W321" s="23"/>
      <c r="X321" s="30">
        <v>15.868</v>
      </c>
      <c r="Y321" s="30">
        <v>27.082899999999999</v>
      </c>
      <c r="Z321" s="53">
        <v>27.082899999999999</v>
      </c>
      <c r="AA321" s="54">
        <f t="shared" si="38"/>
        <v>44.686785</v>
      </c>
      <c r="AB321" s="23"/>
      <c r="AC321" s="4">
        <v>365</v>
      </c>
      <c r="AD321" s="32">
        <f t="shared" si="41"/>
        <v>131.7893</v>
      </c>
      <c r="AE321" s="32">
        <f t="shared" si="42"/>
        <v>144.17600000000002</v>
      </c>
      <c r="AF321" s="32">
        <f t="shared" si="43"/>
        <v>227.5</v>
      </c>
      <c r="AG321" s="32">
        <f t="shared" si="43"/>
        <v>563.04999999999995</v>
      </c>
      <c r="AH321" s="78"/>
      <c r="AI321" s="78"/>
      <c r="AJ321" s="55">
        <f t="shared" si="44"/>
        <v>1066.5153</v>
      </c>
      <c r="AK321" s="32"/>
      <c r="AL321" s="33"/>
      <c r="AM321" s="23"/>
    </row>
    <row r="322" spans="1:39" ht="15.6" x14ac:dyDescent="0.3">
      <c r="A322" s="64"/>
      <c r="B322" s="64"/>
      <c r="C322" s="5" t="s">
        <v>674</v>
      </c>
      <c r="D322" s="5" t="s">
        <v>120</v>
      </c>
      <c r="E322" s="7" t="s">
        <v>0</v>
      </c>
      <c r="F322" s="5"/>
      <c r="G322" s="23"/>
      <c r="H322" s="10">
        <v>1788</v>
      </c>
      <c r="I322" s="10">
        <v>1929</v>
      </c>
      <c r="J322" s="10">
        <v>1976</v>
      </c>
      <c r="K322" s="10">
        <v>1977</v>
      </c>
      <c r="L322" s="10">
        <v>1214</v>
      </c>
      <c r="M322" s="10">
        <v>634</v>
      </c>
      <c r="N322" s="9" cm="1">
        <f t="array" ref="N322">SUM((H322:L322)/5)</f>
        <v>1776.8</v>
      </c>
      <c r="O322" s="10">
        <v>1850</v>
      </c>
      <c r="P322" s="23"/>
      <c r="Q322" s="30">
        <v>49.308</v>
      </c>
      <c r="R322" s="30">
        <v>72.016000000000005</v>
      </c>
      <c r="S322" s="30">
        <v>0.441</v>
      </c>
      <c r="T322" s="30">
        <v>0.441</v>
      </c>
      <c r="U322" s="30">
        <f t="shared" si="39"/>
        <v>740</v>
      </c>
      <c r="V322" s="30">
        <f t="shared" si="40"/>
        <v>1110</v>
      </c>
      <c r="W322" s="23"/>
      <c r="X322" s="30">
        <v>15.868</v>
      </c>
      <c r="Y322" s="30">
        <v>27.082840000000001</v>
      </c>
      <c r="Z322" s="53">
        <v>27.082840000000001</v>
      </c>
      <c r="AA322" s="54">
        <f t="shared" si="38"/>
        <v>44.686686000000002</v>
      </c>
      <c r="AB322" s="23"/>
      <c r="AC322" s="4">
        <v>365</v>
      </c>
      <c r="AD322" s="32">
        <f t="shared" si="41"/>
        <v>131.7893</v>
      </c>
      <c r="AE322" s="32">
        <f t="shared" si="42"/>
        <v>144.17600000000002</v>
      </c>
      <c r="AF322" s="32">
        <f t="shared" si="43"/>
        <v>200.41</v>
      </c>
      <c r="AG322" s="32">
        <f t="shared" si="43"/>
        <v>496.02</v>
      </c>
      <c r="AH322" s="78"/>
      <c r="AI322" s="78"/>
      <c r="AJ322" s="55">
        <f t="shared" si="44"/>
        <v>972.39530000000002</v>
      </c>
      <c r="AK322" s="32"/>
      <c r="AL322" s="33"/>
      <c r="AM322" s="23"/>
    </row>
    <row r="323" spans="1:39" ht="15.6" x14ac:dyDescent="0.3">
      <c r="A323" s="64"/>
      <c r="B323" s="64"/>
      <c r="C323" s="5" t="s">
        <v>614</v>
      </c>
      <c r="D323" s="5" t="s">
        <v>120</v>
      </c>
      <c r="E323" s="7" t="s">
        <v>0</v>
      </c>
      <c r="F323" s="5"/>
      <c r="G323" s="23"/>
      <c r="H323" s="10">
        <v>271</v>
      </c>
      <c r="I323" s="10">
        <v>472</v>
      </c>
      <c r="J323" s="10">
        <v>567</v>
      </c>
      <c r="K323" s="10">
        <v>968</v>
      </c>
      <c r="L323" s="10">
        <v>721</v>
      </c>
      <c r="M323" s="10">
        <v>313</v>
      </c>
      <c r="N323" s="9" cm="1">
        <f t="array" ref="N323">SUM((H323:L323)/5)</f>
        <v>599.79999999999995</v>
      </c>
      <c r="O323" s="10">
        <v>800</v>
      </c>
      <c r="P323" s="23"/>
      <c r="Q323" s="30">
        <v>49.308</v>
      </c>
      <c r="R323" s="30">
        <v>72.016000000000005</v>
      </c>
      <c r="S323" s="30">
        <v>0.441</v>
      </c>
      <c r="T323" s="30">
        <v>0.441</v>
      </c>
      <c r="U323" s="30">
        <f t="shared" si="39"/>
        <v>320</v>
      </c>
      <c r="V323" s="30">
        <f t="shared" si="40"/>
        <v>480</v>
      </c>
      <c r="W323" s="23"/>
      <c r="X323" s="30">
        <v>15.868</v>
      </c>
      <c r="Y323" s="30">
        <v>27.08259</v>
      </c>
      <c r="Z323" s="53">
        <v>27.08259</v>
      </c>
      <c r="AA323" s="54">
        <f t="shared" si="38"/>
        <v>44.686273499999999</v>
      </c>
      <c r="AB323" s="23"/>
      <c r="AC323" s="4">
        <v>365</v>
      </c>
      <c r="AD323" s="32">
        <f t="shared" si="41"/>
        <v>131.7893</v>
      </c>
      <c r="AE323" s="32">
        <f t="shared" si="42"/>
        <v>144.17600000000002</v>
      </c>
      <c r="AF323" s="32">
        <f t="shared" si="43"/>
        <v>86.66</v>
      </c>
      <c r="AG323" s="32">
        <f t="shared" si="43"/>
        <v>214.49</v>
      </c>
      <c r="AH323" s="78"/>
      <c r="AI323" s="78"/>
      <c r="AJ323" s="55">
        <f t="shared" si="44"/>
        <v>577.11530000000005</v>
      </c>
      <c r="AK323" s="32"/>
      <c r="AL323" s="33"/>
      <c r="AM323" s="23"/>
    </row>
    <row r="324" spans="1:39" ht="15.6" x14ac:dyDescent="0.3">
      <c r="A324" s="64"/>
      <c r="B324" s="64"/>
      <c r="C324" s="5" t="s">
        <v>614</v>
      </c>
      <c r="D324" s="5" t="s">
        <v>120</v>
      </c>
      <c r="E324" s="7" t="s">
        <v>0</v>
      </c>
      <c r="F324" s="5"/>
      <c r="G324" s="23"/>
      <c r="H324" s="10">
        <v>499</v>
      </c>
      <c r="I324" s="10">
        <v>501</v>
      </c>
      <c r="J324" s="10">
        <v>712</v>
      </c>
      <c r="K324" s="10">
        <v>651</v>
      </c>
      <c r="L324" s="10">
        <v>702</v>
      </c>
      <c r="M324" s="10">
        <v>392</v>
      </c>
      <c r="N324" s="9" cm="1">
        <f t="array" ref="N324">SUM((H324:L324)/5)</f>
        <v>613</v>
      </c>
      <c r="O324" s="10">
        <v>655</v>
      </c>
      <c r="P324" s="23"/>
      <c r="Q324" s="30">
        <v>49.308</v>
      </c>
      <c r="R324" s="30">
        <v>72.016000000000005</v>
      </c>
      <c r="S324" s="30">
        <v>0.441</v>
      </c>
      <c r="T324" s="30">
        <v>0.441</v>
      </c>
      <c r="U324" s="30">
        <f t="shared" si="39"/>
        <v>262</v>
      </c>
      <c r="V324" s="30">
        <f t="shared" si="40"/>
        <v>393</v>
      </c>
      <c r="W324" s="23"/>
      <c r="X324" s="30">
        <v>15.868</v>
      </c>
      <c r="Y324" s="30">
        <v>27.083159999999999</v>
      </c>
      <c r="Z324" s="53">
        <v>27.083159999999999</v>
      </c>
      <c r="AA324" s="54">
        <f t="shared" ref="AA324:AA387" si="45">SUM(Z324+Z324*$AA$4)</f>
        <v>44.687213999999997</v>
      </c>
      <c r="AB324" s="23"/>
      <c r="AC324" s="4">
        <v>365</v>
      </c>
      <c r="AD324" s="32">
        <f t="shared" si="41"/>
        <v>131.7893</v>
      </c>
      <c r="AE324" s="32">
        <f t="shared" si="42"/>
        <v>144.17600000000002</v>
      </c>
      <c r="AF324" s="32">
        <f t="shared" si="43"/>
        <v>70.959999999999994</v>
      </c>
      <c r="AG324" s="32">
        <f t="shared" si="43"/>
        <v>175.62</v>
      </c>
      <c r="AH324" s="78"/>
      <c r="AI324" s="78"/>
      <c r="AJ324" s="55">
        <f t="shared" si="44"/>
        <v>522.5453</v>
      </c>
      <c r="AK324" s="32"/>
      <c r="AL324" s="33"/>
      <c r="AM324" s="23"/>
    </row>
    <row r="325" spans="1:39" ht="15.6" x14ac:dyDescent="0.3">
      <c r="A325" s="64"/>
      <c r="B325" s="64"/>
      <c r="C325" s="5" t="s">
        <v>614</v>
      </c>
      <c r="D325" s="5" t="s">
        <v>120</v>
      </c>
      <c r="E325" s="7" t="s">
        <v>0</v>
      </c>
      <c r="F325" s="5"/>
      <c r="G325" s="23"/>
      <c r="H325" s="10">
        <v>370</v>
      </c>
      <c r="I325" s="10">
        <v>317</v>
      </c>
      <c r="J325" s="10">
        <v>311</v>
      </c>
      <c r="K325" s="10">
        <v>311</v>
      </c>
      <c r="L325" s="10">
        <v>310</v>
      </c>
      <c r="M325" s="10">
        <v>168</v>
      </c>
      <c r="N325" s="9" cm="1">
        <f t="array" ref="N325">SUM((H325:L325)/5)</f>
        <v>323.8</v>
      </c>
      <c r="O325" s="10">
        <v>310</v>
      </c>
      <c r="P325" s="23"/>
      <c r="Q325" s="30">
        <v>49.308</v>
      </c>
      <c r="R325" s="30">
        <v>72.016000000000005</v>
      </c>
      <c r="S325" s="30">
        <v>0.441</v>
      </c>
      <c r="T325" s="30">
        <v>0.441</v>
      </c>
      <c r="U325" s="30">
        <f t="shared" si="39"/>
        <v>124</v>
      </c>
      <c r="V325" s="30">
        <f t="shared" si="40"/>
        <v>186</v>
      </c>
      <c r="W325" s="23"/>
      <c r="X325" s="30">
        <v>15.868</v>
      </c>
      <c r="Y325" s="30">
        <v>27.081720000000001</v>
      </c>
      <c r="Z325" s="53">
        <v>27.081720000000001</v>
      </c>
      <c r="AA325" s="54">
        <f t="shared" si="45"/>
        <v>44.684837999999999</v>
      </c>
      <c r="AB325" s="23"/>
      <c r="AC325" s="4">
        <v>365</v>
      </c>
      <c r="AD325" s="32">
        <f t="shared" si="41"/>
        <v>131.7893</v>
      </c>
      <c r="AE325" s="32">
        <f t="shared" si="42"/>
        <v>144.17600000000002</v>
      </c>
      <c r="AF325" s="32">
        <f t="shared" si="43"/>
        <v>33.58</v>
      </c>
      <c r="AG325" s="32">
        <f t="shared" si="43"/>
        <v>83.11</v>
      </c>
      <c r="AH325" s="78"/>
      <c r="AI325" s="78"/>
      <c r="AJ325" s="55">
        <f t="shared" si="44"/>
        <v>392.65530000000001</v>
      </c>
      <c r="AK325" s="32"/>
      <c r="AL325" s="33"/>
      <c r="AM325" s="23"/>
    </row>
    <row r="326" spans="1:39" ht="30" x14ac:dyDescent="0.3">
      <c r="A326" s="64"/>
      <c r="B326" s="64"/>
      <c r="C326" s="5" t="s">
        <v>474</v>
      </c>
      <c r="D326" s="5" t="s">
        <v>120</v>
      </c>
      <c r="E326" s="7" t="s">
        <v>0</v>
      </c>
      <c r="F326" s="5"/>
      <c r="G326" s="23"/>
      <c r="H326" s="10">
        <v>1070</v>
      </c>
      <c r="I326" s="10">
        <v>884</v>
      </c>
      <c r="J326" s="10">
        <v>1092</v>
      </c>
      <c r="K326" s="10">
        <v>1238</v>
      </c>
      <c r="L326" s="10">
        <v>1062</v>
      </c>
      <c r="M326" s="10">
        <v>499</v>
      </c>
      <c r="N326" s="9" cm="1">
        <f t="array" ref="N326">SUM((H326:L326)/5)</f>
        <v>1069.2</v>
      </c>
      <c r="O326" s="10">
        <v>1100</v>
      </c>
      <c r="P326" s="23"/>
      <c r="Q326" s="30">
        <v>50.334000000000003</v>
      </c>
      <c r="R326" s="30">
        <v>63.256999999999998</v>
      </c>
      <c r="S326" s="30">
        <v>0.441</v>
      </c>
      <c r="T326" s="30">
        <v>0.441</v>
      </c>
      <c r="U326" s="30">
        <f t="shared" si="39"/>
        <v>440</v>
      </c>
      <c r="V326" s="30">
        <f t="shared" si="40"/>
        <v>660</v>
      </c>
      <c r="W326" s="23"/>
      <c r="X326" s="30" t="s">
        <v>281</v>
      </c>
      <c r="Y326" s="30" t="s">
        <v>282</v>
      </c>
      <c r="Z326" s="53">
        <f>SUM(26.71509+25.0757)/2</f>
        <v>25.895395000000001</v>
      </c>
      <c r="AA326" s="54">
        <f t="shared" si="45"/>
        <v>42.727401749999999</v>
      </c>
      <c r="AB326" s="23"/>
      <c r="AC326" s="4">
        <v>365</v>
      </c>
      <c r="AD326" s="32">
        <f t="shared" si="41"/>
        <v>115.7603</v>
      </c>
      <c r="AE326" s="32">
        <f t="shared" si="42"/>
        <v>126.64049999999999</v>
      </c>
      <c r="AF326" s="32">
        <f t="shared" si="43"/>
        <v>113.94</v>
      </c>
      <c r="AG326" s="32">
        <f t="shared" si="43"/>
        <v>282</v>
      </c>
      <c r="AH326" s="78"/>
      <c r="AI326" s="78"/>
      <c r="AJ326" s="55">
        <f t="shared" si="44"/>
        <v>638.34079999999994</v>
      </c>
      <c r="AK326" s="32"/>
      <c r="AL326" s="33"/>
      <c r="AM326" s="23"/>
    </row>
    <row r="327" spans="1:39" ht="15.6" x14ac:dyDescent="0.3">
      <c r="A327" s="64"/>
      <c r="B327" s="64"/>
      <c r="C327" s="5" t="s">
        <v>687</v>
      </c>
      <c r="D327" s="5" t="s">
        <v>120</v>
      </c>
      <c r="E327" s="7" t="s">
        <v>0</v>
      </c>
      <c r="F327" s="5"/>
      <c r="G327" s="23"/>
      <c r="H327" s="10">
        <v>543</v>
      </c>
      <c r="I327" s="10">
        <v>548</v>
      </c>
      <c r="J327" s="10">
        <v>541</v>
      </c>
      <c r="K327" s="10">
        <v>522</v>
      </c>
      <c r="L327" s="10">
        <v>405</v>
      </c>
      <c r="M327" s="10">
        <v>182</v>
      </c>
      <c r="N327" s="9" cm="1">
        <f t="array" ref="N327">SUM((H327:L327)/5)</f>
        <v>511.79999999999995</v>
      </c>
      <c r="O327" s="10">
        <v>510</v>
      </c>
      <c r="P327" s="23"/>
      <c r="Q327" s="30">
        <v>49.308</v>
      </c>
      <c r="R327" s="30">
        <v>72.016000000000005</v>
      </c>
      <c r="S327" s="30">
        <v>0.441</v>
      </c>
      <c r="T327" s="30">
        <v>0.441</v>
      </c>
      <c r="U327" s="30">
        <f t="shared" si="39"/>
        <v>204</v>
      </c>
      <c r="V327" s="30">
        <f t="shared" si="40"/>
        <v>306</v>
      </c>
      <c r="W327" s="23"/>
      <c r="X327" s="30">
        <v>15.868</v>
      </c>
      <c r="Y327" s="30">
        <v>27.08351</v>
      </c>
      <c r="Z327" s="53">
        <v>27.08351</v>
      </c>
      <c r="AA327" s="54">
        <f t="shared" si="45"/>
        <v>44.687791500000003</v>
      </c>
      <c r="AB327" s="23"/>
      <c r="AC327" s="4">
        <v>365</v>
      </c>
      <c r="AD327" s="32">
        <f t="shared" si="41"/>
        <v>131.7893</v>
      </c>
      <c r="AE327" s="32">
        <f t="shared" si="42"/>
        <v>144.17600000000002</v>
      </c>
      <c r="AF327" s="32">
        <f t="shared" si="43"/>
        <v>55.25</v>
      </c>
      <c r="AG327" s="32">
        <f t="shared" si="43"/>
        <v>136.74</v>
      </c>
      <c r="AH327" s="78"/>
      <c r="AI327" s="78"/>
      <c r="AJ327" s="55">
        <f t="shared" si="44"/>
        <v>467.95530000000002</v>
      </c>
      <c r="AK327" s="32"/>
      <c r="AL327" s="33"/>
      <c r="AM327" s="23"/>
    </row>
    <row r="328" spans="1:39" ht="30" x14ac:dyDescent="0.3">
      <c r="A328" s="64"/>
      <c r="B328" s="64"/>
      <c r="C328" s="5" t="s">
        <v>675</v>
      </c>
      <c r="D328" s="5" t="s">
        <v>120</v>
      </c>
      <c r="E328" s="7" t="s">
        <v>0</v>
      </c>
      <c r="F328" s="5"/>
      <c r="G328" s="23"/>
      <c r="H328" s="10">
        <v>1890</v>
      </c>
      <c r="I328" s="10">
        <v>1362</v>
      </c>
      <c r="J328" s="10">
        <v>3188</v>
      </c>
      <c r="K328" s="10">
        <v>2830</v>
      </c>
      <c r="L328" s="10">
        <v>1098</v>
      </c>
      <c r="M328" s="10">
        <v>804</v>
      </c>
      <c r="N328" s="9" cm="1">
        <f t="array" ref="N328">SUM((H328:L328)/5)</f>
        <v>2073.6</v>
      </c>
      <c r="O328" s="10">
        <v>2010</v>
      </c>
      <c r="P328" s="23"/>
      <c r="Q328" s="30">
        <v>49.325000000000003</v>
      </c>
      <c r="R328" s="30">
        <v>72.016000000000005</v>
      </c>
      <c r="S328" s="30">
        <v>0.441</v>
      </c>
      <c r="T328" s="30">
        <v>0.441</v>
      </c>
      <c r="U328" s="30">
        <f t="shared" si="39"/>
        <v>804</v>
      </c>
      <c r="V328" s="30">
        <f t="shared" si="40"/>
        <v>1206</v>
      </c>
      <c r="W328" s="23"/>
      <c r="X328" s="30" t="s">
        <v>279</v>
      </c>
      <c r="Y328" s="30" t="s">
        <v>283</v>
      </c>
      <c r="Z328" s="53">
        <f>SUM(27.24813+25.12518)/2</f>
        <v>26.186655000000002</v>
      </c>
      <c r="AA328" s="54">
        <f t="shared" si="45"/>
        <v>43.207980750000004</v>
      </c>
      <c r="AB328" s="23"/>
      <c r="AC328" s="4">
        <v>365</v>
      </c>
      <c r="AD328" s="32">
        <f t="shared" si="41"/>
        <v>131.7893</v>
      </c>
      <c r="AE328" s="32">
        <f t="shared" si="42"/>
        <v>144.17600000000002</v>
      </c>
      <c r="AF328" s="32">
        <f t="shared" si="43"/>
        <v>210.54</v>
      </c>
      <c r="AG328" s="32">
        <f t="shared" si="43"/>
        <v>521.09</v>
      </c>
      <c r="AH328" s="78"/>
      <c r="AI328" s="78"/>
      <c r="AJ328" s="55">
        <f t="shared" si="44"/>
        <v>1007.5953000000001</v>
      </c>
      <c r="AK328" s="32"/>
      <c r="AL328" s="33"/>
      <c r="AM328" s="23"/>
    </row>
    <row r="329" spans="1:39" ht="15.6" x14ac:dyDescent="0.3">
      <c r="A329" s="64"/>
      <c r="B329" s="64"/>
      <c r="C329" s="5" t="s">
        <v>701</v>
      </c>
      <c r="D329" s="5" t="s">
        <v>120</v>
      </c>
      <c r="E329" s="7" t="s">
        <v>0</v>
      </c>
      <c r="F329" s="5"/>
      <c r="G329" s="23"/>
      <c r="H329" s="10">
        <v>406</v>
      </c>
      <c r="I329" s="10">
        <v>723</v>
      </c>
      <c r="J329" s="10">
        <v>1175</v>
      </c>
      <c r="K329" s="10">
        <v>751</v>
      </c>
      <c r="L329" s="10">
        <v>1039</v>
      </c>
      <c r="M329" s="10">
        <v>496</v>
      </c>
      <c r="N329" s="9" cm="1">
        <f t="array" ref="N329">SUM((H329:L329)/5)</f>
        <v>818.8</v>
      </c>
      <c r="O329" s="10">
        <v>830</v>
      </c>
      <c r="P329" s="23"/>
      <c r="Q329" s="30">
        <v>49.308</v>
      </c>
      <c r="R329" s="30">
        <v>72.016000000000005</v>
      </c>
      <c r="S329" s="30">
        <v>0.441</v>
      </c>
      <c r="T329" s="30">
        <v>0.441</v>
      </c>
      <c r="U329" s="30">
        <f t="shared" si="39"/>
        <v>332</v>
      </c>
      <c r="V329" s="30">
        <f t="shared" si="40"/>
        <v>498</v>
      </c>
      <c r="W329" s="23"/>
      <c r="X329" s="30">
        <v>15.868</v>
      </c>
      <c r="Y329" s="30">
        <v>27.082660000000001</v>
      </c>
      <c r="Z329" s="53">
        <v>27.082660000000001</v>
      </c>
      <c r="AA329" s="54">
        <f t="shared" si="45"/>
        <v>44.686389000000005</v>
      </c>
      <c r="AB329" s="23"/>
      <c r="AC329" s="4">
        <v>365</v>
      </c>
      <c r="AD329" s="32">
        <f t="shared" si="41"/>
        <v>131.7893</v>
      </c>
      <c r="AE329" s="32">
        <f t="shared" si="42"/>
        <v>144.17600000000002</v>
      </c>
      <c r="AF329" s="32">
        <f t="shared" si="43"/>
        <v>89.91</v>
      </c>
      <c r="AG329" s="32">
        <f t="shared" si="43"/>
        <v>222.54</v>
      </c>
      <c r="AH329" s="78"/>
      <c r="AI329" s="78"/>
      <c r="AJ329" s="55">
        <f t="shared" si="44"/>
        <v>588.4153</v>
      </c>
      <c r="AK329" s="32"/>
      <c r="AL329" s="33"/>
      <c r="AM329" s="23"/>
    </row>
    <row r="330" spans="1:39" ht="15.6" x14ac:dyDescent="0.3">
      <c r="A330" s="64"/>
      <c r="B330" s="64"/>
      <c r="C330" s="5" t="s">
        <v>676</v>
      </c>
      <c r="D330" s="5" t="s">
        <v>120</v>
      </c>
      <c r="E330" s="7" t="s">
        <v>0</v>
      </c>
      <c r="F330" s="5"/>
      <c r="G330" s="23"/>
      <c r="H330" s="10">
        <v>2137</v>
      </c>
      <c r="I330" s="10">
        <v>1957</v>
      </c>
      <c r="J330" s="10">
        <v>1826</v>
      </c>
      <c r="K330" s="10">
        <v>1708</v>
      </c>
      <c r="L330" s="10">
        <v>1528</v>
      </c>
      <c r="M330" s="10">
        <v>587</v>
      </c>
      <c r="N330" s="9" cm="1">
        <f t="array" ref="N330">SUM((H330:L330)/5)</f>
        <v>1831.1999999999998</v>
      </c>
      <c r="O330" s="10">
        <v>1830</v>
      </c>
      <c r="P330" s="23"/>
      <c r="Q330" s="30">
        <v>49.308</v>
      </c>
      <c r="R330" s="30">
        <v>72.016000000000005</v>
      </c>
      <c r="S330" s="30">
        <v>0.441</v>
      </c>
      <c r="T330" s="30">
        <v>0.441</v>
      </c>
      <c r="U330" s="30">
        <f t="shared" si="39"/>
        <v>732</v>
      </c>
      <c r="V330" s="30">
        <f t="shared" si="40"/>
        <v>1098</v>
      </c>
      <c r="W330" s="23"/>
      <c r="X330" s="30">
        <v>15.868</v>
      </c>
      <c r="Y330" s="30">
        <v>27.082730000000002</v>
      </c>
      <c r="Z330" s="53">
        <v>27.082730000000002</v>
      </c>
      <c r="AA330" s="54">
        <f t="shared" si="45"/>
        <v>44.686504499999998</v>
      </c>
      <c r="AB330" s="23"/>
      <c r="AC330" s="4">
        <v>365</v>
      </c>
      <c r="AD330" s="32">
        <f t="shared" si="41"/>
        <v>131.7893</v>
      </c>
      <c r="AE330" s="32">
        <f t="shared" si="42"/>
        <v>144.17600000000002</v>
      </c>
      <c r="AF330" s="32">
        <f t="shared" si="43"/>
        <v>198.25</v>
      </c>
      <c r="AG330" s="32">
        <f t="shared" si="43"/>
        <v>490.66</v>
      </c>
      <c r="AH330" s="78"/>
      <c r="AI330" s="78"/>
      <c r="AJ330" s="55">
        <f t="shared" si="44"/>
        <v>964.87530000000004</v>
      </c>
      <c r="AK330" s="32"/>
      <c r="AL330" s="33"/>
      <c r="AM330" s="23"/>
    </row>
    <row r="331" spans="1:39" ht="15.6" x14ac:dyDescent="0.3">
      <c r="A331" s="64"/>
      <c r="B331" s="64"/>
      <c r="C331" s="5" t="s">
        <v>676</v>
      </c>
      <c r="D331" s="5" t="s">
        <v>120</v>
      </c>
      <c r="E331" s="7" t="s">
        <v>0</v>
      </c>
      <c r="F331" s="5"/>
      <c r="G331" s="23"/>
      <c r="H331" s="10">
        <v>850</v>
      </c>
      <c r="I331" s="10">
        <v>1014</v>
      </c>
      <c r="J331" s="10">
        <v>1799</v>
      </c>
      <c r="K331" s="10">
        <v>1701</v>
      </c>
      <c r="L331" s="10">
        <v>1553</v>
      </c>
      <c r="M331" s="10">
        <v>52</v>
      </c>
      <c r="N331" s="9" cm="1">
        <f t="array" ref="N331">SUM((H331:L331)/5)</f>
        <v>1383.4</v>
      </c>
      <c r="O331" s="10">
        <v>1400</v>
      </c>
      <c r="P331" s="23"/>
      <c r="Q331" s="30">
        <v>49.308</v>
      </c>
      <c r="R331" s="30">
        <v>72.016000000000005</v>
      </c>
      <c r="S331" s="30">
        <v>0.441</v>
      </c>
      <c r="T331" s="30">
        <v>0.441</v>
      </c>
      <c r="U331" s="30">
        <f t="shared" si="39"/>
        <v>560</v>
      </c>
      <c r="V331" s="30">
        <f t="shared" si="40"/>
        <v>840</v>
      </c>
      <c r="W331" s="23"/>
      <c r="X331" s="30">
        <v>15.868</v>
      </c>
      <c r="Y331" s="30">
        <v>27.083110000000001</v>
      </c>
      <c r="Z331" s="53">
        <v>27.083110000000001</v>
      </c>
      <c r="AA331" s="54">
        <f t="shared" si="45"/>
        <v>44.687131500000007</v>
      </c>
      <c r="AB331" s="23"/>
      <c r="AC331" s="4">
        <v>365</v>
      </c>
      <c r="AD331" s="32">
        <f t="shared" si="41"/>
        <v>131.7893</v>
      </c>
      <c r="AE331" s="32">
        <f t="shared" si="42"/>
        <v>144.17600000000002</v>
      </c>
      <c r="AF331" s="32">
        <f t="shared" si="43"/>
        <v>151.66999999999999</v>
      </c>
      <c r="AG331" s="32">
        <f t="shared" si="43"/>
        <v>375.37</v>
      </c>
      <c r="AH331" s="78"/>
      <c r="AI331" s="78"/>
      <c r="AJ331" s="55">
        <f t="shared" si="44"/>
        <v>803.00530000000003</v>
      </c>
      <c r="AK331" s="32"/>
      <c r="AL331" s="33"/>
      <c r="AM331" s="23"/>
    </row>
    <row r="332" spans="1:39" ht="15.6" x14ac:dyDescent="0.3">
      <c r="A332" s="64"/>
      <c r="B332" s="64"/>
      <c r="C332" s="5" t="s">
        <v>677</v>
      </c>
      <c r="D332" s="5" t="s">
        <v>120</v>
      </c>
      <c r="E332" s="7" t="s">
        <v>0</v>
      </c>
      <c r="F332" s="5"/>
      <c r="G332" s="23"/>
      <c r="H332" s="10">
        <v>895</v>
      </c>
      <c r="I332" s="10">
        <v>926</v>
      </c>
      <c r="J332" s="10">
        <v>789</v>
      </c>
      <c r="K332" s="10">
        <v>663</v>
      </c>
      <c r="L332" s="10">
        <v>610</v>
      </c>
      <c r="M332" s="10">
        <v>209</v>
      </c>
      <c r="N332" s="9" cm="1">
        <f t="array" ref="N332">SUM((H332:L332)/5)</f>
        <v>776.6</v>
      </c>
      <c r="O332" s="10">
        <v>750</v>
      </c>
      <c r="P332" s="23"/>
      <c r="Q332" s="30">
        <v>49.308</v>
      </c>
      <c r="R332" s="30">
        <v>72.016000000000005</v>
      </c>
      <c r="S332" s="30">
        <v>0.441</v>
      </c>
      <c r="T332" s="30">
        <v>0.441</v>
      </c>
      <c r="U332" s="30">
        <f t="shared" si="39"/>
        <v>300</v>
      </c>
      <c r="V332" s="30">
        <f t="shared" si="40"/>
        <v>450</v>
      </c>
      <c r="W332" s="23"/>
      <c r="X332" s="30">
        <v>15.868</v>
      </c>
      <c r="Y332" s="30">
        <v>27.083690000000001</v>
      </c>
      <c r="Z332" s="53">
        <v>27.083690000000001</v>
      </c>
      <c r="AA332" s="54">
        <f t="shared" si="45"/>
        <v>44.688088500000006</v>
      </c>
      <c r="AB332" s="23"/>
      <c r="AC332" s="4">
        <v>365</v>
      </c>
      <c r="AD332" s="32">
        <f t="shared" si="41"/>
        <v>131.7893</v>
      </c>
      <c r="AE332" s="32">
        <f t="shared" si="42"/>
        <v>144.17600000000002</v>
      </c>
      <c r="AF332" s="32">
        <f t="shared" si="43"/>
        <v>81.25</v>
      </c>
      <c r="AG332" s="32">
        <f t="shared" si="43"/>
        <v>201.1</v>
      </c>
      <c r="AH332" s="78"/>
      <c r="AI332" s="78"/>
      <c r="AJ332" s="55">
        <f t="shared" si="44"/>
        <v>558.31529999999998</v>
      </c>
      <c r="AK332" s="32"/>
      <c r="AL332" s="33"/>
      <c r="AM332" s="23"/>
    </row>
    <row r="333" spans="1:39" ht="30" x14ac:dyDescent="0.3">
      <c r="A333" s="64"/>
      <c r="B333" s="64"/>
      <c r="C333" s="5" t="s">
        <v>639</v>
      </c>
      <c r="D333" s="5" t="s">
        <v>120</v>
      </c>
      <c r="E333" s="7" t="s">
        <v>0</v>
      </c>
      <c r="F333" s="5"/>
      <c r="G333" s="23"/>
      <c r="H333" s="10">
        <v>825</v>
      </c>
      <c r="I333" s="10">
        <v>645</v>
      </c>
      <c r="J333" s="10">
        <v>705</v>
      </c>
      <c r="K333" s="10">
        <v>906</v>
      </c>
      <c r="L333" s="10">
        <v>590</v>
      </c>
      <c r="M333" s="10">
        <v>314</v>
      </c>
      <c r="N333" s="9" cm="1">
        <f t="array" ref="N333">SUM((H333:L333)/5)</f>
        <v>734.2</v>
      </c>
      <c r="O333" s="10">
        <v>740</v>
      </c>
      <c r="P333" s="23"/>
      <c r="Q333" s="30">
        <v>50.334000000000003</v>
      </c>
      <c r="R333" s="30">
        <v>63.256999999999998</v>
      </c>
      <c r="S333" s="30">
        <v>0.441</v>
      </c>
      <c r="T333" s="30">
        <v>0.441</v>
      </c>
      <c r="U333" s="30">
        <f t="shared" si="39"/>
        <v>296</v>
      </c>
      <c r="V333" s="30">
        <f t="shared" si="40"/>
        <v>444</v>
      </c>
      <c r="W333" s="23"/>
      <c r="X333" s="30" t="s">
        <v>167</v>
      </c>
      <c r="Y333" s="30" t="s">
        <v>284</v>
      </c>
      <c r="Z333" s="53">
        <f>SUM(26.70487+25.07439)/2</f>
        <v>25.88963</v>
      </c>
      <c r="AA333" s="54">
        <f t="shared" si="45"/>
        <v>42.717889499999998</v>
      </c>
      <c r="AB333" s="23"/>
      <c r="AC333" s="4">
        <v>365</v>
      </c>
      <c r="AD333" s="32">
        <f t="shared" si="41"/>
        <v>115.7603</v>
      </c>
      <c r="AE333" s="32">
        <f t="shared" si="42"/>
        <v>126.64049999999999</v>
      </c>
      <c r="AF333" s="32">
        <f t="shared" si="43"/>
        <v>76.63</v>
      </c>
      <c r="AG333" s="32">
        <f t="shared" si="43"/>
        <v>189.67</v>
      </c>
      <c r="AH333" s="78"/>
      <c r="AI333" s="78"/>
      <c r="AJ333" s="55">
        <f t="shared" si="44"/>
        <v>508.70079999999996</v>
      </c>
      <c r="AK333" s="32"/>
      <c r="AL333" s="33"/>
      <c r="AM333" s="23"/>
    </row>
    <row r="334" spans="1:39" ht="30" x14ac:dyDescent="0.3">
      <c r="A334" s="64"/>
      <c r="B334" s="64"/>
      <c r="C334" s="5" t="s">
        <v>475</v>
      </c>
      <c r="D334" s="5" t="s">
        <v>120</v>
      </c>
      <c r="E334" s="7" t="s">
        <v>0</v>
      </c>
      <c r="F334" s="5"/>
      <c r="G334" s="23"/>
      <c r="H334" s="10">
        <v>1110</v>
      </c>
      <c r="I334" s="10">
        <v>1756</v>
      </c>
      <c r="J334" s="10">
        <v>1785</v>
      </c>
      <c r="K334" s="10">
        <v>1460</v>
      </c>
      <c r="L334" s="10">
        <v>1065</v>
      </c>
      <c r="M334" s="10">
        <v>504</v>
      </c>
      <c r="N334" s="9" cm="1">
        <f t="array" ref="N334">SUM((H334:L334)/5)</f>
        <v>1435.2</v>
      </c>
      <c r="O334" s="10">
        <v>1435</v>
      </c>
      <c r="P334" s="23"/>
      <c r="Q334" s="30">
        <v>50.334000000000003</v>
      </c>
      <c r="R334" s="30">
        <v>63.256999999999998</v>
      </c>
      <c r="S334" s="30">
        <v>0.441</v>
      </c>
      <c r="T334" s="30">
        <v>0.441</v>
      </c>
      <c r="U334" s="30">
        <f t="shared" si="39"/>
        <v>574</v>
      </c>
      <c r="V334" s="30">
        <f t="shared" si="40"/>
        <v>861</v>
      </c>
      <c r="W334" s="23"/>
      <c r="X334" s="30" t="s">
        <v>167</v>
      </c>
      <c r="Y334" s="30" t="s">
        <v>285</v>
      </c>
      <c r="Z334" s="53">
        <f>SUM(26.68851+25.05721)/2</f>
        <v>25.872860000000003</v>
      </c>
      <c r="AA334" s="54">
        <f t="shared" si="45"/>
        <v>42.690219000000006</v>
      </c>
      <c r="AB334" s="23"/>
      <c r="AC334" s="4">
        <v>365</v>
      </c>
      <c r="AD334" s="32">
        <f t="shared" si="41"/>
        <v>115.7603</v>
      </c>
      <c r="AE334" s="32">
        <f t="shared" si="42"/>
        <v>126.64049999999999</v>
      </c>
      <c r="AF334" s="32">
        <f t="shared" si="43"/>
        <v>148.51</v>
      </c>
      <c r="AG334" s="32">
        <f t="shared" si="43"/>
        <v>367.56</v>
      </c>
      <c r="AH334" s="78"/>
      <c r="AI334" s="78"/>
      <c r="AJ334" s="55">
        <f t="shared" si="44"/>
        <v>758.47080000000005</v>
      </c>
      <c r="AK334" s="32"/>
      <c r="AL334" s="33"/>
      <c r="AM334" s="23"/>
    </row>
    <row r="335" spans="1:39" ht="15.6" x14ac:dyDescent="0.3">
      <c r="A335" s="64"/>
      <c r="B335" s="64"/>
      <c r="C335" s="5" t="s">
        <v>615</v>
      </c>
      <c r="D335" s="5" t="s">
        <v>120</v>
      </c>
      <c r="E335" s="7" t="s">
        <v>0</v>
      </c>
      <c r="F335" s="5"/>
      <c r="G335" s="23"/>
      <c r="H335" s="10">
        <v>2447</v>
      </c>
      <c r="I335" s="10">
        <v>1189</v>
      </c>
      <c r="J335" s="10">
        <v>800</v>
      </c>
      <c r="K335" s="10">
        <v>726</v>
      </c>
      <c r="L335" s="10">
        <v>908</v>
      </c>
      <c r="M335" s="10">
        <v>619</v>
      </c>
      <c r="N335" s="9" cm="1">
        <f t="array" ref="N335">SUM((H335:L335)/5)</f>
        <v>1214</v>
      </c>
      <c r="O335" s="10">
        <v>1200</v>
      </c>
      <c r="P335" s="23"/>
      <c r="Q335" s="30">
        <v>49.308</v>
      </c>
      <c r="R335" s="30">
        <v>72.016000000000005</v>
      </c>
      <c r="S335" s="30">
        <v>0.441</v>
      </c>
      <c r="T335" s="30">
        <v>0.441</v>
      </c>
      <c r="U335" s="30">
        <f t="shared" si="39"/>
        <v>480</v>
      </c>
      <c r="V335" s="30">
        <f t="shared" si="40"/>
        <v>720</v>
      </c>
      <c r="W335" s="23"/>
      <c r="X335" s="30">
        <v>15.868</v>
      </c>
      <c r="Y335" s="30">
        <v>27.082419999999999</v>
      </c>
      <c r="Z335" s="53">
        <v>27.082419999999999</v>
      </c>
      <c r="AA335" s="54">
        <f t="shared" si="45"/>
        <v>44.685992999999996</v>
      </c>
      <c r="AB335" s="23"/>
      <c r="AC335" s="4">
        <v>365</v>
      </c>
      <c r="AD335" s="32">
        <f t="shared" si="41"/>
        <v>131.7893</v>
      </c>
      <c r="AE335" s="32">
        <f t="shared" si="42"/>
        <v>144.17600000000002</v>
      </c>
      <c r="AF335" s="32">
        <f t="shared" si="43"/>
        <v>130</v>
      </c>
      <c r="AG335" s="32">
        <f t="shared" si="43"/>
        <v>321.74</v>
      </c>
      <c r="AH335" s="78"/>
      <c r="AI335" s="78"/>
      <c r="AJ335" s="55">
        <f t="shared" si="44"/>
        <v>727.70530000000008</v>
      </c>
      <c r="AK335" s="32"/>
      <c r="AL335" s="33"/>
      <c r="AM335" s="23"/>
    </row>
    <row r="336" spans="1:39" ht="15.6" x14ac:dyDescent="0.3">
      <c r="A336" s="64"/>
      <c r="B336" s="64"/>
      <c r="C336" s="5" t="s">
        <v>615</v>
      </c>
      <c r="D336" s="5" t="s">
        <v>120</v>
      </c>
      <c r="E336" s="7" t="s">
        <v>0</v>
      </c>
      <c r="F336" s="5"/>
      <c r="G336" s="23"/>
      <c r="H336" s="10">
        <v>1651</v>
      </c>
      <c r="I336" s="10">
        <v>1388</v>
      </c>
      <c r="J336" s="10">
        <v>1258</v>
      </c>
      <c r="K336" s="10">
        <v>1200</v>
      </c>
      <c r="L336" s="10">
        <v>1286</v>
      </c>
      <c r="M336" s="10">
        <v>286</v>
      </c>
      <c r="N336" s="9" cm="1">
        <f t="array" ref="N336">SUM((H336:L336)/5)</f>
        <v>1356.6000000000001</v>
      </c>
      <c r="O336" s="10">
        <v>1300</v>
      </c>
      <c r="P336" s="23"/>
      <c r="Q336" s="30">
        <v>49.308</v>
      </c>
      <c r="R336" s="30">
        <v>72.016000000000005</v>
      </c>
      <c r="S336" s="30">
        <v>0.441</v>
      </c>
      <c r="T336" s="30">
        <v>0.441</v>
      </c>
      <c r="U336" s="30">
        <f t="shared" si="39"/>
        <v>520</v>
      </c>
      <c r="V336" s="30">
        <f t="shared" si="40"/>
        <v>780</v>
      </c>
      <c r="W336" s="23"/>
      <c r="X336" s="30">
        <v>15.868</v>
      </c>
      <c r="Y336" s="30">
        <v>27.082979999999999</v>
      </c>
      <c r="Z336" s="53">
        <v>27.082979999999999</v>
      </c>
      <c r="AA336" s="54">
        <f t="shared" si="45"/>
        <v>44.686916999999994</v>
      </c>
      <c r="AB336" s="23"/>
      <c r="AC336" s="4">
        <v>365</v>
      </c>
      <c r="AD336" s="32">
        <f t="shared" si="41"/>
        <v>131.7893</v>
      </c>
      <c r="AE336" s="32">
        <f t="shared" si="42"/>
        <v>144.17600000000002</v>
      </c>
      <c r="AF336" s="32">
        <f t="shared" si="43"/>
        <v>140.83000000000001</v>
      </c>
      <c r="AG336" s="32">
        <f t="shared" si="43"/>
        <v>348.56</v>
      </c>
      <c r="AH336" s="78"/>
      <c r="AI336" s="78"/>
      <c r="AJ336" s="55">
        <f t="shared" si="44"/>
        <v>765.35529999999994</v>
      </c>
      <c r="AK336" s="32"/>
      <c r="AL336" s="33"/>
      <c r="AM336" s="23"/>
    </row>
    <row r="337" spans="1:39" ht="15.6" x14ac:dyDescent="0.3">
      <c r="A337" s="64"/>
      <c r="B337" s="64"/>
      <c r="C337" s="5" t="s">
        <v>615</v>
      </c>
      <c r="D337" s="5" t="s">
        <v>120</v>
      </c>
      <c r="E337" s="7" t="s">
        <v>0</v>
      </c>
      <c r="F337" s="5"/>
      <c r="G337" s="23"/>
      <c r="H337" s="10">
        <v>780</v>
      </c>
      <c r="I337" s="10">
        <v>892</v>
      </c>
      <c r="J337" s="10">
        <v>906</v>
      </c>
      <c r="K337" s="10">
        <v>850</v>
      </c>
      <c r="L337" s="10">
        <v>786</v>
      </c>
      <c r="M337" s="10">
        <v>246</v>
      </c>
      <c r="N337" s="9" cm="1">
        <f t="array" ref="N337">SUM((H337:L337)/5)</f>
        <v>842.8</v>
      </c>
      <c r="O337" s="10">
        <v>840</v>
      </c>
      <c r="P337" s="23"/>
      <c r="Q337" s="30">
        <v>49.308</v>
      </c>
      <c r="R337" s="30">
        <v>72.016000000000005</v>
      </c>
      <c r="S337" s="30">
        <v>0.441</v>
      </c>
      <c r="T337" s="30">
        <v>0.441</v>
      </c>
      <c r="U337" s="30">
        <f t="shared" si="39"/>
        <v>336</v>
      </c>
      <c r="V337" s="30">
        <f t="shared" si="40"/>
        <v>504</v>
      </c>
      <c r="W337" s="23"/>
      <c r="X337" s="30">
        <v>15.868</v>
      </c>
      <c r="Y337" s="30">
        <v>27.08267</v>
      </c>
      <c r="Z337" s="53">
        <v>27.08267</v>
      </c>
      <c r="AA337" s="54">
        <f t="shared" si="45"/>
        <v>44.686405499999999</v>
      </c>
      <c r="AB337" s="23"/>
      <c r="AC337" s="4">
        <v>365</v>
      </c>
      <c r="AD337" s="32">
        <f t="shared" si="41"/>
        <v>131.7893</v>
      </c>
      <c r="AE337" s="32">
        <f t="shared" si="42"/>
        <v>144.17600000000002</v>
      </c>
      <c r="AF337" s="32">
        <f t="shared" si="43"/>
        <v>91</v>
      </c>
      <c r="AG337" s="32">
        <f t="shared" si="43"/>
        <v>225.22</v>
      </c>
      <c r="AH337" s="78"/>
      <c r="AI337" s="78"/>
      <c r="AJ337" s="55">
        <f t="shared" si="44"/>
        <v>592.18529999999998</v>
      </c>
      <c r="AK337" s="32"/>
      <c r="AL337" s="33"/>
      <c r="AM337" s="23"/>
    </row>
    <row r="338" spans="1:39" ht="45" x14ac:dyDescent="0.3">
      <c r="A338" s="64"/>
      <c r="B338" s="64"/>
      <c r="C338" s="5" t="s">
        <v>678</v>
      </c>
      <c r="D338" s="5" t="s">
        <v>120</v>
      </c>
      <c r="E338" s="7" t="s">
        <v>0</v>
      </c>
      <c r="F338" s="5"/>
      <c r="G338" s="23"/>
      <c r="H338" s="10">
        <v>2096</v>
      </c>
      <c r="I338" s="10">
        <v>2371</v>
      </c>
      <c r="J338" s="10">
        <v>1849</v>
      </c>
      <c r="K338" s="10">
        <v>1316</v>
      </c>
      <c r="L338" s="10">
        <v>1529</v>
      </c>
      <c r="M338" s="10">
        <v>696</v>
      </c>
      <c r="N338" s="9" cm="1">
        <f t="array" ref="N338">SUM((H338:L338)/5)</f>
        <v>1832.2</v>
      </c>
      <c r="O338" s="10">
        <v>1830</v>
      </c>
      <c r="P338" s="23"/>
      <c r="Q338" s="30">
        <v>50.334000000000003</v>
      </c>
      <c r="R338" s="30">
        <v>63.256999999999998</v>
      </c>
      <c r="S338" s="30">
        <v>0.441</v>
      </c>
      <c r="T338" s="30">
        <v>0.441</v>
      </c>
      <c r="U338" s="30">
        <f t="shared" si="39"/>
        <v>732</v>
      </c>
      <c r="V338" s="30">
        <f t="shared" si="40"/>
        <v>1098</v>
      </c>
      <c r="W338" s="23"/>
      <c r="X338" s="30" t="s">
        <v>202</v>
      </c>
      <c r="Y338" s="30" t="s">
        <v>286</v>
      </c>
      <c r="Z338" s="53">
        <f>SUM(27.35929+24.92916+25.24792)/3</f>
        <v>25.845456666666667</v>
      </c>
      <c r="AA338" s="54">
        <f t="shared" si="45"/>
        <v>42.645003500000001</v>
      </c>
      <c r="AB338" s="23"/>
      <c r="AC338" s="4">
        <v>365</v>
      </c>
      <c r="AD338" s="32">
        <f t="shared" si="41"/>
        <v>115.7603</v>
      </c>
      <c r="AE338" s="32">
        <f t="shared" si="42"/>
        <v>126.64049999999999</v>
      </c>
      <c r="AF338" s="32">
        <f t="shared" si="43"/>
        <v>189.19</v>
      </c>
      <c r="AG338" s="32">
        <f t="shared" si="43"/>
        <v>468.24</v>
      </c>
      <c r="AH338" s="78"/>
      <c r="AI338" s="78"/>
      <c r="AJ338" s="55">
        <f t="shared" si="44"/>
        <v>899.83079999999995</v>
      </c>
      <c r="AK338" s="32"/>
      <c r="AL338" s="33"/>
      <c r="AM338" s="23"/>
    </row>
    <row r="339" spans="1:39" ht="15.6" x14ac:dyDescent="0.3">
      <c r="A339" s="64"/>
      <c r="B339" s="64"/>
      <c r="C339" s="5" t="s">
        <v>602</v>
      </c>
      <c r="D339" s="5" t="s">
        <v>120</v>
      </c>
      <c r="E339" s="7" t="s">
        <v>0</v>
      </c>
      <c r="F339" s="5"/>
      <c r="G339" s="23"/>
      <c r="H339" s="10">
        <v>383</v>
      </c>
      <c r="I339" s="10">
        <v>378</v>
      </c>
      <c r="J339" s="10">
        <v>411</v>
      </c>
      <c r="K339" s="10">
        <v>424</v>
      </c>
      <c r="L339" s="10">
        <v>209</v>
      </c>
      <c r="M339" s="10">
        <v>122</v>
      </c>
      <c r="N339" s="9" cm="1">
        <f t="array" ref="N339">SUM((H339:L339)/5)</f>
        <v>361</v>
      </c>
      <c r="O339" s="10">
        <v>360</v>
      </c>
      <c r="P339" s="23"/>
      <c r="Q339" s="30">
        <v>49.828000000000003</v>
      </c>
      <c r="R339" s="30">
        <v>63.256999999999998</v>
      </c>
      <c r="S339" s="30">
        <v>0.441</v>
      </c>
      <c r="T339" s="30">
        <v>0.441</v>
      </c>
      <c r="U339" s="30">
        <f t="shared" si="39"/>
        <v>144</v>
      </c>
      <c r="V339" s="30">
        <f t="shared" si="40"/>
        <v>216</v>
      </c>
      <c r="W339" s="23"/>
      <c r="X339" s="30">
        <v>15.061999999999999</v>
      </c>
      <c r="Y339" s="30">
        <v>26.506019999999999</v>
      </c>
      <c r="Z339" s="53">
        <v>26.506019999999999</v>
      </c>
      <c r="AA339" s="54">
        <f t="shared" si="45"/>
        <v>43.734932999999998</v>
      </c>
      <c r="AB339" s="23"/>
      <c r="AC339" s="4">
        <v>365</v>
      </c>
      <c r="AD339" s="32">
        <f t="shared" si="41"/>
        <v>115.7603</v>
      </c>
      <c r="AE339" s="32">
        <f t="shared" si="42"/>
        <v>126.64049999999999</v>
      </c>
      <c r="AF339" s="32">
        <f t="shared" si="43"/>
        <v>38.17</v>
      </c>
      <c r="AG339" s="32">
        <f t="shared" si="43"/>
        <v>94.47</v>
      </c>
      <c r="AH339" s="78"/>
      <c r="AI339" s="78"/>
      <c r="AJ339" s="55">
        <f t="shared" si="44"/>
        <v>375.04079999999999</v>
      </c>
      <c r="AK339" s="32"/>
      <c r="AL339" s="33"/>
      <c r="AM339" s="23"/>
    </row>
    <row r="340" spans="1:39" ht="15.6" x14ac:dyDescent="0.3">
      <c r="A340" s="64"/>
      <c r="B340" s="64"/>
      <c r="C340" s="5" t="s">
        <v>702</v>
      </c>
      <c r="D340" s="5" t="s">
        <v>120</v>
      </c>
      <c r="E340" s="7" t="s">
        <v>0</v>
      </c>
      <c r="F340" s="5"/>
      <c r="G340" s="23"/>
      <c r="H340" s="10">
        <v>777</v>
      </c>
      <c r="I340" s="10">
        <v>902</v>
      </c>
      <c r="J340" s="10">
        <v>785</v>
      </c>
      <c r="K340" s="10">
        <v>665</v>
      </c>
      <c r="L340" s="10">
        <v>429</v>
      </c>
      <c r="M340" s="10">
        <v>221</v>
      </c>
      <c r="N340" s="9" cm="1">
        <f t="array" ref="N340">SUM((H340:L340)/5)</f>
        <v>711.59999999999991</v>
      </c>
      <c r="O340" s="10">
        <v>710</v>
      </c>
      <c r="P340" s="23"/>
      <c r="Q340" s="30">
        <v>49.828000000000003</v>
      </c>
      <c r="R340" s="30">
        <v>63.256999999999998</v>
      </c>
      <c r="S340" s="30">
        <v>0.441</v>
      </c>
      <c r="T340" s="30">
        <v>0.441</v>
      </c>
      <c r="U340" s="30">
        <f t="shared" si="39"/>
        <v>284</v>
      </c>
      <c r="V340" s="30">
        <f t="shared" si="40"/>
        <v>426</v>
      </c>
      <c r="W340" s="23"/>
      <c r="X340" s="30">
        <v>15.061999999999999</v>
      </c>
      <c r="Y340" s="30">
        <v>26.506019999999999</v>
      </c>
      <c r="Z340" s="53">
        <v>26.506019999999999</v>
      </c>
      <c r="AA340" s="54">
        <f t="shared" si="45"/>
        <v>43.734932999999998</v>
      </c>
      <c r="AB340" s="23"/>
      <c r="AC340" s="4">
        <v>365</v>
      </c>
      <c r="AD340" s="32">
        <f t="shared" si="41"/>
        <v>115.7603</v>
      </c>
      <c r="AE340" s="32">
        <f t="shared" si="42"/>
        <v>126.64049999999999</v>
      </c>
      <c r="AF340" s="32">
        <f t="shared" si="43"/>
        <v>75.28</v>
      </c>
      <c r="AG340" s="32">
        <f t="shared" si="43"/>
        <v>186.31</v>
      </c>
      <c r="AH340" s="78"/>
      <c r="AI340" s="78"/>
      <c r="AJ340" s="55">
        <f t="shared" si="44"/>
        <v>503.99079999999998</v>
      </c>
      <c r="AK340" s="32"/>
      <c r="AL340" s="33"/>
      <c r="AM340" s="23"/>
    </row>
    <row r="341" spans="1:39" ht="30" x14ac:dyDescent="0.3">
      <c r="A341" s="64"/>
      <c r="B341" s="64"/>
      <c r="C341" s="5" t="s">
        <v>679</v>
      </c>
      <c r="D341" s="5" t="s">
        <v>120</v>
      </c>
      <c r="E341" s="7" t="s">
        <v>0</v>
      </c>
      <c r="F341" s="5"/>
      <c r="G341" s="23"/>
      <c r="H341" s="10">
        <v>889</v>
      </c>
      <c r="I341" s="10">
        <v>893</v>
      </c>
      <c r="J341" s="10">
        <v>777</v>
      </c>
      <c r="K341" s="10">
        <v>1435</v>
      </c>
      <c r="L341" s="10">
        <v>1273</v>
      </c>
      <c r="M341" s="10">
        <v>869</v>
      </c>
      <c r="N341" s="9" cm="1">
        <f t="array" ref="N341">SUM((H341:L341)/5)</f>
        <v>1053.3999999999999</v>
      </c>
      <c r="O341" s="10">
        <v>1350</v>
      </c>
      <c r="P341" s="23"/>
      <c r="Q341" s="30">
        <v>49.325000000000003</v>
      </c>
      <c r="R341" s="30">
        <v>72.016000000000005</v>
      </c>
      <c r="S341" s="30">
        <v>0.441</v>
      </c>
      <c r="T341" s="30">
        <v>0.441</v>
      </c>
      <c r="U341" s="30">
        <f t="shared" si="39"/>
        <v>540</v>
      </c>
      <c r="V341" s="30">
        <f t="shared" si="40"/>
        <v>810</v>
      </c>
      <c r="W341" s="23"/>
      <c r="X341" s="30" t="s">
        <v>279</v>
      </c>
      <c r="Y341" s="30" t="s">
        <v>287</v>
      </c>
      <c r="Z341" s="53">
        <f>SUM(27.21353+25.09061)/2</f>
        <v>26.152070000000002</v>
      </c>
      <c r="AA341" s="54">
        <f t="shared" si="45"/>
        <v>43.150915500000004</v>
      </c>
      <c r="AB341" s="23"/>
      <c r="AC341" s="4">
        <v>365</v>
      </c>
      <c r="AD341" s="32">
        <f t="shared" si="41"/>
        <v>131.7893</v>
      </c>
      <c r="AE341" s="32">
        <f t="shared" si="42"/>
        <v>144.17600000000002</v>
      </c>
      <c r="AF341" s="32">
        <f t="shared" si="43"/>
        <v>141.22</v>
      </c>
      <c r="AG341" s="32">
        <f t="shared" si="43"/>
        <v>349.52</v>
      </c>
      <c r="AH341" s="78"/>
      <c r="AI341" s="78"/>
      <c r="AJ341" s="55">
        <f t="shared" si="44"/>
        <v>766.70529999999997</v>
      </c>
      <c r="AK341" s="32"/>
      <c r="AL341" s="33"/>
      <c r="AM341" s="23"/>
    </row>
    <row r="342" spans="1:39" ht="45" x14ac:dyDescent="0.3">
      <c r="A342" s="64"/>
      <c r="B342" s="64"/>
      <c r="C342" s="5" t="s">
        <v>476</v>
      </c>
      <c r="D342" s="5" t="s">
        <v>120</v>
      </c>
      <c r="E342" s="7" t="s">
        <v>0</v>
      </c>
      <c r="F342" s="5"/>
      <c r="G342" s="23"/>
      <c r="H342" s="10">
        <v>1961</v>
      </c>
      <c r="I342" s="10">
        <v>1663</v>
      </c>
      <c r="J342" s="10">
        <v>1874</v>
      </c>
      <c r="K342" s="10">
        <v>1995</v>
      </c>
      <c r="L342" s="10">
        <v>1747</v>
      </c>
      <c r="M342" s="10">
        <v>805</v>
      </c>
      <c r="N342" s="9" cm="1">
        <f t="array" ref="N342">SUM((H342:L342)/5)</f>
        <v>1848</v>
      </c>
      <c r="O342" s="10">
        <v>1840</v>
      </c>
      <c r="P342" s="23"/>
      <c r="Q342" s="30">
        <v>50.334000000000003</v>
      </c>
      <c r="R342" s="30">
        <v>63.256999999999998</v>
      </c>
      <c r="S342" s="30">
        <v>0.441</v>
      </c>
      <c r="T342" s="30">
        <v>0.441</v>
      </c>
      <c r="U342" s="30">
        <f t="shared" si="39"/>
        <v>736</v>
      </c>
      <c r="V342" s="30">
        <f t="shared" si="40"/>
        <v>1104</v>
      </c>
      <c r="W342" s="23"/>
      <c r="X342" s="30" t="s">
        <v>202</v>
      </c>
      <c r="Y342" s="30" t="s">
        <v>288</v>
      </c>
      <c r="Z342" s="53">
        <f>SUM(27.46189+25.03166+25.35005)/3</f>
        <v>25.947866666666666</v>
      </c>
      <c r="AA342" s="54">
        <f t="shared" si="45"/>
        <v>42.813980000000001</v>
      </c>
      <c r="AB342" s="23"/>
      <c r="AC342" s="4">
        <v>365</v>
      </c>
      <c r="AD342" s="32">
        <f t="shared" si="41"/>
        <v>115.7603</v>
      </c>
      <c r="AE342" s="32">
        <f t="shared" si="42"/>
        <v>126.64049999999999</v>
      </c>
      <c r="AF342" s="32">
        <f t="shared" si="43"/>
        <v>190.98</v>
      </c>
      <c r="AG342" s="32">
        <f t="shared" si="43"/>
        <v>472.67</v>
      </c>
      <c r="AH342" s="78"/>
      <c r="AI342" s="78"/>
      <c r="AJ342" s="55">
        <f t="shared" si="44"/>
        <v>906.05079999999998</v>
      </c>
      <c r="AK342" s="32"/>
      <c r="AL342" s="33"/>
      <c r="AM342" s="23"/>
    </row>
    <row r="343" spans="1:39" ht="15.6" x14ac:dyDescent="0.3">
      <c r="A343" s="64"/>
      <c r="B343" s="64"/>
      <c r="C343" s="5" t="s">
        <v>621</v>
      </c>
      <c r="D343" s="5" t="s">
        <v>120</v>
      </c>
      <c r="E343" s="7" t="s">
        <v>0</v>
      </c>
      <c r="F343" s="5"/>
      <c r="G343" s="23"/>
      <c r="H343" s="10">
        <v>357</v>
      </c>
      <c r="I343" s="10">
        <v>388</v>
      </c>
      <c r="J343" s="10">
        <v>365</v>
      </c>
      <c r="K343" s="10">
        <v>364</v>
      </c>
      <c r="L343" s="10">
        <v>263</v>
      </c>
      <c r="M343" s="10">
        <v>117</v>
      </c>
      <c r="N343" s="9" cm="1">
        <f t="array" ref="N343">SUM((H343:L343)/5)</f>
        <v>347.40000000000003</v>
      </c>
      <c r="O343" s="10">
        <v>350</v>
      </c>
      <c r="P343" s="23"/>
      <c r="Q343" s="30">
        <v>49.308</v>
      </c>
      <c r="R343" s="30">
        <v>72.016000000000005</v>
      </c>
      <c r="S343" s="30">
        <v>0.441</v>
      </c>
      <c r="T343" s="30">
        <v>0.441</v>
      </c>
      <c r="U343" s="30">
        <f t="shared" si="39"/>
        <v>140</v>
      </c>
      <c r="V343" s="30">
        <f t="shared" si="40"/>
        <v>210</v>
      </c>
      <c r="W343" s="23"/>
      <c r="X343" s="30">
        <v>15.868</v>
      </c>
      <c r="Y343" s="30">
        <v>27.08287</v>
      </c>
      <c r="Z343" s="53">
        <v>27.08287</v>
      </c>
      <c r="AA343" s="54">
        <f t="shared" si="45"/>
        <v>44.686735499999998</v>
      </c>
      <c r="AB343" s="23"/>
      <c r="AC343" s="4">
        <v>365</v>
      </c>
      <c r="AD343" s="32">
        <f t="shared" si="41"/>
        <v>131.7893</v>
      </c>
      <c r="AE343" s="32">
        <f t="shared" si="42"/>
        <v>144.17600000000002</v>
      </c>
      <c r="AF343" s="32">
        <f t="shared" si="43"/>
        <v>37.92</v>
      </c>
      <c r="AG343" s="32">
        <f t="shared" si="43"/>
        <v>93.84</v>
      </c>
      <c r="AH343" s="78"/>
      <c r="AI343" s="78"/>
      <c r="AJ343" s="55">
        <f t="shared" si="44"/>
        <v>407.72530000000006</v>
      </c>
      <c r="AK343" s="32"/>
      <c r="AL343" s="33"/>
      <c r="AM343" s="23"/>
    </row>
    <row r="344" spans="1:39" ht="15.6" x14ac:dyDescent="0.3">
      <c r="A344" s="64"/>
      <c r="B344" s="64"/>
      <c r="C344" s="5" t="s">
        <v>621</v>
      </c>
      <c r="D344" s="5" t="s">
        <v>120</v>
      </c>
      <c r="E344" s="7" t="s">
        <v>0</v>
      </c>
      <c r="F344" s="5"/>
      <c r="G344" s="23"/>
      <c r="H344" s="10">
        <v>3</v>
      </c>
      <c r="I344" s="10">
        <v>357</v>
      </c>
      <c r="J344" s="10">
        <v>327</v>
      </c>
      <c r="K344" s="10">
        <v>406</v>
      </c>
      <c r="L344" s="10">
        <v>350</v>
      </c>
      <c r="M344" s="10">
        <v>47</v>
      </c>
      <c r="N344" s="9" cm="1">
        <f t="array" ref="N344">SUM((H344:L344)/5)</f>
        <v>288.60000000000002</v>
      </c>
      <c r="O344" s="10">
        <v>375</v>
      </c>
      <c r="P344" s="23"/>
      <c r="Q344" s="30">
        <v>49.308</v>
      </c>
      <c r="R344" s="30">
        <v>72.016000000000005</v>
      </c>
      <c r="S344" s="30">
        <v>0.441</v>
      </c>
      <c r="T344" s="30">
        <v>0.441</v>
      </c>
      <c r="U344" s="30">
        <f t="shared" si="39"/>
        <v>150</v>
      </c>
      <c r="V344" s="30">
        <f t="shared" si="40"/>
        <v>225</v>
      </c>
      <c r="W344" s="23"/>
      <c r="X344" s="30">
        <v>15.868</v>
      </c>
      <c r="Y344" s="30">
        <v>27.083459999999999</v>
      </c>
      <c r="Z344" s="53">
        <v>27.083459999999999</v>
      </c>
      <c r="AA344" s="54">
        <f t="shared" si="45"/>
        <v>44.687708999999998</v>
      </c>
      <c r="AB344" s="23"/>
      <c r="AC344" s="4">
        <v>365</v>
      </c>
      <c r="AD344" s="32">
        <f t="shared" si="41"/>
        <v>131.7893</v>
      </c>
      <c r="AE344" s="32">
        <f t="shared" si="42"/>
        <v>144.17600000000002</v>
      </c>
      <c r="AF344" s="32">
        <f t="shared" si="43"/>
        <v>40.630000000000003</v>
      </c>
      <c r="AG344" s="32">
        <f t="shared" si="43"/>
        <v>100.55</v>
      </c>
      <c r="AH344" s="78"/>
      <c r="AI344" s="78"/>
      <c r="AJ344" s="55">
        <f t="shared" si="44"/>
        <v>417.14530000000002</v>
      </c>
      <c r="AK344" s="32"/>
      <c r="AL344" s="33"/>
      <c r="AM344" s="23"/>
    </row>
    <row r="345" spans="1:39" ht="15.6" x14ac:dyDescent="0.3">
      <c r="A345" s="64"/>
      <c r="B345" s="64"/>
      <c r="C345" s="5" t="s">
        <v>621</v>
      </c>
      <c r="D345" s="5" t="s">
        <v>120</v>
      </c>
      <c r="E345" s="7" t="s">
        <v>0</v>
      </c>
      <c r="F345" s="5"/>
      <c r="G345" s="23"/>
      <c r="H345" s="10">
        <v>0</v>
      </c>
      <c r="I345" s="10">
        <v>478</v>
      </c>
      <c r="J345" s="10">
        <v>103</v>
      </c>
      <c r="K345" s="10">
        <v>7</v>
      </c>
      <c r="L345" s="10">
        <v>79</v>
      </c>
      <c r="M345" s="10">
        <v>27</v>
      </c>
      <c r="N345" s="9" cm="1">
        <f t="array" ref="N345">SUM((H345:L345)/5)</f>
        <v>133.4</v>
      </c>
      <c r="O345" s="10">
        <v>130</v>
      </c>
      <c r="P345" s="23"/>
      <c r="Q345" s="30">
        <v>49.308</v>
      </c>
      <c r="R345" s="30">
        <v>72.016000000000005</v>
      </c>
      <c r="S345" s="30">
        <v>0.441</v>
      </c>
      <c r="T345" s="30">
        <v>0.441</v>
      </c>
      <c r="U345" s="30">
        <f t="shared" si="39"/>
        <v>52</v>
      </c>
      <c r="V345" s="30">
        <f t="shared" si="40"/>
        <v>78</v>
      </c>
      <c r="W345" s="23"/>
      <c r="X345" s="30">
        <v>15.868</v>
      </c>
      <c r="Y345" s="30">
        <v>27.089449999999999</v>
      </c>
      <c r="Z345" s="53">
        <v>27.089449999999999</v>
      </c>
      <c r="AA345" s="54">
        <f t="shared" si="45"/>
        <v>44.697592499999999</v>
      </c>
      <c r="AB345" s="23"/>
      <c r="AC345" s="4">
        <v>365</v>
      </c>
      <c r="AD345" s="32">
        <f t="shared" si="41"/>
        <v>131.7893</v>
      </c>
      <c r="AE345" s="32">
        <f t="shared" si="42"/>
        <v>144.17600000000002</v>
      </c>
      <c r="AF345" s="32">
        <f t="shared" si="43"/>
        <v>14.09</v>
      </c>
      <c r="AG345" s="32">
        <f t="shared" si="43"/>
        <v>34.86</v>
      </c>
      <c r="AH345" s="78"/>
      <c r="AI345" s="78"/>
      <c r="AJ345" s="55">
        <f t="shared" si="44"/>
        <v>324.9153</v>
      </c>
      <c r="AK345" s="32"/>
      <c r="AL345" s="33"/>
      <c r="AM345" s="23"/>
    </row>
    <row r="346" spans="1:39" ht="15.6" x14ac:dyDescent="0.3">
      <c r="A346" s="64"/>
      <c r="B346" s="64"/>
      <c r="C346" s="5" t="s">
        <v>622</v>
      </c>
      <c r="D346" s="5" t="s">
        <v>120</v>
      </c>
      <c r="E346" s="7" t="s">
        <v>0</v>
      </c>
      <c r="F346" s="5"/>
      <c r="G346" s="23"/>
      <c r="H346" s="10">
        <v>531</v>
      </c>
      <c r="I346" s="10">
        <v>391</v>
      </c>
      <c r="J346" s="10">
        <v>408</v>
      </c>
      <c r="K346" s="10">
        <v>344</v>
      </c>
      <c r="L346" s="10">
        <v>311</v>
      </c>
      <c r="M346" s="10">
        <v>135</v>
      </c>
      <c r="N346" s="9" cm="1">
        <f t="array" ref="N346">SUM((H346:L346)/5)</f>
        <v>397</v>
      </c>
      <c r="O346" s="10">
        <v>390</v>
      </c>
      <c r="P346" s="23"/>
      <c r="Q346" s="30">
        <v>49.308</v>
      </c>
      <c r="R346" s="30">
        <v>72.016000000000005</v>
      </c>
      <c r="S346" s="30">
        <v>0.441</v>
      </c>
      <c r="T346" s="30">
        <v>0.441</v>
      </c>
      <c r="U346" s="30">
        <f t="shared" si="39"/>
        <v>156</v>
      </c>
      <c r="V346" s="30">
        <f t="shared" si="40"/>
        <v>234</v>
      </c>
      <c r="W346" s="23"/>
      <c r="X346" s="30">
        <v>15.868</v>
      </c>
      <c r="Y346" s="30">
        <v>27.081630000000001</v>
      </c>
      <c r="Z346" s="53">
        <v>27.081630000000001</v>
      </c>
      <c r="AA346" s="54">
        <f t="shared" si="45"/>
        <v>44.684689500000005</v>
      </c>
      <c r="AB346" s="23"/>
      <c r="AC346" s="4">
        <v>365</v>
      </c>
      <c r="AD346" s="32">
        <f t="shared" si="41"/>
        <v>131.7893</v>
      </c>
      <c r="AE346" s="32">
        <f t="shared" si="42"/>
        <v>144.17600000000002</v>
      </c>
      <c r="AF346" s="32">
        <f t="shared" si="43"/>
        <v>42.25</v>
      </c>
      <c r="AG346" s="32">
        <f t="shared" si="43"/>
        <v>104.56</v>
      </c>
      <c r="AH346" s="78"/>
      <c r="AI346" s="78"/>
      <c r="AJ346" s="55">
        <f t="shared" si="44"/>
        <v>422.77530000000002</v>
      </c>
      <c r="AK346" s="32"/>
      <c r="AL346" s="33"/>
      <c r="AM346" s="23"/>
    </row>
    <row r="347" spans="1:39" ht="45" x14ac:dyDescent="0.3">
      <c r="A347" s="64"/>
      <c r="B347" s="64"/>
      <c r="C347" s="5" t="s">
        <v>640</v>
      </c>
      <c r="D347" s="5" t="s">
        <v>120</v>
      </c>
      <c r="E347" s="7" t="s">
        <v>0</v>
      </c>
      <c r="F347" s="5"/>
      <c r="G347" s="23"/>
      <c r="H347" s="10">
        <v>1789</v>
      </c>
      <c r="I347" s="10">
        <v>1535</v>
      </c>
      <c r="J347" s="10">
        <v>1476</v>
      </c>
      <c r="K347" s="10">
        <v>1641</v>
      </c>
      <c r="L347" s="10">
        <v>1595</v>
      </c>
      <c r="M347" s="10">
        <v>859</v>
      </c>
      <c r="N347" s="9" cm="1">
        <f t="array" ref="N347">SUM((H347:L347)/5)</f>
        <v>1607.2</v>
      </c>
      <c r="O347" s="10">
        <v>1610</v>
      </c>
      <c r="P347" s="23"/>
      <c r="Q347" s="30">
        <v>50.334000000000003</v>
      </c>
      <c r="R347" s="30">
        <v>63.256999999999998</v>
      </c>
      <c r="S347" s="30">
        <v>0.441</v>
      </c>
      <c r="T347" s="30">
        <v>0.441</v>
      </c>
      <c r="U347" s="30">
        <f t="shared" si="39"/>
        <v>644</v>
      </c>
      <c r="V347" s="30">
        <f t="shared" si="40"/>
        <v>966</v>
      </c>
      <c r="W347" s="23"/>
      <c r="X347" s="30" t="s">
        <v>202</v>
      </c>
      <c r="Y347" s="30" t="s">
        <v>289</v>
      </c>
      <c r="Z347" s="53">
        <f>SUM(27.91327+25.18882+25.32975)/3</f>
        <v>26.143946666666668</v>
      </c>
      <c r="AA347" s="54">
        <f t="shared" si="45"/>
        <v>43.137512000000001</v>
      </c>
      <c r="AB347" s="23"/>
      <c r="AC347" s="4">
        <v>365</v>
      </c>
      <c r="AD347" s="32">
        <f t="shared" si="41"/>
        <v>115.7603</v>
      </c>
      <c r="AE347" s="32">
        <f t="shared" si="42"/>
        <v>126.64049999999999</v>
      </c>
      <c r="AF347" s="32">
        <f t="shared" si="43"/>
        <v>168.37</v>
      </c>
      <c r="AG347" s="32">
        <f t="shared" si="43"/>
        <v>416.71</v>
      </c>
      <c r="AH347" s="78"/>
      <c r="AI347" s="78"/>
      <c r="AJ347" s="55">
        <f t="shared" si="44"/>
        <v>827.48080000000004</v>
      </c>
      <c r="AK347" s="32"/>
      <c r="AL347" s="33"/>
      <c r="AM347" s="23"/>
    </row>
    <row r="348" spans="1:39" ht="15.6" x14ac:dyDescent="0.3">
      <c r="A348" s="64"/>
      <c r="B348" s="64"/>
      <c r="C348" s="5" t="s">
        <v>623</v>
      </c>
      <c r="D348" s="5" t="s">
        <v>120</v>
      </c>
      <c r="E348" s="7" t="s">
        <v>0</v>
      </c>
      <c r="F348" s="5"/>
      <c r="G348" s="23"/>
      <c r="H348" s="10">
        <v>3048</v>
      </c>
      <c r="I348" s="10">
        <v>3125</v>
      </c>
      <c r="J348" s="10">
        <v>3058</v>
      </c>
      <c r="K348" s="10">
        <v>2977</v>
      </c>
      <c r="L348" s="10">
        <v>2932</v>
      </c>
      <c r="M348" s="10">
        <v>1245</v>
      </c>
      <c r="N348" s="9" cm="1">
        <f t="array" ref="N348">SUM((H348:L348)/5)</f>
        <v>3028</v>
      </c>
      <c r="O348" s="10">
        <v>3020</v>
      </c>
      <c r="P348" s="23"/>
      <c r="Q348" s="30">
        <v>49.308</v>
      </c>
      <c r="R348" s="30">
        <v>72.016000000000005</v>
      </c>
      <c r="S348" s="30">
        <v>0.441</v>
      </c>
      <c r="T348" s="30">
        <v>0.441</v>
      </c>
      <c r="U348" s="30">
        <f t="shared" si="39"/>
        <v>1208</v>
      </c>
      <c r="V348" s="30">
        <f t="shared" si="40"/>
        <v>1812</v>
      </c>
      <c r="W348" s="23"/>
      <c r="X348" s="30">
        <v>15.868</v>
      </c>
      <c r="Y348" s="30">
        <v>27.082799999999999</v>
      </c>
      <c r="Z348" s="53">
        <v>27.082799999999999</v>
      </c>
      <c r="AA348" s="54">
        <f t="shared" si="45"/>
        <v>44.686619999999998</v>
      </c>
      <c r="AB348" s="23"/>
      <c r="AC348" s="4">
        <v>365</v>
      </c>
      <c r="AD348" s="32">
        <f t="shared" si="41"/>
        <v>131.7893</v>
      </c>
      <c r="AE348" s="32">
        <f t="shared" si="42"/>
        <v>144.17600000000002</v>
      </c>
      <c r="AF348" s="32">
        <f t="shared" si="43"/>
        <v>327.16000000000003</v>
      </c>
      <c r="AG348" s="32">
        <f t="shared" si="43"/>
        <v>809.72</v>
      </c>
      <c r="AH348" s="78"/>
      <c r="AI348" s="78"/>
      <c r="AJ348" s="55">
        <f t="shared" si="44"/>
        <v>1412.8453</v>
      </c>
      <c r="AK348" s="32"/>
      <c r="AL348" s="33"/>
      <c r="AM348" s="23"/>
    </row>
    <row r="349" spans="1:39" ht="15.6" x14ac:dyDescent="0.3">
      <c r="A349" s="64"/>
      <c r="B349" s="64"/>
      <c r="C349" s="5" t="s">
        <v>623</v>
      </c>
      <c r="D349" s="5" t="s">
        <v>120</v>
      </c>
      <c r="E349" s="7" t="s">
        <v>0</v>
      </c>
      <c r="F349" s="5"/>
      <c r="G349" s="23"/>
      <c r="H349" s="10">
        <v>2269</v>
      </c>
      <c r="I349" s="10">
        <v>1807</v>
      </c>
      <c r="J349" s="10">
        <v>1854</v>
      </c>
      <c r="K349" s="10">
        <v>2043</v>
      </c>
      <c r="L349" s="10">
        <v>1938</v>
      </c>
      <c r="M349" s="10">
        <v>1108</v>
      </c>
      <c r="N349" s="9" cm="1">
        <f t="array" ref="N349">SUM((H349:L349)/5)</f>
        <v>1982.1999999999998</v>
      </c>
      <c r="O349" s="10">
        <v>1980</v>
      </c>
      <c r="P349" s="23"/>
      <c r="Q349" s="30">
        <v>49.308</v>
      </c>
      <c r="R349" s="30">
        <v>72.016000000000005</v>
      </c>
      <c r="S349" s="30">
        <v>0.441</v>
      </c>
      <c r="T349" s="30">
        <v>0.441</v>
      </c>
      <c r="U349" s="30">
        <f t="shared" si="39"/>
        <v>792</v>
      </c>
      <c r="V349" s="30">
        <f t="shared" si="40"/>
        <v>1188</v>
      </c>
      <c r="W349" s="23"/>
      <c r="X349" s="30">
        <v>15.868</v>
      </c>
      <c r="Y349" s="30">
        <v>27.082820000000002</v>
      </c>
      <c r="Z349" s="53">
        <v>27.082820000000002</v>
      </c>
      <c r="AA349" s="54">
        <f t="shared" si="45"/>
        <v>44.686653000000007</v>
      </c>
      <c r="AB349" s="23"/>
      <c r="AC349" s="4">
        <v>365</v>
      </c>
      <c r="AD349" s="32">
        <f t="shared" si="41"/>
        <v>131.7893</v>
      </c>
      <c r="AE349" s="32">
        <f t="shared" si="42"/>
        <v>144.17600000000002</v>
      </c>
      <c r="AF349" s="32">
        <f t="shared" si="43"/>
        <v>214.5</v>
      </c>
      <c r="AG349" s="32">
        <f t="shared" si="43"/>
        <v>530.88</v>
      </c>
      <c r="AH349" s="78"/>
      <c r="AI349" s="78"/>
      <c r="AJ349" s="55">
        <f t="shared" si="44"/>
        <v>1021.3453</v>
      </c>
      <c r="AK349" s="32"/>
      <c r="AL349" s="33"/>
      <c r="AM349" s="23"/>
    </row>
    <row r="350" spans="1:39" ht="15.6" x14ac:dyDescent="0.3">
      <c r="A350" s="64"/>
      <c r="B350" s="64"/>
      <c r="C350" s="5" t="s">
        <v>477</v>
      </c>
      <c r="D350" s="5" t="s">
        <v>120</v>
      </c>
      <c r="E350" s="7" t="s">
        <v>0</v>
      </c>
      <c r="F350" s="5"/>
      <c r="G350" s="23"/>
      <c r="H350" s="10">
        <v>354</v>
      </c>
      <c r="I350" s="10">
        <v>377</v>
      </c>
      <c r="J350" s="10">
        <v>382</v>
      </c>
      <c r="K350" s="10">
        <v>354</v>
      </c>
      <c r="L350" s="10">
        <v>973</v>
      </c>
      <c r="M350" s="10">
        <v>461</v>
      </c>
      <c r="N350" s="9" cm="1">
        <f t="array" ref="N350">SUM((H350:L350)/5)</f>
        <v>488</v>
      </c>
      <c r="O350" s="10">
        <v>550</v>
      </c>
      <c r="P350" s="23"/>
      <c r="Q350" s="30">
        <v>49.828000000000003</v>
      </c>
      <c r="R350" s="30">
        <v>63.256999999999998</v>
      </c>
      <c r="S350" s="30">
        <v>0.441</v>
      </c>
      <c r="T350" s="30">
        <v>0.441</v>
      </c>
      <c r="U350" s="30">
        <f t="shared" si="39"/>
        <v>220</v>
      </c>
      <c r="V350" s="30">
        <f t="shared" si="40"/>
        <v>330</v>
      </c>
      <c r="W350" s="23"/>
      <c r="X350" s="30">
        <v>15.061999999999999</v>
      </c>
      <c r="Y350" s="30">
        <v>26.506589999999999</v>
      </c>
      <c r="Z350" s="53">
        <v>26.506589999999999</v>
      </c>
      <c r="AA350" s="54">
        <f t="shared" si="45"/>
        <v>43.735873499999997</v>
      </c>
      <c r="AB350" s="23"/>
      <c r="AC350" s="4">
        <v>365</v>
      </c>
      <c r="AD350" s="32">
        <f t="shared" si="41"/>
        <v>115.7603</v>
      </c>
      <c r="AE350" s="32">
        <f t="shared" si="42"/>
        <v>126.64049999999999</v>
      </c>
      <c r="AF350" s="32">
        <f t="shared" si="43"/>
        <v>58.31</v>
      </c>
      <c r="AG350" s="32">
        <f t="shared" si="43"/>
        <v>144.33000000000001</v>
      </c>
      <c r="AH350" s="78"/>
      <c r="AI350" s="78"/>
      <c r="AJ350" s="55">
        <f t="shared" si="44"/>
        <v>445.04079999999999</v>
      </c>
      <c r="AK350" s="32"/>
      <c r="AL350" s="33"/>
      <c r="AM350" s="23"/>
    </row>
    <row r="351" spans="1:39" ht="45" x14ac:dyDescent="0.3">
      <c r="A351" s="64"/>
      <c r="B351" s="64"/>
      <c r="C351" s="5" t="s">
        <v>477</v>
      </c>
      <c r="D351" s="5" t="s">
        <v>120</v>
      </c>
      <c r="E351" s="7" t="s">
        <v>0</v>
      </c>
      <c r="F351" s="5"/>
      <c r="G351" s="23"/>
      <c r="H351" s="10">
        <v>239</v>
      </c>
      <c r="I351" s="10">
        <v>284</v>
      </c>
      <c r="J351" s="10">
        <v>317</v>
      </c>
      <c r="K351" s="10">
        <v>352</v>
      </c>
      <c r="L351" s="10">
        <v>564</v>
      </c>
      <c r="M351" s="10">
        <v>28</v>
      </c>
      <c r="N351" s="9" cm="1">
        <f t="array" ref="N351">SUM((H351:L351)/5)</f>
        <v>351.2</v>
      </c>
      <c r="O351" s="10">
        <v>350</v>
      </c>
      <c r="P351" s="23"/>
      <c r="Q351" s="30">
        <v>50.334000000000003</v>
      </c>
      <c r="R351" s="30">
        <v>63.256999999999998</v>
      </c>
      <c r="S351" s="30">
        <v>0.441</v>
      </c>
      <c r="T351" s="30">
        <v>0.441</v>
      </c>
      <c r="U351" s="30">
        <f t="shared" si="39"/>
        <v>140</v>
      </c>
      <c r="V351" s="30">
        <f t="shared" si="40"/>
        <v>210</v>
      </c>
      <c r="W351" s="23"/>
      <c r="X351" s="30" t="s">
        <v>207</v>
      </c>
      <c r="Y351" s="30" t="s">
        <v>290</v>
      </c>
      <c r="Z351" s="53">
        <f>SUM(27.42508+24.99474+25.37104)/3</f>
        <v>25.930286666666671</v>
      </c>
      <c r="AA351" s="54">
        <f t="shared" si="45"/>
        <v>42.784973000000008</v>
      </c>
      <c r="AB351" s="23"/>
      <c r="AC351" s="4">
        <v>365</v>
      </c>
      <c r="AD351" s="32">
        <f t="shared" si="41"/>
        <v>115.7603</v>
      </c>
      <c r="AE351" s="32">
        <f t="shared" si="42"/>
        <v>126.64049999999999</v>
      </c>
      <c r="AF351" s="32">
        <f t="shared" si="43"/>
        <v>36.299999999999997</v>
      </c>
      <c r="AG351" s="32">
        <f t="shared" si="43"/>
        <v>89.85</v>
      </c>
      <c r="AH351" s="78"/>
      <c r="AI351" s="78"/>
      <c r="AJ351" s="55">
        <f t="shared" si="44"/>
        <v>368.55079999999998</v>
      </c>
      <c r="AK351" s="32"/>
      <c r="AL351" s="33"/>
      <c r="AM351" s="23"/>
    </row>
    <row r="352" spans="1:39" ht="30" x14ac:dyDescent="0.3">
      <c r="A352" s="64"/>
      <c r="B352" s="64"/>
      <c r="C352" s="5" t="s">
        <v>477</v>
      </c>
      <c r="D352" s="5" t="s">
        <v>120</v>
      </c>
      <c r="E352" s="7" t="s">
        <v>0</v>
      </c>
      <c r="F352" s="5"/>
      <c r="G352" s="23"/>
      <c r="H352" s="10">
        <v>98</v>
      </c>
      <c r="I352" s="10">
        <v>164</v>
      </c>
      <c r="J352" s="10">
        <v>802</v>
      </c>
      <c r="K352" s="10">
        <v>830</v>
      </c>
      <c r="L352" s="10">
        <v>1003</v>
      </c>
      <c r="M352" s="10">
        <v>652</v>
      </c>
      <c r="N352" s="9" cm="1">
        <f t="array" ref="N352">SUM((H352:L352)/5)</f>
        <v>579.4</v>
      </c>
      <c r="O352" s="10">
        <v>900</v>
      </c>
      <c r="P352" s="23"/>
      <c r="Q352" s="30">
        <v>50.334000000000003</v>
      </c>
      <c r="R352" s="30">
        <v>63.256999999999998</v>
      </c>
      <c r="S352" s="30">
        <v>0.441</v>
      </c>
      <c r="T352" s="30">
        <v>0.441</v>
      </c>
      <c r="U352" s="30">
        <f t="shared" si="39"/>
        <v>360</v>
      </c>
      <c r="V352" s="30">
        <f t="shared" si="40"/>
        <v>540</v>
      </c>
      <c r="W352" s="23"/>
      <c r="X352" s="30" t="s">
        <v>291</v>
      </c>
      <c r="Y352" s="30" t="s">
        <v>292</v>
      </c>
      <c r="Z352" s="53">
        <f>SUM(26.72602+25.09196)/2</f>
        <v>25.908989999999999</v>
      </c>
      <c r="AA352" s="54">
        <f t="shared" si="45"/>
        <v>42.749833500000001</v>
      </c>
      <c r="AB352" s="23"/>
      <c r="AC352" s="4">
        <v>365</v>
      </c>
      <c r="AD352" s="32">
        <f t="shared" si="41"/>
        <v>115.7603</v>
      </c>
      <c r="AE352" s="32">
        <f t="shared" si="42"/>
        <v>126.64049999999999</v>
      </c>
      <c r="AF352" s="32">
        <f t="shared" si="43"/>
        <v>93.27</v>
      </c>
      <c r="AG352" s="32">
        <f t="shared" si="43"/>
        <v>230.85</v>
      </c>
      <c r="AH352" s="78"/>
      <c r="AI352" s="78"/>
      <c r="AJ352" s="55">
        <f t="shared" si="44"/>
        <v>566.52080000000001</v>
      </c>
      <c r="AK352" s="32"/>
      <c r="AL352" s="33"/>
      <c r="AM352" s="23"/>
    </row>
    <row r="353" spans="1:39" ht="15.6" x14ac:dyDescent="0.3">
      <c r="A353" s="64"/>
      <c r="B353" s="64"/>
      <c r="C353" s="5" t="s">
        <v>609</v>
      </c>
      <c r="D353" s="5" t="s">
        <v>120</v>
      </c>
      <c r="E353" s="7" t="s">
        <v>0</v>
      </c>
      <c r="F353" s="5"/>
      <c r="G353" s="23"/>
      <c r="H353" s="10">
        <v>210</v>
      </c>
      <c r="I353" s="10">
        <v>213</v>
      </c>
      <c r="J353" s="10">
        <v>97</v>
      </c>
      <c r="K353" s="10">
        <v>50</v>
      </c>
      <c r="L353" s="10">
        <v>83</v>
      </c>
      <c r="M353" s="10">
        <v>6</v>
      </c>
      <c r="N353" s="9" cm="1">
        <f t="array" ref="N353">SUM((H353:L353)/5)</f>
        <v>130.6</v>
      </c>
      <c r="O353" s="10">
        <v>130</v>
      </c>
      <c r="P353" s="23"/>
      <c r="Q353" s="30">
        <v>49.828000000000003</v>
      </c>
      <c r="R353" s="30">
        <v>63.256999999999998</v>
      </c>
      <c r="S353" s="30">
        <v>0.441</v>
      </c>
      <c r="T353" s="30">
        <v>0.441</v>
      </c>
      <c r="U353" s="30">
        <f t="shared" si="39"/>
        <v>52</v>
      </c>
      <c r="V353" s="30">
        <f t="shared" si="40"/>
        <v>78</v>
      </c>
      <c r="W353" s="23"/>
      <c r="X353" s="30">
        <v>15.061999999999999</v>
      </c>
      <c r="Y353" s="30">
        <v>26.504280000000001</v>
      </c>
      <c r="Z353" s="53">
        <v>26.504280000000001</v>
      </c>
      <c r="AA353" s="54">
        <f t="shared" si="45"/>
        <v>43.732061999999999</v>
      </c>
      <c r="AB353" s="23"/>
      <c r="AC353" s="4">
        <v>365</v>
      </c>
      <c r="AD353" s="32">
        <f t="shared" si="41"/>
        <v>115.7603</v>
      </c>
      <c r="AE353" s="32">
        <f t="shared" si="42"/>
        <v>126.64049999999999</v>
      </c>
      <c r="AF353" s="32">
        <f t="shared" si="43"/>
        <v>13.78</v>
      </c>
      <c r="AG353" s="32">
        <f t="shared" si="43"/>
        <v>34.11</v>
      </c>
      <c r="AH353" s="78"/>
      <c r="AI353" s="78"/>
      <c r="AJ353" s="55">
        <f t="shared" si="44"/>
        <v>290.29079999999999</v>
      </c>
      <c r="AK353" s="32"/>
      <c r="AL353" s="33"/>
      <c r="AM353" s="23"/>
    </row>
    <row r="354" spans="1:39" ht="15.6" x14ac:dyDescent="0.3">
      <c r="A354" s="64"/>
      <c r="B354" s="64"/>
      <c r="C354" s="5" t="s">
        <v>641</v>
      </c>
      <c r="D354" s="5" t="s">
        <v>120</v>
      </c>
      <c r="E354" s="7" t="s">
        <v>0</v>
      </c>
      <c r="F354" s="5"/>
      <c r="G354" s="23"/>
      <c r="H354" s="10">
        <v>150</v>
      </c>
      <c r="I354" s="10">
        <v>295</v>
      </c>
      <c r="J354" s="10">
        <v>124</v>
      </c>
      <c r="K354" s="10">
        <v>82</v>
      </c>
      <c r="L354" s="10">
        <v>74</v>
      </c>
      <c r="M354" s="10">
        <v>27</v>
      </c>
      <c r="N354" s="9" cm="1">
        <f t="array" ref="N354">SUM((H354:L354)/5)</f>
        <v>145</v>
      </c>
      <c r="O354" s="10">
        <v>145</v>
      </c>
      <c r="P354" s="23"/>
      <c r="Q354" s="30">
        <v>49.308</v>
      </c>
      <c r="R354" s="30">
        <v>72.016000000000005</v>
      </c>
      <c r="S354" s="30">
        <v>0.441</v>
      </c>
      <c r="T354" s="30">
        <v>0.441</v>
      </c>
      <c r="U354" s="30">
        <f t="shared" si="39"/>
        <v>58</v>
      </c>
      <c r="V354" s="30">
        <f t="shared" si="40"/>
        <v>87</v>
      </c>
      <c r="W354" s="23"/>
      <c r="X354" s="30">
        <v>15.868</v>
      </c>
      <c r="Y354" s="30">
        <v>27.076630000000002</v>
      </c>
      <c r="Z354" s="53">
        <v>27.076630000000002</v>
      </c>
      <c r="AA354" s="54">
        <f t="shared" si="45"/>
        <v>44.676439500000001</v>
      </c>
      <c r="AB354" s="23"/>
      <c r="AC354" s="4">
        <v>365</v>
      </c>
      <c r="AD354" s="32">
        <f t="shared" si="41"/>
        <v>131.7893</v>
      </c>
      <c r="AE354" s="32">
        <f t="shared" si="42"/>
        <v>144.17600000000002</v>
      </c>
      <c r="AF354" s="32">
        <f t="shared" si="43"/>
        <v>15.7</v>
      </c>
      <c r="AG354" s="32">
        <f t="shared" si="43"/>
        <v>38.869999999999997</v>
      </c>
      <c r="AH354" s="78"/>
      <c r="AI354" s="78"/>
      <c r="AJ354" s="55">
        <f t="shared" si="44"/>
        <v>330.53530000000001</v>
      </c>
      <c r="AK354" s="32"/>
      <c r="AL354" s="33"/>
      <c r="AM354" s="23"/>
    </row>
    <row r="355" spans="1:39" ht="15.6" x14ac:dyDescent="0.3">
      <c r="A355" s="64"/>
      <c r="B355" s="64"/>
      <c r="C355" s="5" t="s">
        <v>642</v>
      </c>
      <c r="D355" s="5" t="s">
        <v>120</v>
      </c>
      <c r="E355" s="7" t="s">
        <v>0</v>
      </c>
      <c r="F355" s="5"/>
      <c r="G355" s="23"/>
      <c r="H355" s="10">
        <v>809</v>
      </c>
      <c r="I355" s="10">
        <v>797</v>
      </c>
      <c r="J355" s="10">
        <v>918</v>
      </c>
      <c r="K355" s="10">
        <v>376</v>
      </c>
      <c r="L355" s="10">
        <v>293</v>
      </c>
      <c r="M355" s="10">
        <v>201</v>
      </c>
      <c r="N355" s="9" cm="1">
        <f t="array" ref="N355">SUM((H355:L355)/5)</f>
        <v>638.60000000000014</v>
      </c>
      <c r="O355" s="10">
        <v>630</v>
      </c>
      <c r="P355" s="23"/>
      <c r="Q355" s="30">
        <v>49.828000000000003</v>
      </c>
      <c r="R355" s="30">
        <v>63.256999999999998</v>
      </c>
      <c r="S355" s="30">
        <v>0.441</v>
      </c>
      <c r="T355" s="30">
        <v>0.441</v>
      </c>
      <c r="U355" s="30">
        <f t="shared" si="39"/>
        <v>252</v>
      </c>
      <c r="V355" s="30">
        <f t="shared" si="40"/>
        <v>378</v>
      </c>
      <c r="W355" s="23"/>
      <c r="X355" s="30">
        <v>15.061999999999999</v>
      </c>
      <c r="Y355" s="30">
        <v>26.505549999999999</v>
      </c>
      <c r="Z355" s="53">
        <v>26.505549999999999</v>
      </c>
      <c r="AA355" s="54">
        <f t="shared" si="45"/>
        <v>43.734157499999995</v>
      </c>
      <c r="AB355" s="23"/>
      <c r="AC355" s="4">
        <v>365</v>
      </c>
      <c r="AD355" s="32">
        <f t="shared" si="41"/>
        <v>115.7603</v>
      </c>
      <c r="AE355" s="32">
        <f t="shared" si="42"/>
        <v>126.64049999999999</v>
      </c>
      <c r="AF355" s="32">
        <f t="shared" si="43"/>
        <v>66.790000000000006</v>
      </c>
      <c r="AG355" s="32">
        <f t="shared" si="43"/>
        <v>165.32</v>
      </c>
      <c r="AH355" s="78"/>
      <c r="AI355" s="78"/>
      <c r="AJ355" s="55">
        <f t="shared" si="44"/>
        <v>474.51080000000002</v>
      </c>
      <c r="AK355" s="32"/>
      <c r="AL355" s="33"/>
      <c r="AM355" s="23"/>
    </row>
    <row r="356" spans="1:39" ht="30" x14ac:dyDescent="0.3">
      <c r="A356" s="64"/>
      <c r="B356" s="64"/>
      <c r="C356" s="5" t="s">
        <v>478</v>
      </c>
      <c r="D356" s="5" t="s">
        <v>120</v>
      </c>
      <c r="E356" s="7" t="s">
        <v>0</v>
      </c>
      <c r="F356" s="5"/>
      <c r="G356" s="23"/>
      <c r="H356" s="10">
        <v>42520</v>
      </c>
      <c r="I356" s="10">
        <v>36344</v>
      </c>
      <c r="J356" s="10">
        <v>36293</v>
      </c>
      <c r="K356" s="10">
        <v>15804</v>
      </c>
      <c r="L356" s="63">
        <v>-3664</v>
      </c>
      <c r="M356" s="10">
        <v>0</v>
      </c>
      <c r="N356" s="9" cm="1">
        <f t="array" ref="N356">SUM((H356:L356)/5)</f>
        <v>25459.4</v>
      </c>
      <c r="O356" s="10">
        <v>25400</v>
      </c>
      <c r="P356" s="23"/>
      <c r="Q356" s="30">
        <v>208.905</v>
      </c>
      <c r="R356" s="30">
        <v>374.858</v>
      </c>
      <c r="S356" s="30">
        <v>0.441</v>
      </c>
      <c r="T356" s="30">
        <v>0.441</v>
      </c>
      <c r="U356" s="30">
        <f t="shared" si="39"/>
        <v>10160</v>
      </c>
      <c r="V356" s="30">
        <f t="shared" si="40"/>
        <v>15240</v>
      </c>
      <c r="W356" s="23"/>
      <c r="X356" s="30" t="s">
        <v>293</v>
      </c>
      <c r="Y356" s="30" t="s">
        <v>294</v>
      </c>
      <c r="Z356" s="53">
        <f>SUM(26.58264+25.22587)/2</f>
        <v>25.904254999999999</v>
      </c>
      <c r="AA356" s="54">
        <f t="shared" si="45"/>
        <v>42.742020749999995</v>
      </c>
      <c r="AB356" s="23"/>
      <c r="AC356" s="4">
        <v>365</v>
      </c>
      <c r="AD356" s="32">
        <f t="shared" si="41"/>
        <v>685.99009999999998</v>
      </c>
      <c r="AE356" s="32">
        <f t="shared" si="42"/>
        <v>750.46570000000008</v>
      </c>
      <c r="AF356" s="32">
        <f t="shared" si="43"/>
        <v>2631.87</v>
      </c>
      <c r="AG356" s="32">
        <f t="shared" si="43"/>
        <v>6513.88</v>
      </c>
      <c r="AH356" s="78"/>
      <c r="AI356" s="78"/>
      <c r="AJ356" s="55">
        <f t="shared" si="44"/>
        <v>10582.2058</v>
      </c>
      <c r="AK356" s="32"/>
      <c r="AL356" s="33"/>
      <c r="AM356" s="23"/>
    </row>
    <row r="357" spans="1:39" ht="15.6" x14ac:dyDescent="0.3">
      <c r="A357" s="64"/>
      <c r="B357" s="64"/>
      <c r="C357" s="5" t="s">
        <v>643</v>
      </c>
      <c r="D357" s="5" t="s">
        <v>120</v>
      </c>
      <c r="E357" s="7" t="s">
        <v>0</v>
      </c>
      <c r="F357" s="5"/>
      <c r="G357" s="23"/>
      <c r="H357" s="10">
        <v>46</v>
      </c>
      <c r="I357" s="10">
        <v>386</v>
      </c>
      <c r="J357" s="10">
        <v>259</v>
      </c>
      <c r="K357" s="10">
        <v>262</v>
      </c>
      <c r="L357" s="10">
        <v>164</v>
      </c>
      <c r="M357" s="10">
        <v>18</v>
      </c>
      <c r="N357" s="9" cm="1">
        <f t="array" ref="N357">SUM((H357:L357)/5)</f>
        <v>223.39999999999998</v>
      </c>
      <c r="O357" s="10">
        <v>220</v>
      </c>
      <c r="P357" s="23"/>
      <c r="Q357" s="30">
        <v>49.308</v>
      </c>
      <c r="R357" s="30">
        <v>72.016000000000005</v>
      </c>
      <c r="S357" s="30">
        <v>0.441</v>
      </c>
      <c r="T357" s="30">
        <v>0.441</v>
      </c>
      <c r="U357" s="30">
        <f t="shared" si="39"/>
        <v>88</v>
      </c>
      <c r="V357" s="30">
        <f t="shared" si="40"/>
        <v>132</v>
      </c>
      <c r="W357" s="23"/>
      <c r="X357" s="30">
        <v>15.868</v>
      </c>
      <c r="Y357" s="30">
        <v>27.082329999999999</v>
      </c>
      <c r="Z357" s="53">
        <v>27.082329999999999</v>
      </c>
      <c r="AA357" s="54">
        <f t="shared" si="45"/>
        <v>44.685844500000002</v>
      </c>
      <c r="AB357" s="23"/>
      <c r="AC357" s="4">
        <v>365</v>
      </c>
      <c r="AD357" s="32">
        <f t="shared" si="41"/>
        <v>131.7893</v>
      </c>
      <c r="AE357" s="32">
        <f t="shared" si="42"/>
        <v>144.17600000000002</v>
      </c>
      <c r="AF357" s="32">
        <f t="shared" si="43"/>
        <v>23.83</v>
      </c>
      <c r="AG357" s="32">
        <f t="shared" si="43"/>
        <v>58.99</v>
      </c>
      <c r="AH357" s="78"/>
      <c r="AI357" s="78"/>
      <c r="AJ357" s="55">
        <f t="shared" si="44"/>
        <v>358.78530000000001</v>
      </c>
      <c r="AK357" s="32"/>
      <c r="AL357" s="33"/>
      <c r="AM357" s="23"/>
    </row>
    <row r="358" spans="1:39" ht="15.6" x14ac:dyDescent="0.3">
      <c r="A358" s="64"/>
      <c r="B358" s="64"/>
      <c r="C358" s="5" t="s">
        <v>655</v>
      </c>
      <c r="D358" s="5" t="s">
        <v>120</v>
      </c>
      <c r="E358" s="7" t="s">
        <v>0</v>
      </c>
      <c r="F358" s="5"/>
      <c r="G358" s="23"/>
      <c r="H358" s="10">
        <v>46</v>
      </c>
      <c r="I358" s="10">
        <v>46</v>
      </c>
      <c r="J358" s="10">
        <v>53</v>
      </c>
      <c r="K358" s="10">
        <v>78</v>
      </c>
      <c r="L358" s="10">
        <v>55</v>
      </c>
      <c r="M358" s="10">
        <v>35</v>
      </c>
      <c r="N358" s="9" cm="1">
        <f t="array" ref="N358">SUM((H358:L358)/5)</f>
        <v>55.6</v>
      </c>
      <c r="O358" s="10">
        <v>60</v>
      </c>
      <c r="P358" s="23"/>
      <c r="Q358" s="30">
        <v>49.308</v>
      </c>
      <c r="R358" s="30">
        <v>72.016000000000005</v>
      </c>
      <c r="S358" s="30">
        <v>0.441</v>
      </c>
      <c r="T358" s="30">
        <v>0.441</v>
      </c>
      <c r="U358" s="30">
        <f t="shared" si="39"/>
        <v>24</v>
      </c>
      <c r="V358" s="30">
        <f t="shared" si="40"/>
        <v>36</v>
      </c>
      <c r="W358" s="23"/>
      <c r="X358" s="30">
        <v>15.868</v>
      </c>
      <c r="Y358" s="30">
        <v>27.084399999999999</v>
      </c>
      <c r="Z358" s="53">
        <v>27.084399999999999</v>
      </c>
      <c r="AA358" s="54">
        <f t="shared" si="45"/>
        <v>44.689259999999997</v>
      </c>
      <c r="AB358" s="23"/>
      <c r="AC358" s="4">
        <v>365</v>
      </c>
      <c r="AD358" s="32">
        <f t="shared" si="41"/>
        <v>131.7893</v>
      </c>
      <c r="AE358" s="32">
        <f t="shared" si="42"/>
        <v>144.17600000000002</v>
      </c>
      <c r="AF358" s="32">
        <f t="shared" si="43"/>
        <v>6.5</v>
      </c>
      <c r="AG358" s="32">
        <f t="shared" si="43"/>
        <v>16.09</v>
      </c>
      <c r="AH358" s="78"/>
      <c r="AI358" s="78"/>
      <c r="AJ358" s="55">
        <f t="shared" si="44"/>
        <v>298.55529999999999</v>
      </c>
      <c r="AK358" s="32"/>
      <c r="AL358" s="33"/>
      <c r="AM358" s="23"/>
    </row>
    <row r="359" spans="1:39" ht="15.6" x14ac:dyDescent="0.3">
      <c r="A359" s="64"/>
      <c r="B359" s="64"/>
      <c r="C359" s="5" t="s">
        <v>603</v>
      </c>
      <c r="D359" s="5" t="s">
        <v>120</v>
      </c>
      <c r="E359" s="7" t="s">
        <v>0</v>
      </c>
      <c r="F359" s="5"/>
      <c r="G359" s="23"/>
      <c r="H359" s="10">
        <v>533</v>
      </c>
      <c r="I359" s="10">
        <v>415</v>
      </c>
      <c r="J359" s="10">
        <v>345</v>
      </c>
      <c r="K359" s="10">
        <v>351</v>
      </c>
      <c r="L359" s="10">
        <v>299</v>
      </c>
      <c r="M359" s="10">
        <v>164</v>
      </c>
      <c r="N359" s="9" cm="1">
        <f t="array" ref="N359">SUM((H359:L359)/5)</f>
        <v>388.6</v>
      </c>
      <c r="O359" s="10">
        <v>390</v>
      </c>
      <c r="P359" s="23"/>
      <c r="Q359" s="30">
        <v>49.308</v>
      </c>
      <c r="R359" s="30">
        <v>72.016000000000005</v>
      </c>
      <c r="S359" s="30">
        <v>0.441</v>
      </c>
      <c r="T359" s="30">
        <v>0.441</v>
      </c>
      <c r="U359" s="30">
        <f t="shared" si="39"/>
        <v>156</v>
      </c>
      <c r="V359" s="30">
        <f t="shared" si="40"/>
        <v>234</v>
      </c>
      <c r="W359" s="23"/>
      <c r="X359" s="30">
        <v>15.868</v>
      </c>
      <c r="Y359" s="30">
        <v>27.081790000000002</v>
      </c>
      <c r="Z359" s="53">
        <v>27.081790000000002</v>
      </c>
      <c r="AA359" s="54">
        <f t="shared" si="45"/>
        <v>44.684953500000006</v>
      </c>
      <c r="AB359" s="23"/>
      <c r="AC359" s="4">
        <v>365</v>
      </c>
      <c r="AD359" s="32">
        <f t="shared" si="41"/>
        <v>131.7893</v>
      </c>
      <c r="AE359" s="32">
        <f t="shared" si="42"/>
        <v>144.17600000000002</v>
      </c>
      <c r="AF359" s="32">
        <f t="shared" si="43"/>
        <v>42.25</v>
      </c>
      <c r="AG359" s="32">
        <f t="shared" si="43"/>
        <v>104.56</v>
      </c>
      <c r="AH359" s="78"/>
      <c r="AI359" s="78"/>
      <c r="AJ359" s="55">
        <f t="shared" si="44"/>
        <v>422.77530000000002</v>
      </c>
      <c r="AK359" s="32"/>
      <c r="AL359" s="33"/>
      <c r="AM359" s="23"/>
    </row>
    <row r="360" spans="1:39" ht="15.6" x14ac:dyDescent="0.3">
      <c r="A360" s="64"/>
      <c r="B360" s="64"/>
      <c r="C360" s="5" t="s">
        <v>655</v>
      </c>
      <c r="D360" s="5" t="s">
        <v>120</v>
      </c>
      <c r="E360" s="7" t="s">
        <v>0</v>
      </c>
      <c r="F360" s="5"/>
      <c r="G360" s="23"/>
      <c r="H360" s="10">
        <v>169</v>
      </c>
      <c r="I360" s="10">
        <v>122</v>
      </c>
      <c r="J360" s="10">
        <v>146</v>
      </c>
      <c r="K360" s="10">
        <v>151</v>
      </c>
      <c r="L360" s="10">
        <v>243</v>
      </c>
      <c r="M360" s="10">
        <v>104</v>
      </c>
      <c r="N360" s="9" cm="1">
        <f t="array" ref="N360">SUM((H360:L360)/5)</f>
        <v>166.2</v>
      </c>
      <c r="O360" s="10">
        <v>170</v>
      </c>
      <c r="P360" s="23"/>
      <c r="Q360" s="30">
        <v>49.308</v>
      </c>
      <c r="R360" s="30">
        <v>72.016000000000005</v>
      </c>
      <c r="S360" s="30">
        <v>0.441</v>
      </c>
      <c r="T360" s="30">
        <v>0.441</v>
      </c>
      <c r="U360" s="30">
        <f t="shared" si="39"/>
        <v>68</v>
      </c>
      <c r="V360" s="30">
        <f t="shared" si="40"/>
        <v>102</v>
      </c>
      <c r="W360" s="23"/>
      <c r="X360" s="30">
        <v>15.868</v>
      </c>
      <c r="Y360" s="30">
        <v>27.08268</v>
      </c>
      <c r="Z360" s="53">
        <v>27.08268</v>
      </c>
      <c r="AA360" s="54">
        <f t="shared" si="45"/>
        <v>44.686422</v>
      </c>
      <c r="AB360" s="23"/>
      <c r="AC360" s="4">
        <v>365</v>
      </c>
      <c r="AD360" s="32">
        <f t="shared" si="41"/>
        <v>131.7893</v>
      </c>
      <c r="AE360" s="32">
        <f t="shared" si="42"/>
        <v>144.17600000000002</v>
      </c>
      <c r="AF360" s="32">
        <f t="shared" si="43"/>
        <v>18.420000000000002</v>
      </c>
      <c r="AG360" s="32">
        <f t="shared" si="43"/>
        <v>45.58</v>
      </c>
      <c r="AH360" s="78"/>
      <c r="AI360" s="78"/>
      <c r="AJ360" s="55">
        <f t="shared" si="44"/>
        <v>339.96530000000001</v>
      </c>
      <c r="AK360" s="32"/>
      <c r="AL360" s="33"/>
      <c r="AM360" s="23"/>
    </row>
    <row r="361" spans="1:39" ht="15.6" x14ac:dyDescent="0.3">
      <c r="A361" s="64"/>
      <c r="B361" s="64"/>
      <c r="C361" s="5" t="s">
        <v>680</v>
      </c>
      <c r="D361" s="5" t="s">
        <v>120</v>
      </c>
      <c r="E361" s="7" t="s">
        <v>0</v>
      </c>
      <c r="F361" s="5"/>
      <c r="G361" s="23"/>
      <c r="H361" s="10">
        <v>355</v>
      </c>
      <c r="I361" s="10">
        <v>345</v>
      </c>
      <c r="J361" s="10">
        <v>346</v>
      </c>
      <c r="K361" s="10">
        <v>326</v>
      </c>
      <c r="L361" s="10">
        <v>276</v>
      </c>
      <c r="M361" s="10">
        <v>152</v>
      </c>
      <c r="N361" s="9" cm="1">
        <f t="array" ref="N361">SUM((H361:L361)/5)</f>
        <v>329.59999999999997</v>
      </c>
      <c r="O361" s="10">
        <v>330</v>
      </c>
      <c r="P361" s="23"/>
      <c r="Q361" s="30">
        <v>49.308</v>
      </c>
      <c r="R361" s="30">
        <v>72.016000000000005</v>
      </c>
      <c r="S361" s="30">
        <v>0.441</v>
      </c>
      <c r="T361" s="30">
        <v>0.441</v>
      </c>
      <c r="U361" s="30">
        <f t="shared" si="39"/>
        <v>132</v>
      </c>
      <c r="V361" s="30">
        <f t="shared" si="40"/>
        <v>198</v>
      </c>
      <c r="W361" s="23"/>
      <c r="X361" s="30">
        <v>15.868</v>
      </c>
      <c r="Y361" s="30">
        <v>27.083269999999999</v>
      </c>
      <c r="Z361" s="53">
        <v>27.083269999999999</v>
      </c>
      <c r="AA361" s="54">
        <f t="shared" si="45"/>
        <v>44.687395499999994</v>
      </c>
      <c r="AB361" s="23"/>
      <c r="AC361" s="4">
        <v>365</v>
      </c>
      <c r="AD361" s="32">
        <f t="shared" si="41"/>
        <v>131.7893</v>
      </c>
      <c r="AE361" s="32">
        <f t="shared" si="42"/>
        <v>144.17600000000002</v>
      </c>
      <c r="AF361" s="32">
        <f t="shared" si="43"/>
        <v>35.75</v>
      </c>
      <c r="AG361" s="32">
        <f t="shared" si="43"/>
        <v>88.48</v>
      </c>
      <c r="AH361" s="78"/>
      <c r="AI361" s="78"/>
      <c r="AJ361" s="55">
        <f t="shared" si="44"/>
        <v>400.19530000000003</v>
      </c>
      <c r="AK361" s="32"/>
      <c r="AL361" s="33"/>
      <c r="AM361" s="23"/>
    </row>
    <row r="362" spans="1:39" ht="15.6" x14ac:dyDescent="0.3">
      <c r="A362" s="64"/>
      <c r="B362" s="64"/>
      <c r="C362" s="5" t="s">
        <v>680</v>
      </c>
      <c r="D362" s="5" t="s">
        <v>120</v>
      </c>
      <c r="E362" s="7" t="s">
        <v>0</v>
      </c>
      <c r="F362" s="5"/>
      <c r="G362" s="23"/>
      <c r="H362" s="10">
        <v>34</v>
      </c>
      <c r="I362" s="10">
        <v>25</v>
      </c>
      <c r="J362" s="10">
        <v>28</v>
      </c>
      <c r="K362" s="10">
        <v>25</v>
      </c>
      <c r="L362" s="10">
        <v>2198</v>
      </c>
      <c r="M362" s="10">
        <v>1487</v>
      </c>
      <c r="N362" s="9" cm="1">
        <f t="array" ref="N362">SUM((H362:L362)/5)</f>
        <v>462</v>
      </c>
      <c r="O362" s="10">
        <v>1500</v>
      </c>
      <c r="P362" s="23"/>
      <c r="Q362" s="30">
        <v>49.308</v>
      </c>
      <c r="R362" s="30">
        <v>72.016000000000005</v>
      </c>
      <c r="S362" s="30">
        <v>0.441</v>
      </c>
      <c r="T362" s="30">
        <v>0.441</v>
      </c>
      <c r="U362" s="30">
        <f t="shared" si="39"/>
        <v>600</v>
      </c>
      <c r="V362" s="30">
        <f t="shared" si="40"/>
        <v>900</v>
      </c>
      <c r="W362" s="23"/>
      <c r="X362" s="30">
        <v>15.868</v>
      </c>
      <c r="Y362" s="30">
        <v>27.082789999999999</v>
      </c>
      <c r="Z362" s="53">
        <v>27.082789999999999</v>
      </c>
      <c r="AA362" s="54">
        <f t="shared" si="45"/>
        <v>44.686603500000004</v>
      </c>
      <c r="AB362" s="23"/>
      <c r="AC362" s="4">
        <v>365</v>
      </c>
      <c r="AD362" s="32">
        <f t="shared" si="41"/>
        <v>131.7893</v>
      </c>
      <c r="AE362" s="32">
        <f t="shared" si="42"/>
        <v>144.17600000000002</v>
      </c>
      <c r="AF362" s="32">
        <f t="shared" si="43"/>
        <v>162.5</v>
      </c>
      <c r="AG362" s="32">
        <f t="shared" si="43"/>
        <v>402.18</v>
      </c>
      <c r="AH362" s="78"/>
      <c r="AI362" s="78"/>
      <c r="AJ362" s="55">
        <f t="shared" si="44"/>
        <v>840.64530000000002</v>
      </c>
      <c r="AK362" s="32"/>
      <c r="AL362" s="33"/>
      <c r="AM362" s="23"/>
    </row>
    <row r="363" spans="1:39" ht="15.6" x14ac:dyDescent="0.3">
      <c r="A363" s="64"/>
      <c r="B363" s="64"/>
      <c r="C363" s="5" t="s">
        <v>479</v>
      </c>
      <c r="D363" s="5" t="s">
        <v>120</v>
      </c>
      <c r="E363" s="7" t="s">
        <v>0</v>
      </c>
      <c r="F363" s="5"/>
      <c r="G363" s="23"/>
      <c r="H363" s="10">
        <v>188</v>
      </c>
      <c r="I363" s="10">
        <v>185</v>
      </c>
      <c r="J363" s="10">
        <v>596</v>
      </c>
      <c r="K363" s="10">
        <v>955</v>
      </c>
      <c r="L363" s="10">
        <v>891</v>
      </c>
      <c r="M363" s="10">
        <v>447</v>
      </c>
      <c r="N363" s="9" cm="1">
        <f t="array" ref="N363">SUM((H363:L363)/5)</f>
        <v>563</v>
      </c>
      <c r="O363" s="10">
        <v>900</v>
      </c>
      <c r="P363" s="23"/>
      <c r="Q363" s="30">
        <v>49.308</v>
      </c>
      <c r="R363" s="30">
        <v>72.016000000000005</v>
      </c>
      <c r="S363" s="30">
        <v>0.441</v>
      </c>
      <c r="T363" s="30">
        <v>0.441</v>
      </c>
      <c r="U363" s="30">
        <f t="shared" si="39"/>
        <v>360</v>
      </c>
      <c r="V363" s="30">
        <f t="shared" si="40"/>
        <v>540</v>
      </c>
      <c r="W363" s="23"/>
      <c r="X363" s="30">
        <v>15.868</v>
      </c>
      <c r="Y363" s="30">
        <v>27.082840000000001</v>
      </c>
      <c r="Z363" s="53">
        <v>27.082840000000001</v>
      </c>
      <c r="AA363" s="54">
        <f t="shared" si="45"/>
        <v>44.686686000000002</v>
      </c>
      <c r="AB363" s="23"/>
      <c r="AC363" s="4">
        <v>365</v>
      </c>
      <c r="AD363" s="32">
        <f t="shared" si="41"/>
        <v>131.7893</v>
      </c>
      <c r="AE363" s="32">
        <f t="shared" si="42"/>
        <v>144.17600000000002</v>
      </c>
      <c r="AF363" s="32">
        <f t="shared" si="43"/>
        <v>97.5</v>
      </c>
      <c r="AG363" s="32">
        <f t="shared" si="43"/>
        <v>241.31</v>
      </c>
      <c r="AH363" s="78"/>
      <c r="AI363" s="78"/>
      <c r="AJ363" s="55">
        <f t="shared" si="44"/>
        <v>614.77530000000002</v>
      </c>
      <c r="AK363" s="32"/>
      <c r="AL363" s="33"/>
      <c r="AM363" s="23"/>
    </row>
    <row r="364" spans="1:39" ht="15.6" x14ac:dyDescent="0.3">
      <c r="A364" s="64"/>
      <c r="B364" s="64"/>
      <c r="C364" s="5" t="s">
        <v>624</v>
      </c>
      <c r="D364" s="5" t="s">
        <v>120</v>
      </c>
      <c r="E364" s="7" t="s">
        <v>0</v>
      </c>
      <c r="F364" s="5"/>
      <c r="G364" s="23"/>
      <c r="H364" s="10">
        <v>949</v>
      </c>
      <c r="I364" s="10">
        <v>881</v>
      </c>
      <c r="J364" s="10">
        <v>693</v>
      </c>
      <c r="K364" s="10">
        <v>780</v>
      </c>
      <c r="L364" s="10">
        <v>778</v>
      </c>
      <c r="M364" s="10">
        <v>33</v>
      </c>
      <c r="N364" s="9" cm="1">
        <f t="array" ref="N364">SUM((H364:L364)/5)</f>
        <v>816.2</v>
      </c>
      <c r="O364" s="10">
        <v>820</v>
      </c>
      <c r="P364" s="23"/>
      <c r="Q364" s="30">
        <v>49.308</v>
      </c>
      <c r="R364" s="30">
        <v>72.016000000000005</v>
      </c>
      <c r="S364" s="30">
        <v>0.441</v>
      </c>
      <c r="T364" s="30">
        <v>0.441</v>
      </c>
      <c r="U364" s="30">
        <f t="shared" si="39"/>
        <v>328</v>
      </c>
      <c r="V364" s="30">
        <f t="shared" si="40"/>
        <v>492</v>
      </c>
      <c r="W364" s="23"/>
      <c r="X364" s="30">
        <v>15.868</v>
      </c>
      <c r="Y364" s="30">
        <v>27.083030000000001</v>
      </c>
      <c r="Z364" s="53">
        <v>27.083030000000001</v>
      </c>
      <c r="AA364" s="54">
        <f t="shared" si="45"/>
        <v>44.686999499999999</v>
      </c>
      <c r="AB364" s="23"/>
      <c r="AC364" s="4">
        <v>365</v>
      </c>
      <c r="AD364" s="32">
        <f t="shared" si="41"/>
        <v>131.7893</v>
      </c>
      <c r="AE364" s="32">
        <f t="shared" si="42"/>
        <v>144.17600000000002</v>
      </c>
      <c r="AF364" s="32">
        <f t="shared" si="43"/>
        <v>88.83</v>
      </c>
      <c r="AG364" s="32">
        <f t="shared" si="43"/>
        <v>219.86</v>
      </c>
      <c r="AH364" s="78"/>
      <c r="AI364" s="78"/>
      <c r="AJ364" s="55">
        <f t="shared" si="44"/>
        <v>584.65530000000001</v>
      </c>
      <c r="AK364" s="32"/>
      <c r="AL364" s="33"/>
      <c r="AM364" s="23"/>
    </row>
    <row r="365" spans="1:39" ht="15.6" x14ac:dyDescent="0.3">
      <c r="A365" s="64"/>
      <c r="B365" s="64"/>
      <c r="C365" s="5" t="s">
        <v>656</v>
      </c>
      <c r="D365" s="5" t="s">
        <v>120</v>
      </c>
      <c r="E365" s="7" t="s">
        <v>0</v>
      </c>
      <c r="F365" s="5"/>
      <c r="G365" s="23"/>
      <c r="H365" s="10">
        <v>1167</v>
      </c>
      <c r="I365" s="10">
        <v>1006</v>
      </c>
      <c r="J365" s="10">
        <v>818</v>
      </c>
      <c r="K365" s="10">
        <v>769</v>
      </c>
      <c r="L365" s="10">
        <v>866</v>
      </c>
      <c r="M365" s="10">
        <v>357</v>
      </c>
      <c r="N365" s="9" cm="1">
        <f t="array" ref="N365">SUM((H365:L365)/5)</f>
        <v>925.2</v>
      </c>
      <c r="O365" s="10">
        <v>925</v>
      </c>
      <c r="P365" s="23"/>
      <c r="Q365" s="30">
        <v>49.308</v>
      </c>
      <c r="R365" s="30">
        <v>72.016000000000005</v>
      </c>
      <c r="S365" s="30">
        <v>0.441</v>
      </c>
      <c r="T365" s="30">
        <v>0.441</v>
      </c>
      <c r="U365" s="30">
        <f t="shared" si="39"/>
        <v>370</v>
      </c>
      <c r="V365" s="30">
        <f t="shared" si="40"/>
        <v>555</v>
      </c>
      <c r="W365" s="23"/>
      <c r="X365" s="30">
        <v>15.868</v>
      </c>
      <c r="Y365" s="30">
        <v>27.083379999999998</v>
      </c>
      <c r="Z365" s="53">
        <v>27.083379999999998</v>
      </c>
      <c r="AA365" s="54">
        <f t="shared" si="45"/>
        <v>44.687576999999997</v>
      </c>
      <c r="AB365" s="23"/>
      <c r="AC365" s="4">
        <v>365</v>
      </c>
      <c r="AD365" s="32">
        <f t="shared" si="41"/>
        <v>131.7893</v>
      </c>
      <c r="AE365" s="32">
        <f t="shared" si="42"/>
        <v>144.17600000000002</v>
      </c>
      <c r="AF365" s="32">
        <f t="shared" si="43"/>
        <v>100.21</v>
      </c>
      <c r="AG365" s="32">
        <f t="shared" si="43"/>
        <v>248.02</v>
      </c>
      <c r="AH365" s="78"/>
      <c r="AI365" s="78"/>
      <c r="AJ365" s="55">
        <f t="shared" si="44"/>
        <v>624.19529999999997</v>
      </c>
      <c r="AK365" s="32"/>
      <c r="AL365" s="33"/>
      <c r="AM365" s="23"/>
    </row>
    <row r="366" spans="1:39" ht="15.6" x14ac:dyDescent="0.3">
      <c r="A366" s="64"/>
      <c r="B366" s="64"/>
      <c r="C366" s="5" t="s">
        <v>604</v>
      </c>
      <c r="D366" s="5" t="s">
        <v>120</v>
      </c>
      <c r="E366" s="7" t="s">
        <v>0</v>
      </c>
      <c r="F366" s="5"/>
      <c r="G366" s="23"/>
      <c r="H366" s="10">
        <v>64</v>
      </c>
      <c r="I366" s="10">
        <v>58</v>
      </c>
      <c r="J366" s="10">
        <v>13775</v>
      </c>
      <c r="K366" s="10">
        <v>11810</v>
      </c>
      <c r="L366" s="10">
        <v>7292</v>
      </c>
      <c r="M366" s="10">
        <v>2629</v>
      </c>
      <c r="N366" s="9" cm="1">
        <f t="array" ref="N366">SUM((H366:L366)/5)</f>
        <v>6599.7999999999993</v>
      </c>
      <c r="O366" s="10">
        <v>7000</v>
      </c>
      <c r="P366" s="23"/>
      <c r="Q366" s="56">
        <v>0</v>
      </c>
      <c r="R366" s="56"/>
      <c r="S366" s="30">
        <v>0.441</v>
      </c>
      <c r="T366" s="30">
        <v>0.441</v>
      </c>
      <c r="U366" s="30">
        <f t="shared" si="39"/>
        <v>2800</v>
      </c>
      <c r="V366" s="30">
        <f t="shared" si="40"/>
        <v>4200</v>
      </c>
      <c r="W366" s="23"/>
      <c r="X366" s="56">
        <v>15.868</v>
      </c>
      <c r="Y366" s="56"/>
      <c r="Z366" s="57"/>
      <c r="AA366" s="54">
        <f t="shared" si="45"/>
        <v>0</v>
      </c>
      <c r="AB366" s="23"/>
      <c r="AC366" s="4">
        <v>365</v>
      </c>
      <c r="AD366" s="32">
        <f t="shared" si="41"/>
        <v>0</v>
      </c>
      <c r="AE366" s="32">
        <f t="shared" si="42"/>
        <v>0</v>
      </c>
      <c r="AF366" s="32">
        <f t="shared" si="43"/>
        <v>0</v>
      </c>
      <c r="AG366" s="32">
        <f t="shared" si="43"/>
        <v>0</v>
      </c>
      <c r="AH366" s="78"/>
      <c r="AI366" s="78"/>
      <c r="AJ366" s="55">
        <f t="shared" si="44"/>
        <v>0</v>
      </c>
      <c r="AK366" s="32"/>
      <c r="AL366" s="33"/>
      <c r="AM366" s="23"/>
    </row>
    <row r="367" spans="1:39" ht="15.6" x14ac:dyDescent="0.3">
      <c r="A367" s="64"/>
      <c r="B367" s="64"/>
      <c r="C367" s="5" t="s">
        <v>604</v>
      </c>
      <c r="D367" s="5" t="s">
        <v>120</v>
      </c>
      <c r="E367" s="7" t="s">
        <v>0</v>
      </c>
      <c r="F367" s="5"/>
      <c r="G367" s="23"/>
      <c r="H367" s="10">
        <v>2013</v>
      </c>
      <c r="I367" s="10">
        <v>843</v>
      </c>
      <c r="J367" s="10">
        <v>842</v>
      </c>
      <c r="K367" s="10">
        <v>793</v>
      </c>
      <c r="L367" s="10">
        <v>888</v>
      </c>
      <c r="M367" s="10">
        <v>364</v>
      </c>
      <c r="N367" s="9" cm="1">
        <f t="array" ref="N367">SUM((H367:L367)/5)</f>
        <v>1075.8</v>
      </c>
      <c r="O367" s="10">
        <v>1070</v>
      </c>
      <c r="P367" s="23"/>
      <c r="Q367" s="30">
        <v>49.308</v>
      </c>
      <c r="R367" s="30">
        <v>72.016000000000005</v>
      </c>
      <c r="S367" s="30">
        <v>0.441</v>
      </c>
      <c r="T367" s="30">
        <v>0.441</v>
      </c>
      <c r="U367" s="30">
        <f t="shared" si="39"/>
        <v>428</v>
      </c>
      <c r="V367" s="30">
        <f t="shared" si="40"/>
        <v>642</v>
      </c>
      <c r="W367" s="23"/>
      <c r="X367" s="30">
        <v>15.868</v>
      </c>
      <c r="Y367" s="30">
        <v>27.082730000000002</v>
      </c>
      <c r="Z367" s="53">
        <v>27.082730000000002</v>
      </c>
      <c r="AA367" s="54">
        <f t="shared" si="45"/>
        <v>44.686504499999998</v>
      </c>
      <c r="AB367" s="23"/>
      <c r="AC367" s="4">
        <v>365</v>
      </c>
      <c r="AD367" s="32">
        <f t="shared" si="41"/>
        <v>131.7893</v>
      </c>
      <c r="AE367" s="32">
        <f t="shared" si="42"/>
        <v>144.17600000000002</v>
      </c>
      <c r="AF367" s="32">
        <f t="shared" si="43"/>
        <v>115.91</v>
      </c>
      <c r="AG367" s="32">
        <f t="shared" si="43"/>
        <v>286.89</v>
      </c>
      <c r="AH367" s="78"/>
      <c r="AI367" s="78"/>
      <c r="AJ367" s="55">
        <f t="shared" si="44"/>
        <v>678.76530000000002</v>
      </c>
      <c r="AK367" s="32"/>
      <c r="AL367" s="33"/>
      <c r="AM367" s="23"/>
    </row>
    <row r="368" spans="1:39" ht="15.6" x14ac:dyDescent="0.3">
      <c r="A368" s="64"/>
      <c r="B368" s="64"/>
      <c r="C368" s="5" t="s">
        <v>657</v>
      </c>
      <c r="D368" s="5" t="s">
        <v>120</v>
      </c>
      <c r="E368" s="7" t="s">
        <v>0</v>
      </c>
      <c r="F368" s="5"/>
      <c r="G368" s="23"/>
      <c r="H368" s="10">
        <v>1254</v>
      </c>
      <c r="I368" s="10">
        <v>865</v>
      </c>
      <c r="J368" s="10">
        <v>766</v>
      </c>
      <c r="K368" s="10">
        <v>923</v>
      </c>
      <c r="L368" s="10">
        <v>619</v>
      </c>
      <c r="M368" s="10">
        <v>367</v>
      </c>
      <c r="N368" s="9" cm="1">
        <f t="array" ref="N368">SUM((H368:L368)/5)</f>
        <v>885.4</v>
      </c>
      <c r="O368" s="10">
        <v>885</v>
      </c>
      <c r="P368" s="23"/>
      <c r="Q368" s="30">
        <v>49.308</v>
      </c>
      <c r="R368" s="30">
        <v>72.016000000000005</v>
      </c>
      <c r="S368" s="30">
        <v>0.441</v>
      </c>
      <c r="T368" s="30">
        <v>0.441</v>
      </c>
      <c r="U368" s="30">
        <f t="shared" si="39"/>
        <v>354</v>
      </c>
      <c r="V368" s="30">
        <f t="shared" si="40"/>
        <v>531</v>
      </c>
      <c r="W368" s="23"/>
      <c r="X368" s="30">
        <v>15.868</v>
      </c>
      <c r="Y368" s="30">
        <v>27.082820000000002</v>
      </c>
      <c r="Z368" s="53">
        <v>27.082820000000002</v>
      </c>
      <c r="AA368" s="54">
        <f t="shared" si="45"/>
        <v>44.686653000000007</v>
      </c>
      <c r="AB368" s="23"/>
      <c r="AC368" s="4">
        <v>365</v>
      </c>
      <c r="AD368" s="32">
        <f t="shared" si="41"/>
        <v>131.7893</v>
      </c>
      <c r="AE368" s="32">
        <f t="shared" si="42"/>
        <v>144.17600000000002</v>
      </c>
      <c r="AF368" s="32">
        <f t="shared" si="43"/>
        <v>95.87</v>
      </c>
      <c r="AG368" s="32">
        <f t="shared" si="43"/>
        <v>237.29</v>
      </c>
      <c r="AH368" s="78"/>
      <c r="AI368" s="78"/>
      <c r="AJ368" s="55">
        <f t="shared" si="44"/>
        <v>609.12530000000004</v>
      </c>
      <c r="AK368" s="32"/>
      <c r="AL368" s="33"/>
      <c r="AM368" s="23"/>
    </row>
    <row r="369" spans="1:39" ht="15.6" x14ac:dyDescent="0.3">
      <c r="A369" s="64"/>
      <c r="B369" s="64"/>
      <c r="C369" s="5" t="s">
        <v>644</v>
      </c>
      <c r="D369" s="5" t="s">
        <v>120</v>
      </c>
      <c r="E369" s="7" t="s">
        <v>0</v>
      </c>
      <c r="F369" s="5"/>
      <c r="G369" s="23"/>
      <c r="H369" s="10">
        <v>894</v>
      </c>
      <c r="I369" s="10">
        <v>713</v>
      </c>
      <c r="J369" s="10">
        <v>624</v>
      </c>
      <c r="K369" s="10">
        <v>627</v>
      </c>
      <c r="L369" s="10">
        <v>517</v>
      </c>
      <c r="M369" s="10">
        <v>283</v>
      </c>
      <c r="N369" s="9" cm="1">
        <f t="array" ref="N369">SUM((H369:L369)/5)</f>
        <v>675</v>
      </c>
      <c r="O369" s="10">
        <v>675</v>
      </c>
      <c r="P369" s="23"/>
      <c r="Q369" s="30">
        <v>49.308</v>
      </c>
      <c r="R369" s="30">
        <v>72.016000000000005</v>
      </c>
      <c r="S369" s="30">
        <v>0.441</v>
      </c>
      <c r="T369" s="30">
        <v>0.441</v>
      </c>
      <c r="U369" s="30">
        <f t="shared" si="39"/>
        <v>270</v>
      </c>
      <c r="V369" s="30">
        <f t="shared" si="40"/>
        <v>405</v>
      </c>
      <c r="W369" s="23"/>
      <c r="X369" s="30">
        <v>15.868</v>
      </c>
      <c r="Y369" s="30">
        <v>27.08297</v>
      </c>
      <c r="Z369" s="53">
        <v>27.08297</v>
      </c>
      <c r="AA369" s="54">
        <f t="shared" si="45"/>
        <v>44.6869005</v>
      </c>
      <c r="AB369" s="23"/>
      <c r="AC369" s="4">
        <v>365</v>
      </c>
      <c r="AD369" s="32">
        <f t="shared" si="41"/>
        <v>131.7893</v>
      </c>
      <c r="AE369" s="32">
        <f t="shared" si="42"/>
        <v>144.17600000000002</v>
      </c>
      <c r="AF369" s="32">
        <f t="shared" si="43"/>
        <v>73.12</v>
      </c>
      <c r="AG369" s="32">
        <f t="shared" si="43"/>
        <v>180.98</v>
      </c>
      <c r="AH369" s="78"/>
      <c r="AI369" s="78"/>
      <c r="AJ369" s="55">
        <f t="shared" si="44"/>
        <v>530.06529999999998</v>
      </c>
      <c r="AK369" s="32"/>
      <c r="AL369" s="33"/>
      <c r="AM369" s="23"/>
    </row>
    <row r="370" spans="1:39" ht="15.6" x14ac:dyDescent="0.3">
      <c r="A370" s="64"/>
      <c r="B370" s="64"/>
      <c r="C370" s="5" t="s">
        <v>625</v>
      </c>
      <c r="D370" s="5" t="s">
        <v>120</v>
      </c>
      <c r="E370" s="7" t="s">
        <v>0</v>
      </c>
      <c r="F370" s="5"/>
      <c r="G370" s="23"/>
      <c r="H370" s="10">
        <v>1147</v>
      </c>
      <c r="I370" s="10">
        <v>809</v>
      </c>
      <c r="J370" s="10">
        <v>862</v>
      </c>
      <c r="K370" s="10">
        <v>926</v>
      </c>
      <c r="L370" s="10">
        <v>601</v>
      </c>
      <c r="M370" s="10">
        <v>417</v>
      </c>
      <c r="N370" s="9" cm="1">
        <f t="array" ref="N370">SUM((H370:L370)/5)</f>
        <v>869</v>
      </c>
      <c r="O370" s="10">
        <v>870</v>
      </c>
      <c r="P370" s="23"/>
      <c r="Q370" s="30">
        <v>49.308</v>
      </c>
      <c r="R370" s="30">
        <v>72.016000000000005</v>
      </c>
      <c r="S370" s="30">
        <v>0.441</v>
      </c>
      <c r="T370" s="30">
        <v>0.441</v>
      </c>
      <c r="U370" s="30">
        <f t="shared" ref="U370:U433" si="46">IF(E370="Gas",O370*R365,O370*$R$4)</f>
        <v>348</v>
      </c>
      <c r="V370" s="30">
        <f t="shared" ref="V370:V433" si="47">IF(E370="Gas",O370*T365,O370*$T$4)</f>
        <v>522</v>
      </c>
      <c r="W370" s="23"/>
      <c r="X370" s="30">
        <v>15.868</v>
      </c>
      <c r="Y370" s="30">
        <v>27.08268</v>
      </c>
      <c r="Z370" s="53">
        <v>27.08268</v>
      </c>
      <c r="AA370" s="54">
        <f t="shared" si="45"/>
        <v>44.686422</v>
      </c>
      <c r="AB370" s="23"/>
      <c r="AC370" s="4">
        <v>365</v>
      </c>
      <c r="AD370" s="32">
        <f t="shared" ref="AD370:AD433" si="48">ROUND(R370*183,2)/100</f>
        <v>131.7893</v>
      </c>
      <c r="AE370" s="32">
        <f t="shared" ref="AE370:AE433" si="49">ROUND((R370+R370*$AE$4)*(365-183),2)/100</f>
        <v>144.17600000000002</v>
      </c>
      <c r="AF370" s="32">
        <f t="shared" ref="AF370:AG433" si="50">ROUND((U370*Z370)/100,2)</f>
        <v>94.25</v>
      </c>
      <c r="AG370" s="32">
        <f t="shared" si="50"/>
        <v>233.26</v>
      </c>
      <c r="AH370" s="78"/>
      <c r="AI370" s="78"/>
      <c r="AJ370" s="55">
        <f t="shared" ref="AJ370:AJ433" si="51">SUM(AD370:AG370)</f>
        <v>603.47530000000006</v>
      </c>
      <c r="AK370" s="32"/>
      <c r="AL370" s="33"/>
      <c r="AM370" s="23"/>
    </row>
    <row r="371" spans="1:39" ht="15.6" x14ac:dyDescent="0.3">
      <c r="A371" s="64"/>
      <c r="B371" s="64"/>
      <c r="C371" s="5" t="s">
        <v>605</v>
      </c>
      <c r="D371" s="5" t="s">
        <v>120</v>
      </c>
      <c r="E371" s="7" t="s">
        <v>0</v>
      </c>
      <c r="F371" s="5"/>
      <c r="G371" s="23"/>
      <c r="H371" s="10">
        <v>1038</v>
      </c>
      <c r="I371" s="10">
        <v>830</v>
      </c>
      <c r="J371" s="10">
        <v>753</v>
      </c>
      <c r="K371" s="10">
        <v>697</v>
      </c>
      <c r="L371" s="10">
        <v>559</v>
      </c>
      <c r="M371" s="10">
        <v>293</v>
      </c>
      <c r="N371" s="9" cm="1">
        <f t="array" ref="N371">SUM((H371:L371)/5)</f>
        <v>775.4</v>
      </c>
      <c r="O371" s="10">
        <v>775</v>
      </c>
      <c r="P371" s="23"/>
      <c r="Q371" s="30">
        <v>49.308</v>
      </c>
      <c r="R371" s="30">
        <v>72.016000000000005</v>
      </c>
      <c r="S371" s="30">
        <v>0.441</v>
      </c>
      <c r="T371" s="30">
        <v>0.441</v>
      </c>
      <c r="U371" s="30">
        <f t="shared" si="46"/>
        <v>310</v>
      </c>
      <c r="V371" s="30">
        <f t="shared" si="47"/>
        <v>465</v>
      </c>
      <c r="W371" s="23"/>
      <c r="X371" s="30">
        <v>15.868</v>
      </c>
      <c r="Y371" s="30">
        <v>27.083089999999999</v>
      </c>
      <c r="Z371" s="53">
        <v>27.083089999999999</v>
      </c>
      <c r="AA371" s="54">
        <f t="shared" si="45"/>
        <v>44.687098499999998</v>
      </c>
      <c r="AB371" s="23"/>
      <c r="AC371" s="4">
        <v>365</v>
      </c>
      <c r="AD371" s="32">
        <f t="shared" si="48"/>
        <v>131.7893</v>
      </c>
      <c r="AE371" s="32">
        <f t="shared" si="49"/>
        <v>144.17600000000002</v>
      </c>
      <c r="AF371" s="32">
        <f t="shared" si="50"/>
        <v>83.96</v>
      </c>
      <c r="AG371" s="32">
        <f t="shared" si="50"/>
        <v>207.8</v>
      </c>
      <c r="AH371" s="78"/>
      <c r="AI371" s="78"/>
      <c r="AJ371" s="55">
        <f t="shared" si="51"/>
        <v>567.72530000000006</v>
      </c>
      <c r="AK371" s="32"/>
      <c r="AL371" s="33"/>
      <c r="AM371" s="23"/>
    </row>
    <row r="372" spans="1:39" ht="15.6" x14ac:dyDescent="0.3">
      <c r="A372" s="64"/>
      <c r="B372" s="64"/>
      <c r="C372" s="5" t="s">
        <v>644</v>
      </c>
      <c r="D372" s="5" t="s">
        <v>120</v>
      </c>
      <c r="E372" s="7" t="s">
        <v>0</v>
      </c>
      <c r="F372" s="5"/>
      <c r="G372" s="23"/>
      <c r="H372" s="10">
        <v>520</v>
      </c>
      <c r="I372" s="10">
        <v>1597</v>
      </c>
      <c r="J372" s="10">
        <v>251</v>
      </c>
      <c r="K372" s="10">
        <v>429</v>
      </c>
      <c r="L372" s="10">
        <v>316</v>
      </c>
      <c r="M372" s="10">
        <v>52</v>
      </c>
      <c r="N372" s="9" cm="1">
        <f t="array" ref="N372">SUM((H372:L372)/5)</f>
        <v>622.6</v>
      </c>
      <c r="O372" s="10">
        <v>620</v>
      </c>
      <c r="P372" s="23"/>
      <c r="Q372" s="30">
        <v>49.308</v>
      </c>
      <c r="R372" s="30">
        <v>72.016000000000005</v>
      </c>
      <c r="S372" s="30">
        <v>0.441</v>
      </c>
      <c r="T372" s="30">
        <v>0.441</v>
      </c>
      <c r="U372" s="30">
        <f t="shared" si="46"/>
        <v>248</v>
      </c>
      <c r="V372" s="30">
        <f t="shared" si="47"/>
        <v>372</v>
      </c>
      <c r="W372" s="23"/>
      <c r="X372" s="30">
        <v>15.868</v>
      </c>
      <c r="Y372" s="30">
        <v>27.0792</v>
      </c>
      <c r="Z372" s="53">
        <v>27.0792</v>
      </c>
      <c r="AA372" s="54">
        <f t="shared" si="45"/>
        <v>44.680680000000002</v>
      </c>
      <c r="AB372" s="23"/>
      <c r="AC372" s="4">
        <v>365</v>
      </c>
      <c r="AD372" s="32">
        <f t="shared" si="48"/>
        <v>131.7893</v>
      </c>
      <c r="AE372" s="32">
        <f t="shared" si="49"/>
        <v>144.17600000000002</v>
      </c>
      <c r="AF372" s="32">
        <f t="shared" si="50"/>
        <v>67.16</v>
      </c>
      <c r="AG372" s="32">
        <f t="shared" si="50"/>
        <v>166.21</v>
      </c>
      <c r="AH372" s="78"/>
      <c r="AI372" s="78"/>
      <c r="AJ372" s="55">
        <f t="shared" si="51"/>
        <v>509.33530000000007</v>
      </c>
      <c r="AK372" s="32"/>
      <c r="AL372" s="33"/>
      <c r="AM372" s="23"/>
    </row>
    <row r="373" spans="1:39" ht="15.6" x14ac:dyDescent="0.3">
      <c r="A373" s="64"/>
      <c r="B373" s="64"/>
      <c r="C373" s="5" t="s">
        <v>606</v>
      </c>
      <c r="D373" s="5" t="s">
        <v>120</v>
      </c>
      <c r="E373" s="7" t="s">
        <v>0</v>
      </c>
      <c r="F373" s="5"/>
      <c r="G373" s="23"/>
      <c r="H373" s="10">
        <v>1056</v>
      </c>
      <c r="I373" s="10">
        <v>1200</v>
      </c>
      <c r="J373" s="10">
        <v>1192</v>
      </c>
      <c r="K373" s="10">
        <v>1149</v>
      </c>
      <c r="L373" s="10">
        <v>883</v>
      </c>
      <c r="M373" s="10">
        <v>458</v>
      </c>
      <c r="N373" s="9" cm="1">
        <f t="array" ref="N373">SUM((H373:L373)/5)</f>
        <v>1096</v>
      </c>
      <c r="O373" s="10">
        <v>1090</v>
      </c>
      <c r="P373" s="23"/>
      <c r="Q373" s="30">
        <v>49.308</v>
      </c>
      <c r="R373" s="30">
        <v>72.016000000000005</v>
      </c>
      <c r="S373" s="30">
        <v>0.441</v>
      </c>
      <c r="T373" s="30">
        <v>0.441</v>
      </c>
      <c r="U373" s="30">
        <f t="shared" si="46"/>
        <v>436</v>
      </c>
      <c r="V373" s="30">
        <f t="shared" si="47"/>
        <v>654</v>
      </c>
      <c r="W373" s="23"/>
      <c r="X373" s="30">
        <v>15.868</v>
      </c>
      <c r="Y373" s="30">
        <v>27.08259</v>
      </c>
      <c r="Z373" s="53">
        <v>27.08259</v>
      </c>
      <c r="AA373" s="54">
        <f t="shared" si="45"/>
        <v>44.686273499999999</v>
      </c>
      <c r="AB373" s="23"/>
      <c r="AC373" s="4">
        <v>365</v>
      </c>
      <c r="AD373" s="32">
        <f t="shared" si="48"/>
        <v>131.7893</v>
      </c>
      <c r="AE373" s="32">
        <f t="shared" si="49"/>
        <v>144.17600000000002</v>
      </c>
      <c r="AF373" s="32">
        <f t="shared" si="50"/>
        <v>118.08</v>
      </c>
      <c r="AG373" s="32">
        <f t="shared" si="50"/>
        <v>292.25</v>
      </c>
      <c r="AH373" s="78"/>
      <c r="AI373" s="78"/>
      <c r="AJ373" s="55">
        <f t="shared" si="51"/>
        <v>686.2953</v>
      </c>
      <c r="AK373" s="32"/>
      <c r="AL373" s="33"/>
      <c r="AM373" s="23"/>
    </row>
    <row r="374" spans="1:39" ht="15.6" x14ac:dyDescent="0.3">
      <c r="A374" s="64"/>
      <c r="B374" s="64"/>
      <c r="C374" s="5" t="s">
        <v>703</v>
      </c>
      <c r="D374" s="5" t="s">
        <v>120</v>
      </c>
      <c r="E374" s="7" t="s">
        <v>0</v>
      </c>
      <c r="F374" s="5"/>
      <c r="G374" s="23"/>
      <c r="H374" s="10">
        <v>1014</v>
      </c>
      <c r="I374" s="10">
        <v>702</v>
      </c>
      <c r="J374" s="10">
        <v>895</v>
      </c>
      <c r="K374" s="10">
        <v>874</v>
      </c>
      <c r="L374" s="10">
        <v>2280</v>
      </c>
      <c r="M374" s="10">
        <v>1666</v>
      </c>
      <c r="N374" s="9" cm="1">
        <f t="array" ref="N374">SUM((H374:L374)/5)</f>
        <v>1153</v>
      </c>
      <c r="O374" s="10">
        <v>2000</v>
      </c>
      <c r="P374" s="23"/>
      <c r="Q374" s="30">
        <v>49.308</v>
      </c>
      <c r="R374" s="30">
        <v>72.016000000000005</v>
      </c>
      <c r="S374" s="30">
        <v>0.441</v>
      </c>
      <c r="T374" s="30">
        <v>0.441</v>
      </c>
      <c r="U374" s="30">
        <f t="shared" si="46"/>
        <v>800</v>
      </c>
      <c r="V374" s="30">
        <f t="shared" si="47"/>
        <v>1200</v>
      </c>
      <c r="W374" s="23"/>
      <c r="X374" s="30">
        <v>15.868</v>
      </c>
      <c r="Y374" s="30">
        <v>27.082640000000001</v>
      </c>
      <c r="Z374" s="53">
        <v>27.082640000000001</v>
      </c>
      <c r="AA374" s="54">
        <f t="shared" si="45"/>
        <v>44.686356000000004</v>
      </c>
      <c r="AB374" s="23"/>
      <c r="AC374" s="4">
        <v>365</v>
      </c>
      <c r="AD374" s="32">
        <f t="shared" si="48"/>
        <v>131.7893</v>
      </c>
      <c r="AE374" s="32">
        <f t="shared" si="49"/>
        <v>144.17600000000002</v>
      </c>
      <c r="AF374" s="32">
        <f t="shared" si="50"/>
        <v>216.66</v>
      </c>
      <c r="AG374" s="32">
        <f t="shared" si="50"/>
        <v>536.24</v>
      </c>
      <c r="AH374" s="78"/>
      <c r="AI374" s="78"/>
      <c r="AJ374" s="55">
        <f t="shared" si="51"/>
        <v>1028.8652999999999</v>
      </c>
      <c r="AK374" s="32"/>
      <c r="AL374" s="33"/>
      <c r="AM374" s="23"/>
    </row>
    <row r="375" spans="1:39" ht="15.6" x14ac:dyDescent="0.3">
      <c r="A375" s="64"/>
      <c r="B375" s="64"/>
      <c r="C375" s="5" t="s">
        <v>645</v>
      </c>
      <c r="D375" s="5" t="s">
        <v>120</v>
      </c>
      <c r="E375" s="7" t="s">
        <v>0</v>
      </c>
      <c r="F375" s="5"/>
      <c r="G375" s="23"/>
      <c r="H375" s="10">
        <v>1234</v>
      </c>
      <c r="I375" s="10">
        <v>1461</v>
      </c>
      <c r="J375" s="10">
        <v>1092</v>
      </c>
      <c r="K375" s="10">
        <v>1210</v>
      </c>
      <c r="L375" s="10">
        <v>1539</v>
      </c>
      <c r="M375" s="10">
        <v>798</v>
      </c>
      <c r="N375" s="9" cm="1">
        <f t="array" ref="N375">SUM((H375:L375)/5)</f>
        <v>1307.2</v>
      </c>
      <c r="O375" s="10">
        <v>1450</v>
      </c>
      <c r="P375" s="23"/>
      <c r="Q375" s="30">
        <v>49.308</v>
      </c>
      <c r="R375" s="30">
        <v>72.016000000000005</v>
      </c>
      <c r="S375" s="30">
        <v>0.441</v>
      </c>
      <c r="T375" s="30">
        <v>0.441</v>
      </c>
      <c r="U375" s="30">
        <f t="shared" si="46"/>
        <v>580</v>
      </c>
      <c r="V375" s="30">
        <f t="shared" si="47"/>
        <v>870</v>
      </c>
      <c r="W375" s="23"/>
      <c r="X375" s="30">
        <v>15.868</v>
      </c>
      <c r="Y375" s="30">
        <v>27.08296</v>
      </c>
      <c r="Z375" s="53">
        <v>27.08296</v>
      </c>
      <c r="AA375" s="54">
        <f t="shared" si="45"/>
        <v>44.686883999999999</v>
      </c>
      <c r="AB375" s="23"/>
      <c r="AC375" s="4">
        <v>365</v>
      </c>
      <c r="AD375" s="32">
        <f t="shared" si="48"/>
        <v>131.7893</v>
      </c>
      <c r="AE375" s="32">
        <f t="shared" si="49"/>
        <v>144.17600000000002</v>
      </c>
      <c r="AF375" s="32">
        <f t="shared" si="50"/>
        <v>157.08000000000001</v>
      </c>
      <c r="AG375" s="32">
        <f t="shared" si="50"/>
        <v>388.78</v>
      </c>
      <c r="AH375" s="78"/>
      <c r="AI375" s="78"/>
      <c r="AJ375" s="55">
        <f t="shared" si="51"/>
        <v>821.82529999999997</v>
      </c>
      <c r="AK375" s="32"/>
      <c r="AL375" s="33"/>
      <c r="AM375" s="23"/>
    </row>
    <row r="376" spans="1:39" ht="15.6" x14ac:dyDescent="0.3">
      <c r="A376" s="64"/>
      <c r="B376" s="64"/>
      <c r="C376" s="5" t="s">
        <v>645</v>
      </c>
      <c r="D376" s="5" t="s">
        <v>120</v>
      </c>
      <c r="E376" s="7" t="s">
        <v>0</v>
      </c>
      <c r="F376" s="5"/>
      <c r="G376" s="23"/>
      <c r="H376" s="10">
        <v>1822</v>
      </c>
      <c r="I376" s="10">
        <v>1866</v>
      </c>
      <c r="J376" s="10">
        <v>1370</v>
      </c>
      <c r="K376" s="10">
        <v>1395</v>
      </c>
      <c r="L376" s="10">
        <v>749</v>
      </c>
      <c r="M376" s="10">
        <v>768</v>
      </c>
      <c r="N376" s="9" cm="1">
        <f t="array" ref="N376">SUM((H376:L376)/5)</f>
        <v>1440.3999999999999</v>
      </c>
      <c r="O376" s="10">
        <v>1440</v>
      </c>
      <c r="P376" s="23"/>
      <c r="Q376" s="30">
        <v>49.828000000000003</v>
      </c>
      <c r="R376" s="30">
        <v>63.256999999999998</v>
      </c>
      <c r="S376" s="30">
        <v>0.441</v>
      </c>
      <c r="T376" s="30">
        <v>0.441</v>
      </c>
      <c r="U376" s="30">
        <f t="shared" si="46"/>
        <v>576</v>
      </c>
      <c r="V376" s="30">
        <f t="shared" si="47"/>
        <v>864</v>
      </c>
      <c r="W376" s="23"/>
      <c r="X376" s="30">
        <v>15.061999999999999</v>
      </c>
      <c r="Y376" s="30">
        <v>26.50658</v>
      </c>
      <c r="Z376" s="53">
        <v>26.50658</v>
      </c>
      <c r="AA376" s="54">
        <f t="shared" si="45"/>
        <v>43.735856999999996</v>
      </c>
      <c r="AB376" s="23"/>
      <c r="AC376" s="4">
        <v>365</v>
      </c>
      <c r="AD376" s="32">
        <f t="shared" si="48"/>
        <v>115.7603</v>
      </c>
      <c r="AE376" s="32">
        <f t="shared" si="49"/>
        <v>126.64049999999999</v>
      </c>
      <c r="AF376" s="32">
        <f t="shared" si="50"/>
        <v>152.68</v>
      </c>
      <c r="AG376" s="32">
        <f t="shared" si="50"/>
        <v>377.88</v>
      </c>
      <c r="AH376" s="78"/>
      <c r="AI376" s="78"/>
      <c r="AJ376" s="55">
        <f t="shared" si="51"/>
        <v>772.96080000000006</v>
      </c>
      <c r="AK376" s="32"/>
      <c r="AL376" s="33"/>
      <c r="AM376" s="23"/>
    </row>
    <row r="377" spans="1:39" ht="15.6" x14ac:dyDescent="0.3">
      <c r="A377" s="64"/>
      <c r="B377" s="64"/>
      <c r="C377" s="5" t="s">
        <v>658</v>
      </c>
      <c r="D377" s="5" t="s">
        <v>120</v>
      </c>
      <c r="E377" s="7" t="s">
        <v>0</v>
      </c>
      <c r="F377" s="5"/>
      <c r="G377" s="23"/>
      <c r="H377" s="10">
        <v>475</v>
      </c>
      <c r="I377" s="10">
        <v>441</v>
      </c>
      <c r="J377" s="10">
        <v>632</v>
      </c>
      <c r="K377" s="10">
        <v>766</v>
      </c>
      <c r="L377" s="10">
        <v>1296</v>
      </c>
      <c r="M377" s="10">
        <v>419</v>
      </c>
      <c r="N377" s="9" cm="1">
        <f t="array" ref="N377">SUM((H377:L377)/5)</f>
        <v>722</v>
      </c>
      <c r="O377" s="10">
        <v>900</v>
      </c>
      <c r="P377" s="23"/>
      <c r="Q377" s="30">
        <v>49.308</v>
      </c>
      <c r="R377" s="30">
        <v>72.016000000000005</v>
      </c>
      <c r="S377" s="30">
        <v>0.441</v>
      </c>
      <c r="T377" s="30">
        <v>0.441</v>
      </c>
      <c r="U377" s="30">
        <f t="shared" si="46"/>
        <v>360</v>
      </c>
      <c r="V377" s="30">
        <f t="shared" si="47"/>
        <v>540</v>
      </c>
      <c r="W377" s="23"/>
      <c r="X377" s="30">
        <v>15.868</v>
      </c>
      <c r="Y377" s="30">
        <v>27.082989999999999</v>
      </c>
      <c r="Z377" s="53">
        <v>27.082989999999999</v>
      </c>
      <c r="AA377" s="54">
        <f t="shared" si="45"/>
        <v>44.686933499999995</v>
      </c>
      <c r="AB377" s="23"/>
      <c r="AC377" s="4">
        <v>365</v>
      </c>
      <c r="AD377" s="32">
        <f t="shared" si="48"/>
        <v>131.7893</v>
      </c>
      <c r="AE377" s="32">
        <f t="shared" si="49"/>
        <v>144.17600000000002</v>
      </c>
      <c r="AF377" s="32">
        <f t="shared" si="50"/>
        <v>97.5</v>
      </c>
      <c r="AG377" s="32">
        <f t="shared" si="50"/>
        <v>241.31</v>
      </c>
      <c r="AH377" s="78"/>
      <c r="AI377" s="78"/>
      <c r="AJ377" s="55">
        <f t="shared" si="51"/>
        <v>614.77530000000002</v>
      </c>
      <c r="AK377" s="32"/>
      <c r="AL377" s="33"/>
      <c r="AM377" s="23"/>
    </row>
    <row r="378" spans="1:39" ht="15.6" x14ac:dyDescent="0.3">
      <c r="A378" s="64"/>
      <c r="B378" s="64"/>
      <c r="C378" s="5" t="s">
        <v>645</v>
      </c>
      <c r="D378" s="5" t="s">
        <v>120</v>
      </c>
      <c r="E378" s="7" t="s">
        <v>0</v>
      </c>
      <c r="F378" s="5"/>
      <c r="G378" s="23"/>
      <c r="H378" s="10">
        <v>1655</v>
      </c>
      <c r="I378" s="10">
        <v>1711</v>
      </c>
      <c r="J378" s="10">
        <v>1865</v>
      </c>
      <c r="K378" s="10">
        <v>1640</v>
      </c>
      <c r="L378" s="10">
        <v>1784</v>
      </c>
      <c r="M378" s="10">
        <v>92</v>
      </c>
      <c r="N378" s="9" cm="1">
        <f t="array" ref="N378">SUM((H378:L378)/5)</f>
        <v>1731</v>
      </c>
      <c r="O378" s="10">
        <v>1720</v>
      </c>
      <c r="P378" s="23"/>
      <c r="Q378" s="30">
        <v>49.308</v>
      </c>
      <c r="R378" s="30">
        <v>72.016000000000005</v>
      </c>
      <c r="S378" s="30">
        <v>0.441</v>
      </c>
      <c r="T378" s="30">
        <v>0.441</v>
      </c>
      <c r="U378" s="30">
        <f t="shared" si="46"/>
        <v>688</v>
      </c>
      <c r="V378" s="30">
        <f t="shared" si="47"/>
        <v>1032</v>
      </c>
      <c r="W378" s="23"/>
      <c r="X378" s="30">
        <v>15.868</v>
      </c>
      <c r="Y378" s="30">
        <v>27.08286</v>
      </c>
      <c r="Z378" s="53">
        <v>27.08286</v>
      </c>
      <c r="AA378" s="54">
        <f t="shared" si="45"/>
        <v>44.686718999999997</v>
      </c>
      <c r="AB378" s="23"/>
      <c r="AC378" s="4">
        <v>365</v>
      </c>
      <c r="AD378" s="32">
        <f t="shared" si="48"/>
        <v>131.7893</v>
      </c>
      <c r="AE378" s="32">
        <f t="shared" si="49"/>
        <v>144.17600000000002</v>
      </c>
      <c r="AF378" s="32">
        <f t="shared" si="50"/>
        <v>186.33</v>
      </c>
      <c r="AG378" s="32">
        <f t="shared" si="50"/>
        <v>461.17</v>
      </c>
      <c r="AH378" s="78"/>
      <c r="AI378" s="78"/>
      <c r="AJ378" s="55">
        <f t="shared" si="51"/>
        <v>923.46530000000007</v>
      </c>
      <c r="AK378" s="32"/>
      <c r="AL378" s="33"/>
      <c r="AM378" s="23"/>
    </row>
    <row r="379" spans="1:39" ht="15.6" x14ac:dyDescent="0.3">
      <c r="A379" s="64"/>
      <c r="B379" s="64"/>
      <c r="C379" s="5" t="s">
        <v>645</v>
      </c>
      <c r="D379" s="5" t="s">
        <v>120</v>
      </c>
      <c r="E379" s="7" t="s">
        <v>0</v>
      </c>
      <c r="F379" s="5"/>
      <c r="G379" s="23"/>
      <c r="H379" s="10">
        <v>2011</v>
      </c>
      <c r="I379" s="10">
        <v>1084</v>
      </c>
      <c r="J379" s="10">
        <v>1182</v>
      </c>
      <c r="K379" s="10">
        <v>1286</v>
      </c>
      <c r="L379" s="10">
        <v>2217</v>
      </c>
      <c r="M379" s="10">
        <v>753</v>
      </c>
      <c r="N379" s="9" cm="1">
        <f t="array" ref="N379">SUM((H379:L379)/5)</f>
        <v>1556</v>
      </c>
      <c r="O379" s="10">
        <v>1600</v>
      </c>
      <c r="P379" s="23"/>
      <c r="Q379" s="30">
        <v>49.308</v>
      </c>
      <c r="R379" s="30">
        <v>72.016000000000005</v>
      </c>
      <c r="S379" s="30">
        <v>0.441</v>
      </c>
      <c r="T379" s="30">
        <v>0.441</v>
      </c>
      <c r="U379" s="30">
        <f t="shared" si="46"/>
        <v>640</v>
      </c>
      <c r="V379" s="30">
        <f t="shared" si="47"/>
        <v>960</v>
      </c>
      <c r="W379" s="23"/>
      <c r="X379" s="30">
        <v>15.868</v>
      </c>
      <c r="Y379" s="30">
        <v>27.08295</v>
      </c>
      <c r="Z379" s="53">
        <v>27.08295</v>
      </c>
      <c r="AA379" s="54">
        <f t="shared" si="45"/>
        <v>44.686867500000005</v>
      </c>
      <c r="AB379" s="23"/>
      <c r="AC379" s="4">
        <v>365</v>
      </c>
      <c r="AD379" s="32">
        <f t="shared" si="48"/>
        <v>131.7893</v>
      </c>
      <c r="AE379" s="32">
        <f t="shared" si="49"/>
        <v>144.17600000000002</v>
      </c>
      <c r="AF379" s="32">
        <f t="shared" si="50"/>
        <v>173.33</v>
      </c>
      <c r="AG379" s="32">
        <f t="shared" si="50"/>
        <v>428.99</v>
      </c>
      <c r="AH379" s="78"/>
      <c r="AI379" s="78"/>
      <c r="AJ379" s="55">
        <f t="shared" si="51"/>
        <v>878.28530000000001</v>
      </c>
      <c r="AK379" s="32"/>
      <c r="AL379" s="33"/>
      <c r="AM379" s="23"/>
    </row>
    <row r="380" spans="1:39" ht="15.6" x14ac:dyDescent="0.3">
      <c r="A380" s="64"/>
      <c r="B380" s="64"/>
      <c r="C380" s="5" t="s">
        <v>626</v>
      </c>
      <c r="D380" s="5" t="s">
        <v>120</v>
      </c>
      <c r="E380" s="7" t="s">
        <v>0</v>
      </c>
      <c r="F380" s="5"/>
      <c r="G380" s="23"/>
      <c r="H380" s="10">
        <v>2044</v>
      </c>
      <c r="I380" s="10">
        <v>1294</v>
      </c>
      <c r="J380" s="10">
        <v>1330</v>
      </c>
      <c r="K380" s="10">
        <v>1197</v>
      </c>
      <c r="L380" s="10">
        <v>1337</v>
      </c>
      <c r="M380" s="10">
        <v>575</v>
      </c>
      <c r="N380" s="9" cm="1">
        <f t="array" ref="N380">SUM((H380:L380)/5)</f>
        <v>1440.4</v>
      </c>
      <c r="O380" s="10">
        <v>1440</v>
      </c>
      <c r="P380" s="23"/>
      <c r="Q380" s="30">
        <v>49.308</v>
      </c>
      <c r="R380" s="30">
        <v>72.016000000000005</v>
      </c>
      <c r="S380" s="30">
        <v>0.441</v>
      </c>
      <c r="T380" s="30">
        <v>0.441</v>
      </c>
      <c r="U380" s="30">
        <f t="shared" si="46"/>
        <v>576</v>
      </c>
      <c r="V380" s="30">
        <f t="shared" si="47"/>
        <v>864</v>
      </c>
      <c r="W380" s="23"/>
      <c r="X380" s="30">
        <v>15.868</v>
      </c>
      <c r="Y380" s="30">
        <v>27.08258</v>
      </c>
      <c r="Z380" s="53">
        <v>27.08258</v>
      </c>
      <c r="AA380" s="54">
        <f t="shared" si="45"/>
        <v>44.686256999999998</v>
      </c>
      <c r="AB380" s="23"/>
      <c r="AC380" s="4">
        <v>365</v>
      </c>
      <c r="AD380" s="32">
        <f t="shared" si="48"/>
        <v>131.7893</v>
      </c>
      <c r="AE380" s="32">
        <f t="shared" si="49"/>
        <v>144.17600000000002</v>
      </c>
      <c r="AF380" s="32">
        <f t="shared" si="50"/>
        <v>156</v>
      </c>
      <c r="AG380" s="32">
        <f t="shared" si="50"/>
        <v>386.09</v>
      </c>
      <c r="AH380" s="78"/>
      <c r="AI380" s="78"/>
      <c r="AJ380" s="55">
        <f t="shared" si="51"/>
        <v>818.05529999999999</v>
      </c>
      <c r="AK380" s="32"/>
      <c r="AL380" s="33"/>
      <c r="AM380" s="23"/>
    </row>
    <row r="381" spans="1:39" ht="15.6" x14ac:dyDescent="0.3">
      <c r="A381" s="64"/>
      <c r="B381" s="64"/>
      <c r="C381" s="5" t="s">
        <v>646</v>
      </c>
      <c r="D381" s="5" t="s">
        <v>120</v>
      </c>
      <c r="E381" s="7" t="s">
        <v>0</v>
      </c>
      <c r="F381" s="5"/>
      <c r="G381" s="23"/>
      <c r="H381" s="10">
        <v>409</v>
      </c>
      <c r="I381" s="10">
        <v>192</v>
      </c>
      <c r="J381" s="10">
        <v>301</v>
      </c>
      <c r="K381" s="10">
        <v>305</v>
      </c>
      <c r="L381" s="10">
        <v>359</v>
      </c>
      <c r="M381" s="10">
        <v>274</v>
      </c>
      <c r="N381" s="9" cm="1">
        <f t="array" ref="N381">SUM((H381:L381)/5)</f>
        <v>313.2</v>
      </c>
      <c r="O381" s="10">
        <v>320</v>
      </c>
      <c r="P381" s="23"/>
      <c r="Q381" s="30">
        <v>49.308</v>
      </c>
      <c r="R381" s="30">
        <v>72.016000000000005</v>
      </c>
      <c r="S381" s="30">
        <v>0.441</v>
      </c>
      <c r="T381" s="30">
        <v>0.441</v>
      </c>
      <c r="U381" s="30">
        <f t="shared" si="46"/>
        <v>128</v>
      </c>
      <c r="V381" s="30">
        <f t="shared" si="47"/>
        <v>192</v>
      </c>
      <c r="W381" s="23"/>
      <c r="X381" s="30">
        <v>15.868</v>
      </c>
      <c r="Y381" s="30">
        <v>27.082519999999999</v>
      </c>
      <c r="Z381" s="53">
        <v>27.082519999999999</v>
      </c>
      <c r="AA381" s="54">
        <f t="shared" si="45"/>
        <v>44.686157999999999</v>
      </c>
      <c r="AB381" s="23"/>
      <c r="AC381" s="4">
        <v>365</v>
      </c>
      <c r="AD381" s="32">
        <f t="shared" si="48"/>
        <v>131.7893</v>
      </c>
      <c r="AE381" s="32">
        <f t="shared" si="49"/>
        <v>144.17600000000002</v>
      </c>
      <c r="AF381" s="32">
        <f t="shared" si="50"/>
        <v>34.67</v>
      </c>
      <c r="AG381" s="32">
        <f t="shared" si="50"/>
        <v>85.8</v>
      </c>
      <c r="AH381" s="78"/>
      <c r="AI381" s="78"/>
      <c r="AJ381" s="55">
        <f t="shared" si="51"/>
        <v>396.43530000000004</v>
      </c>
      <c r="AK381" s="32"/>
      <c r="AL381" s="33"/>
      <c r="AM381" s="23"/>
    </row>
    <row r="382" spans="1:39" ht="30" x14ac:dyDescent="0.3">
      <c r="A382" s="64"/>
      <c r="B382" s="64"/>
      <c r="C382" s="5" t="s">
        <v>688</v>
      </c>
      <c r="D382" s="5" t="s">
        <v>120</v>
      </c>
      <c r="E382" s="7" t="s">
        <v>0</v>
      </c>
      <c r="F382" s="5"/>
      <c r="G382" s="23"/>
      <c r="H382" s="10">
        <v>1154</v>
      </c>
      <c r="I382" s="10">
        <v>1043</v>
      </c>
      <c r="J382" s="10">
        <v>1777</v>
      </c>
      <c r="K382" s="10">
        <v>1469</v>
      </c>
      <c r="L382" s="10">
        <v>1105</v>
      </c>
      <c r="M382" s="10">
        <v>8</v>
      </c>
      <c r="N382" s="9" cm="1">
        <f t="array" ref="N382">SUM((H382:L382)/5)</f>
        <v>1309.5999999999999</v>
      </c>
      <c r="O382" s="10">
        <v>1310</v>
      </c>
      <c r="P382" s="23"/>
      <c r="Q382" s="30">
        <v>49.325000000000003</v>
      </c>
      <c r="R382" s="30">
        <v>72.016000000000005</v>
      </c>
      <c r="S382" s="30">
        <v>0.441</v>
      </c>
      <c r="T382" s="30">
        <v>0.441</v>
      </c>
      <c r="U382" s="30">
        <f t="shared" si="46"/>
        <v>524</v>
      </c>
      <c r="V382" s="30">
        <f t="shared" si="47"/>
        <v>786</v>
      </c>
      <c r="W382" s="23"/>
      <c r="X382" s="30" t="s">
        <v>279</v>
      </c>
      <c r="Y382" s="30" t="s">
        <v>295</v>
      </c>
      <c r="Z382" s="53">
        <f>SUM(27.21418+25.09061)/2</f>
        <v>26.152394999999999</v>
      </c>
      <c r="AA382" s="54">
        <f t="shared" si="45"/>
        <v>43.15145175</v>
      </c>
      <c r="AB382" s="23"/>
      <c r="AC382" s="4">
        <v>365</v>
      </c>
      <c r="AD382" s="32">
        <f t="shared" si="48"/>
        <v>131.7893</v>
      </c>
      <c r="AE382" s="32">
        <f t="shared" si="49"/>
        <v>144.17600000000002</v>
      </c>
      <c r="AF382" s="32">
        <f t="shared" si="50"/>
        <v>137.04</v>
      </c>
      <c r="AG382" s="32">
        <f t="shared" si="50"/>
        <v>339.17</v>
      </c>
      <c r="AH382" s="78"/>
      <c r="AI382" s="78"/>
      <c r="AJ382" s="55">
        <f t="shared" si="51"/>
        <v>752.17530000000011</v>
      </c>
      <c r="AK382" s="32"/>
      <c r="AL382" s="33"/>
      <c r="AM382" s="23"/>
    </row>
    <row r="383" spans="1:39" ht="30" x14ac:dyDescent="0.3">
      <c r="A383" s="64"/>
      <c r="B383" s="64"/>
      <c r="C383" s="5" t="s">
        <v>616</v>
      </c>
      <c r="D383" s="5" t="s">
        <v>120</v>
      </c>
      <c r="E383" s="7" t="s">
        <v>0</v>
      </c>
      <c r="F383" s="5"/>
      <c r="G383" s="23"/>
      <c r="H383" s="10">
        <v>2109</v>
      </c>
      <c r="I383" s="10">
        <v>2979</v>
      </c>
      <c r="J383" s="10">
        <v>2812</v>
      </c>
      <c r="K383" s="10">
        <v>2537</v>
      </c>
      <c r="L383" s="10">
        <v>2058</v>
      </c>
      <c r="M383" s="10">
        <v>1678</v>
      </c>
      <c r="N383" s="9" cm="1">
        <f t="array" ref="N383">SUM((H383:L383)/5)</f>
        <v>2499</v>
      </c>
      <c r="O383" s="10">
        <v>2450</v>
      </c>
      <c r="P383" s="23"/>
      <c r="Q383" s="30">
        <v>49.325000000000003</v>
      </c>
      <c r="R383" s="30">
        <v>72.016000000000005</v>
      </c>
      <c r="S383" s="30">
        <v>0.441</v>
      </c>
      <c r="T383" s="30">
        <v>0.441</v>
      </c>
      <c r="U383" s="30">
        <f t="shared" si="46"/>
        <v>980</v>
      </c>
      <c r="V383" s="30">
        <f t="shared" si="47"/>
        <v>1470</v>
      </c>
      <c r="W383" s="23"/>
      <c r="X383" s="30" t="s">
        <v>279</v>
      </c>
      <c r="Y383" s="30" t="s">
        <v>296</v>
      </c>
      <c r="Z383" s="53">
        <f>SUM(27.21337+25.08997)/2</f>
        <v>26.151670000000003</v>
      </c>
      <c r="AA383" s="54">
        <f t="shared" si="45"/>
        <v>43.1502555</v>
      </c>
      <c r="AB383" s="23"/>
      <c r="AC383" s="4">
        <v>365</v>
      </c>
      <c r="AD383" s="32">
        <f t="shared" si="48"/>
        <v>131.7893</v>
      </c>
      <c r="AE383" s="32">
        <f t="shared" si="49"/>
        <v>144.17600000000002</v>
      </c>
      <c r="AF383" s="32">
        <f t="shared" si="50"/>
        <v>256.29000000000002</v>
      </c>
      <c r="AG383" s="32">
        <f t="shared" si="50"/>
        <v>634.30999999999995</v>
      </c>
      <c r="AH383" s="78"/>
      <c r="AI383" s="78"/>
      <c r="AJ383" s="55">
        <f t="shared" si="51"/>
        <v>1166.5653</v>
      </c>
      <c r="AK383" s="32"/>
      <c r="AL383" s="33"/>
      <c r="AM383" s="23"/>
    </row>
    <row r="384" spans="1:39" ht="30" x14ac:dyDescent="0.3">
      <c r="A384" s="64"/>
      <c r="B384" s="64"/>
      <c r="C384" s="5" t="s">
        <v>659</v>
      </c>
      <c r="D384" s="5" t="s">
        <v>120</v>
      </c>
      <c r="E384" s="7" t="s">
        <v>0</v>
      </c>
      <c r="F384" s="5"/>
      <c r="G384" s="23"/>
      <c r="H384" s="10">
        <v>567</v>
      </c>
      <c r="I384" s="10">
        <v>567</v>
      </c>
      <c r="J384" s="10">
        <v>567</v>
      </c>
      <c r="K384" s="10">
        <v>518</v>
      </c>
      <c r="L384" s="10">
        <v>612</v>
      </c>
      <c r="M384" s="10">
        <v>216</v>
      </c>
      <c r="N384" s="9" cm="1">
        <f t="array" ref="N384">SUM((H384:L384)/5)</f>
        <v>566.20000000000005</v>
      </c>
      <c r="O384" s="10">
        <v>570</v>
      </c>
      <c r="P384" s="23"/>
      <c r="Q384" s="30">
        <v>49.325000000000003</v>
      </c>
      <c r="R384" s="30">
        <v>72.016000000000005</v>
      </c>
      <c r="S384" s="30">
        <v>0.441</v>
      </c>
      <c r="T384" s="30">
        <v>0.441</v>
      </c>
      <c r="U384" s="30">
        <f t="shared" si="46"/>
        <v>228</v>
      </c>
      <c r="V384" s="30">
        <f t="shared" si="47"/>
        <v>342</v>
      </c>
      <c r="W384" s="23"/>
      <c r="X384" s="30" t="s">
        <v>279</v>
      </c>
      <c r="Y384" s="30" t="s">
        <v>297</v>
      </c>
      <c r="Z384" s="53">
        <f>SUM(27.0952+24.97365)/2</f>
        <v>26.034424999999999</v>
      </c>
      <c r="AA384" s="54">
        <f t="shared" si="45"/>
        <v>42.956801249999998</v>
      </c>
      <c r="AB384" s="23"/>
      <c r="AC384" s="4">
        <v>365</v>
      </c>
      <c r="AD384" s="32">
        <f t="shared" si="48"/>
        <v>131.7893</v>
      </c>
      <c r="AE384" s="32">
        <f t="shared" si="49"/>
        <v>144.17600000000002</v>
      </c>
      <c r="AF384" s="32">
        <f t="shared" si="50"/>
        <v>59.36</v>
      </c>
      <c r="AG384" s="32">
        <f t="shared" si="50"/>
        <v>146.91</v>
      </c>
      <c r="AH384" s="78"/>
      <c r="AI384" s="78"/>
      <c r="AJ384" s="55">
        <f t="shared" si="51"/>
        <v>482.23530000000005</v>
      </c>
      <c r="AK384" s="32"/>
      <c r="AL384" s="33"/>
      <c r="AM384" s="23"/>
    </row>
    <row r="385" spans="1:39" ht="30" x14ac:dyDescent="0.3">
      <c r="A385" s="64"/>
      <c r="B385" s="64"/>
      <c r="C385" s="5" t="s">
        <v>616</v>
      </c>
      <c r="D385" s="5" t="s">
        <v>120</v>
      </c>
      <c r="E385" s="7" t="s">
        <v>0</v>
      </c>
      <c r="F385" s="5"/>
      <c r="G385" s="23"/>
      <c r="H385" s="10">
        <v>940</v>
      </c>
      <c r="I385" s="10">
        <v>1209</v>
      </c>
      <c r="J385" s="10">
        <v>1289</v>
      </c>
      <c r="K385" s="10">
        <v>2232</v>
      </c>
      <c r="L385" s="10">
        <v>1957</v>
      </c>
      <c r="M385" s="10">
        <v>1366</v>
      </c>
      <c r="N385" s="9" cm="1">
        <f t="array" ref="N385">SUM((H385:L385)/5)</f>
        <v>1525.4</v>
      </c>
      <c r="O385" s="10">
        <v>1600</v>
      </c>
      <c r="P385" s="23"/>
      <c r="Q385" s="30">
        <v>49.325000000000003</v>
      </c>
      <c r="R385" s="30">
        <v>72.016000000000005</v>
      </c>
      <c r="S385" s="30">
        <v>0.441</v>
      </c>
      <c r="T385" s="30">
        <v>0.441</v>
      </c>
      <c r="U385" s="30">
        <f t="shared" si="46"/>
        <v>640</v>
      </c>
      <c r="V385" s="30">
        <f t="shared" si="47"/>
        <v>960</v>
      </c>
      <c r="W385" s="23"/>
      <c r="X385" s="30" t="s">
        <v>279</v>
      </c>
      <c r="Y385" s="30" t="s">
        <v>298</v>
      </c>
      <c r="Z385" s="53">
        <f>SUM(27.21269+25.08925)/2</f>
        <v>26.150970000000001</v>
      </c>
      <c r="AA385" s="54">
        <f t="shared" si="45"/>
        <v>43.149100500000003</v>
      </c>
      <c r="AB385" s="23"/>
      <c r="AC385" s="4">
        <v>365</v>
      </c>
      <c r="AD385" s="32">
        <f t="shared" si="48"/>
        <v>131.7893</v>
      </c>
      <c r="AE385" s="32">
        <f t="shared" si="49"/>
        <v>144.17600000000002</v>
      </c>
      <c r="AF385" s="32">
        <f t="shared" si="50"/>
        <v>167.37</v>
      </c>
      <c r="AG385" s="32">
        <f t="shared" si="50"/>
        <v>414.23</v>
      </c>
      <c r="AH385" s="78"/>
      <c r="AI385" s="78"/>
      <c r="AJ385" s="55">
        <f t="shared" si="51"/>
        <v>857.56529999999998</v>
      </c>
      <c r="AK385" s="32"/>
      <c r="AL385" s="33"/>
      <c r="AM385" s="23"/>
    </row>
    <row r="386" spans="1:39" ht="15.6" x14ac:dyDescent="0.3">
      <c r="A386" s="64"/>
      <c r="B386" s="64"/>
      <c r="C386" s="5" t="s">
        <v>647</v>
      </c>
      <c r="D386" s="5" t="s">
        <v>120</v>
      </c>
      <c r="E386" s="7" t="s">
        <v>0</v>
      </c>
      <c r="F386" s="5"/>
      <c r="G386" s="23"/>
      <c r="H386" s="10">
        <v>750</v>
      </c>
      <c r="I386" s="10">
        <v>845</v>
      </c>
      <c r="J386" s="10">
        <v>787</v>
      </c>
      <c r="K386" s="10">
        <v>746</v>
      </c>
      <c r="L386" s="10">
        <v>605</v>
      </c>
      <c r="M386" s="10">
        <v>331</v>
      </c>
      <c r="N386" s="9" cm="1">
        <f t="array" ref="N386">SUM((H386:L386)/5)</f>
        <v>746.59999999999991</v>
      </c>
      <c r="O386" s="10">
        <v>740</v>
      </c>
      <c r="P386" s="23"/>
      <c r="Q386" s="30">
        <v>49.308</v>
      </c>
      <c r="R386" s="30">
        <v>72.016000000000005</v>
      </c>
      <c r="S386" s="30">
        <v>0.441</v>
      </c>
      <c r="T386" s="30">
        <v>0.441</v>
      </c>
      <c r="U386" s="30">
        <f t="shared" si="46"/>
        <v>296</v>
      </c>
      <c r="V386" s="30">
        <f t="shared" si="47"/>
        <v>444</v>
      </c>
      <c r="W386" s="23"/>
      <c r="X386" s="30">
        <v>15.868</v>
      </c>
      <c r="Y386" s="30">
        <v>27.082979999999999</v>
      </c>
      <c r="Z386" s="53">
        <v>27.082979999999999</v>
      </c>
      <c r="AA386" s="54">
        <f t="shared" si="45"/>
        <v>44.686916999999994</v>
      </c>
      <c r="AB386" s="23"/>
      <c r="AC386" s="4">
        <v>365</v>
      </c>
      <c r="AD386" s="32">
        <f t="shared" si="48"/>
        <v>131.7893</v>
      </c>
      <c r="AE386" s="32">
        <f t="shared" si="49"/>
        <v>144.17600000000002</v>
      </c>
      <c r="AF386" s="32">
        <f t="shared" si="50"/>
        <v>80.17</v>
      </c>
      <c r="AG386" s="32">
        <f t="shared" si="50"/>
        <v>198.41</v>
      </c>
      <c r="AH386" s="78"/>
      <c r="AI386" s="78"/>
      <c r="AJ386" s="55">
        <f t="shared" si="51"/>
        <v>554.5453</v>
      </c>
      <c r="AK386" s="32"/>
      <c r="AL386" s="33"/>
      <c r="AM386" s="23"/>
    </row>
    <row r="387" spans="1:39" ht="15.6" x14ac:dyDescent="0.3">
      <c r="A387" s="64"/>
      <c r="B387" s="64"/>
      <c r="C387" s="5" t="s">
        <v>681</v>
      </c>
      <c r="D387" s="5" t="s">
        <v>120</v>
      </c>
      <c r="E387" s="7" t="s">
        <v>0</v>
      </c>
      <c r="F387" s="5"/>
      <c r="G387" s="23"/>
      <c r="H387" s="10">
        <v>717</v>
      </c>
      <c r="I387" s="10">
        <v>702</v>
      </c>
      <c r="J387" s="10">
        <v>684</v>
      </c>
      <c r="K387" s="10">
        <v>645</v>
      </c>
      <c r="L387" s="10">
        <v>746</v>
      </c>
      <c r="M387" s="10">
        <v>312</v>
      </c>
      <c r="N387" s="9" cm="1">
        <f t="array" ref="N387">SUM((H387:L387)/5)</f>
        <v>698.8</v>
      </c>
      <c r="O387" s="10">
        <v>700</v>
      </c>
      <c r="P387" s="23"/>
      <c r="Q387" s="30">
        <v>49.308</v>
      </c>
      <c r="R387" s="30">
        <v>72.016000000000005</v>
      </c>
      <c r="S387" s="30">
        <v>0.441</v>
      </c>
      <c r="T387" s="30">
        <v>0.441</v>
      </c>
      <c r="U387" s="30">
        <f t="shared" si="46"/>
        <v>280</v>
      </c>
      <c r="V387" s="30">
        <f t="shared" si="47"/>
        <v>420</v>
      </c>
      <c r="W387" s="23"/>
      <c r="X387" s="30">
        <v>15.868</v>
      </c>
      <c r="Y387" s="30">
        <v>27.082139999999999</v>
      </c>
      <c r="Z387" s="53">
        <v>27.082139999999999</v>
      </c>
      <c r="AA387" s="54">
        <f t="shared" si="45"/>
        <v>44.685530999999997</v>
      </c>
      <c r="AB387" s="23"/>
      <c r="AC387" s="4">
        <v>365</v>
      </c>
      <c r="AD387" s="32">
        <f t="shared" si="48"/>
        <v>131.7893</v>
      </c>
      <c r="AE387" s="32">
        <f t="shared" si="49"/>
        <v>144.17600000000002</v>
      </c>
      <c r="AF387" s="32">
        <f t="shared" si="50"/>
        <v>75.83</v>
      </c>
      <c r="AG387" s="32">
        <f t="shared" si="50"/>
        <v>187.68</v>
      </c>
      <c r="AH387" s="78"/>
      <c r="AI387" s="78"/>
      <c r="AJ387" s="55">
        <f t="shared" si="51"/>
        <v>539.47530000000006</v>
      </c>
      <c r="AK387" s="32"/>
      <c r="AL387" s="33"/>
      <c r="AM387" s="23"/>
    </row>
    <row r="388" spans="1:39" ht="15.6" x14ac:dyDescent="0.3">
      <c r="A388" s="64"/>
      <c r="B388" s="64"/>
      <c r="C388" s="5" t="s">
        <v>627</v>
      </c>
      <c r="D388" s="5" t="s">
        <v>120</v>
      </c>
      <c r="E388" s="7" t="s">
        <v>0</v>
      </c>
      <c r="F388" s="5"/>
      <c r="G388" s="23"/>
      <c r="H388" s="10">
        <v>1637</v>
      </c>
      <c r="I388" s="10">
        <v>836</v>
      </c>
      <c r="J388" s="10">
        <v>1211</v>
      </c>
      <c r="K388" s="10">
        <v>1417</v>
      </c>
      <c r="L388" s="10">
        <v>2251</v>
      </c>
      <c r="M388" s="10">
        <v>479</v>
      </c>
      <c r="N388" s="9" cm="1">
        <f t="array" ref="N388">SUM((H388:L388)/5)</f>
        <v>1470.3999999999999</v>
      </c>
      <c r="O388" s="10">
        <v>1750</v>
      </c>
      <c r="P388" s="23"/>
      <c r="Q388" s="30">
        <v>49.308</v>
      </c>
      <c r="R388" s="30">
        <v>72.016000000000005</v>
      </c>
      <c r="S388" s="30">
        <v>0.441</v>
      </c>
      <c r="T388" s="30">
        <v>0.441</v>
      </c>
      <c r="U388" s="30">
        <f t="shared" si="46"/>
        <v>700</v>
      </c>
      <c r="V388" s="30">
        <f t="shared" si="47"/>
        <v>1050</v>
      </c>
      <c r="W388" s="23"/>
      <c r="X388" s="30">
        <v>15.868</v>
      </c>
      <c r="Y388" s="30">
        <v>27.082740000000001</v>
      </c>
      <c r="Z388" s="53">
        <v>27.082740000000001</v>
      </c>
      <c r="AA388" s="54">
        <f t="shared" ref="AA388:AA451" si="52">SUM(Z388+Z388*$AA$4)</f>
        <v>44.686520999999999</v>
      </c>
      <c r="AB388" s="23"/>
      <c r="AC388" s="4">
        <v>365</v>
      </c>
      <c r="AD388" s="32">
        <f t="shared" si="48"/>
        <v>131.7893</v>
      </c>
      <c r="AE388" s="32">
        <f t="shared" si="49"/>
        <v>144.17600000000002</v>
      </c>
      <c r="AF388" s="32">
        <f t="shared" si="50"/>
        <v>189.58</v>
      </c>
      <c r="AG388" s="32">
        <f t="shared" si="50"/>
        <v>469.21</v>
      </c>
      <c r="AH388" s="78"/>
      <c r="AI388" s="78"/>
      <c r="AJ388" s="55">
        <f t="shared" si="51"/>
        <v>934.75530000000003</v>
      </c>
      <c r="AK388" s="32"/>
      <c r="AL388" s="33"/>
      <c r="AM388" s="23"/>
    </row>
    <row r="389" spans="1:39" ht="15.6" x14ac:dyDescent="0.3">
      <c r="A389" s="64"/>
      <c r="B389" s="64"/>
      <c r="C389" s="5" t="s">
        <v>627</v>
      </c>
      <c r="D389" s="5" t="s">
        <v>120</v>
      </c>
      <c r="E389" s="7" t="s">
        <v>0</v>
      </c>
      <c r="F389" s="5"/>
      <c r="G389" s="23"/>
      <c r="H389" s="10">
        <v>0</v>
      </c>
      <c r="I389" s="10">
        <v>0</v>
      </c>
      <c r="J389" s="10">
        <v>0</v>
      </c>
      <c r="K389" s="10">
        <v>0</v>
      </c>
      <c r="L389" s="10">
        <v>0</v>
      </c>
      <c r="M389" s="10">
        <v>0</v>
      </c>
      <c r="N389" s="9" cm="1">
        <f t="array" ref="N389">SUM((H389:L389)/5)</f>
        <v>0</v>
      </c>
      <c r="O389" s="10">
        <v>0</v>
      </c>
      <c r="P389" s="23"/>
      <c r="Q389" s="30">
        <v>49.308</v>
      </c>
      <c r="R389" s="30">
        <v>72.016000000000005</v>
      </c>
      <c r="S389" s="30">
        <v>0.441</v>
      </c>
      <c r="T389" s="30">
        <v>0.441</v>
      </c>
      <c r="U389" s="30">
        <f t="shared" si="46"/>
        <v>0</v>
      </c>
      <c r="V389" s="30">
        <f t="shared" si="47"/>
        <v>0</v>
      </c>
      <c r="W389" s="23"/>
      <c r="X389" s="30">
        <v>14.641999999999999</v>
      </c>
      <c r="Y389" s="30">
        <v>24.701049999999999</v>
      </c>
      <c r="Z389" s="53">
        <v>24.701049999999999</v>
      </c>
      <c r="AA389" s="54">
        <f t="shared" si="52"/>
        <v>40.756732499999998</v>
      </c>
      <c r="AB389" s="23"/>
      <c r="AC389" s="4">
        <v>365</v>
      </c>
      <c r="AD389" s="32">
        <f t="shared" si="48"/>
        <v>131.7893</v>
      </c>
      <c r="AE389" s="32">
        <f t="shared" si="49"/>
        <v>144.17600000000002</v>
      </c>
      <c r="AF389" s="32">
        <f t="shared" si="50"/>
        <v>0</v>
      </c>
      <c r="AG389" s="32">
        <f t="shared" si="50"/>
        <v>0</v>
      </c>
      <c r="AH389" s="78"/>
      <c r="AI389" s="78"/>
      <c r="AJ389" s="55">
        <f t="shared" si="51"/>
        <v>275.96530000000001</v>
      </c>
      <c r="AK389" s="32"/>
      <c r="AL389" s="33"/>
      <c r="AM389" s="23"/>
    </row>
    <row r="390" spans="1:39" ht="15.6" x14ac:dyDescent="0.3">
      <c r="A390" s="64"/>
      <c r="B390" s="64"/>
      <c r="C390" s="5" t="s">
        <v>627</v>
      </c>
      <c r="D390" s="5" t="s">
        <v>120</v>
      </c>
      <c r="E390" s="7" t="s">
        <v>0</v>
      </c>
      <c r="F390" s="5"/>
      <c r="G390" s="23"/>
      <c r="H390" s="10">
        <v>1924</v>
      </c>
      <c r="I390" s="10">
        <v>1218</v>
      </c>
      <c r="J390" s="10">
        <v>1449</v>
      </c>
      <c r="K390" s="10">
        <v>1347</v>
      </c>
      <c r="L390" s="10">
        <v>2027</v>
      </c>
      <c r="M390" s="10">
        <v>5</v>
      </c>
      <c r="N390" s="9" cm="1">
        <f t="array" ref="N390">SUM((H390:L390)/5)</f>
        <v>1593</v>
      </c>
      <c r="O390" s="10">
        <v>1590</v>
      </c>
      <c r="P390" s="23"/>
      <c r="Q390" s="30">
        <v>49.308</v>
      </c>
      <c r="R390" s="30">
        <v>72.016000000000005</v>
      </c>
      <c r="S390" s="30">
        <v>0.441</v>
      </c>
      <c r="T390" s="30">
        <v>0.441</v>
      </c>
      <c r="U390" s="30">
        <f t="shared" si="46"/>
        <v>636</v>
      </c>
      <c r="V390" s="30">
        <f t="shared" si="47"/>
        <v>954</v>
      </c>
      <c r="W390" s="23"/>
      <c r="X390" s="30">
        <v>15.868</v>
      </c>
      <c r="Y390" s="30">
        <v>27.082619999999999</v>
      </c>
      <c r="Z390" s="53">
        <v>27.082619999999999</v>
      </c>
      <c r="AA390" s="54">
        <f t="shared" si="52"/>
        <v>44.686323000000002</v>
      </c>
      <c r="AB390" s="23"/>
      <c r="AC390" s="4">
        <v>365</v>
      </c>
      <c r="AD390" s="32">
        <f t="shared" si="48"/>
        <v>131.7893</v>
      </c>
      <c r="AE390" s="32">
        <f t="shared" si="49"/>
        <v>144.17600000000002</v>
      </c>
      <c r="AF390" s="32">
        <f t="shared" si="50"/>
        <v>172.25</v>
      </c>
      <c r="AG390" s="32">
        <f t="shared" si="50"/>
        <v>426.31</v>
      </c>
      <c r="AH390" s="78"/>
      <c r="AI390" s="78"/>
      <c r="AJ390" s="55">
        <f t="shared" si="51"/>
        <v>874.52530000000002</v>
      </c>
      <c r="AK390" s="32"/>
      <c r="AL390" s="33"/>
      <c r="AM390" s="23"/>
    </row>
    <row r="391" spans="1:39" ht="15.6" x14ac:dyDescent="0.3">
      <c r="A391" s="64"/>
      <c r="B391" s="64"/>
      <c r="C391" s="5" t="s">
        <v>627</v>
      </c>
      <c r="D391" s="5" t="s">
        <v>120</v>
      </c>
      <c r="E391" s="7" t="s">
        <v>0</v>
      </c>
      <c r="F391" s="5"/>
      <c r="G391" s="23"/>
      <c r="H391" s="10">
        <v>1551</v>
      </c>
      <c r="I391" s="10">
        <v>1151</v>
      </c>
      <c r="J391" s="10">
        <v>948</v>
      </c>
      <c r="K391" s="10">
        <v>894</v>
      </c>
      <c r="L391" s="10">
        <v>475</v>
      </c>
      <c r="M391" s="10">
        <v>4</v>
      </c>
      <c r="N391" s="9" cm="1">
        <f t="array" ref="N391">SUM((H391:L391)/5)</f>
        <v>1003.8</v>
      </c>
      <c r="O391" s="10">
        <v>1000</v>
      </c>
      <c r="P391" s="23"/>
      <c r="Q391" s="30">
        <v>49.308</v>
      </c>
      <c r="R391" s="30">
        <v>72.016000000000005</v>
      </c>
      <c r="S391" s="30">
        <v>0.441</v>
      </c>
      <c r="T391" s="30">
        <v>0.441</v>
      </c>
      <c r="U391" s="30">
        <f t="shared" si="46"/>
        <v>400</v>
      </c>
      <c r="V391" s="30">
        <f t="shared" si="47"/>
        <v>600</v>
      </c>
      <c r="W391" s="23"/>
      <c r="X391" s="30">
        <v>15.868</v>
      </c>
      <c r="Y391" s="30">
        <v>27.08314</v>
      </c>
      <c r="Z391" s="53">
        <v>27.08314</v>
      </c>
      <c r="AA391" s="54">
        <f t="shared" si="52"/>
        <v>44.687181000000002</v>
      </c>
      <c r="AB391" s="23"/>
      <c r="AC391" s="4">
        <v>365</v>
      </c>
      <c r="AD391" s="32">
        <f t="shared" si="48"/>
        <v>131.7893</v>
      </c>
      <c r="AE391" s="32">
        <f t="shared" si="49"/>
        <v>144.17600000000002</v>
      </c>
      <c r="AF391" s="32">
        <f t="shared" si="50"/>
        <v>108.33</v>
      </c>
      <c r="AG391" s="32">
        <f t="shared" si="50"/>
        <v>268.12</v>
      </c>
      <c r="AH391" s="78"/>
      <c r="AI391" s="78"/>
      <c r="AJ391" s="55">
        <f t="shared" si="51"/>
        <v>652.4153</v>
      </c>
      <c r="AK391" s="32"/>
      <c r="AL391" s="33"/>
      <c r="AM391" s="23"/>
    </row>
    <row r="392" spans="1:39" ht="15.6" x14ac:dyDescent="0.3">
      <c r="A392" s="64"/>
      <c r="B392" s="64"/>
      <c r="C392" s="5" t="s">
        <v>689</v>
      </c>
      <c r="D392" s="5" t="s">
        <v>120</v>
      </c>
      <c r="E392" s="7" t="s">
        <v>0</v>
      </c>
      <c r="F392" s="5"/>
      <c r="G392" s="23"/>
      <c r="H392" s="10">
        <v>0</v>
      </c>
      <c r="I392" s="10">
        <v>0</v>
      </c>
      <c r="J392" s="10">
        <v>0</v>
      </c>
      <c r="K392" s="10">
        <v>0</v>
      </c>
      <c r="L392" s="10">
        <v>0</v>
      </c>
      <c r="M392" s="10">
        <v>0</v>
      </c>
      <c r="N392" s="9" cm="1">
        <f t="array" ref="N392">SUM((H392:L392)/5)</f>
        <v>0</v>
      </c>
      <c r="O392" s="10">
        <v>0</v>
      </c>
      <c r="P392" s="23"/>
      <c r="Q392" s="30">
        <v>49.308</v>
      </c>
      <c r="R392" s="30">
        <v>72.016000000000005</v>
      </c>
      <c r="S392" s="30">
        <v>0.441</v>
      </c>
      <c r="T392" s="30">
        <v>0.441</v>
      </c>
      <c r="U392" s="30">
        <f t="shared" si="46"/>
        <v>0</v>
      </c>
      <c r="V392" s="30">
        <f t="shared" si="47"/>
        <v>0</v>
      </c>
      <c r="W392" s="23"/>
      <c r="X392" s="30">
        <v>14.641999999999999</v>
      </c>
      <c r="Y392" s="30">
        <v>24.701049999999999</v>
      </c>
      <c r="Z392" s="53">
        <v>24.701049999999999</v>
      </c>
      <c r="AA392" s="54">
        <f t="shared" si="52"/>
        <v>40.756732499999998</v>
      </c>
      <c r="AB392" s="23"/>
      <c r="AC392" s="4">
        <v>365</v>
      </c>
      <c r="AD392" s="32">
        <f t="shared" si="48"/>
        <v>131.7893</v>
      </c>
      <c r="AE392" s="32">
        <f t="shared" si="49"/>
        <v>144.17600000000002</v>
      </c>
      <c r="AF392" s="32">
        <f t="shared" si="50"/>
        <v>0</v>
      </c>
      <c r="AG392" s="32">
        <f t="shared" si="50"/>
        <v>0</v>
      </c>
      <c r="AH392" s="78"/>
      <c r="AI392" s="78"/>
      <c r="AJ392" s="55">
        <f t="shared" si="51"/>
        <v>275.96530000000001</v>
      </c>
      <c r="AK392" s="32"/>
      <c r="AL392" s="33"/>
      <c r="AM392" s="23"/>
    </row>
    <row r="393" spans="1:39" ht="15.6" x14ac:dyDescent="0.3">
      <c r="A393" s="64"/>
      <c r="B393" s="64"/>
      <c r="C393" s="5" t="s">
        <v>689</v>
      </c>
      <c r="D393" s="5" t="s">
        <v>120</v>
      </c>
      <c r="E393" s="7" t="s">
        <v>0</v>
      </c>
      <c r="F393" s="5"/>
      <c r="G393" s="23"/>
      <c r="H393" s="10">
        <v>298</v>
      </c>
      <c r="I393" s="10">
        <v>253</v>
      </c>
      <c r="J393" s="10">
        <v>159</v>
      </c>
      <c r="K393" s="10">
        <v>105</v>
      </c>
      <c r="L393" s="10">
        <v>49</v>
      </c>
      <c r="M393" s="10">
        <v>21</v>
      </c>
      <c r="N393" s="9" cm="1">
        <f t="array" ref="N393">SUM((H393:L393)/5)</f>
        <v>172.8</v>
      </c>
      <c r="O393" s="10">
        <v>170</v>
      </c>
      <c r="P393" s="23"/>
      <c r="Q393" s="30">
        <v>49.308</v>
      </c>
      <c r="R393" s="30">
        <v>72.016000000000005</v>
      </c>
      <c r="S393" s="30">
        <v>0.441</v>
      </c>
      <c r="T393" s="30">
        <v>0.441</v>
      </c>
      <c r="U393" s="30">
        <f t="shared" si="46"/>
        <v>68</v>
      </c>
      <c r="V393" s="30">
        <f t="shared" si="47"/>
        <v>102</v>
      </c>
      <c r="W393" s="23"/>
      <c r="X393" s="30">
        <v>15.868</v>
      </c>
      <c r="Y393" s="30">
        <v>27.080279999999998</v>
      </c>
      <c r="Z393" s="53">
        <v>27.080279999999998</v>
      </c>
      <c r="AA393" s="54">
        <f t="shared" si="52"/>
        <v>44.682462000000001</v>
      </c>
      <c r="AB393" s="23"/>
      <c r="AC393" s="4">
        <v>365</v>
      </c>
      <c r="AD393" s="32">
        <f t="shared" si="48"/>
        <v>131.7893</v>
      </c>
      <c r="AE393" s="32">
        <f t="shared" si="49"/>
        <v>144.17600000000002</v>
      </c>
      <c r="AF393" s="32">
        <f t="shared" si="50"/>
        <v>18.41</v>
      </c>
      <c r="AG393" s="32">
        <f t="shared" si="50"/>
        <v>45.58</v>
      </c>
      <c r="AH393" s="78"/>
      <c r="AI393" s="78"/>
      <c r="AJ393" s="55">
        <f t="shared" si="51"/>
        <v>339.95530000000002</v>
      </c>
      <c r="AK393" s="32"/>
      <c r="AL393" s="33"/>
      <c r="AM393" s="23"/>
    </row>
    <row r="394" spans="1:39" ht="15.6" x14ac:dyDescent="0.3">
      <c r="A394" s="64"/>
      <c r="B394" s="64"/>
      <c r="C394" s="5" t="s">
        <v>660</v>
      </c>
      <c r="D394" s="5" t="s">
        <v>120</v>
      </c>
      <c r="E394" s="7" t="s">
        <v>0</v>
      </c>
      <c r="F394" s="5"/>
      <c r="G394" s="23"/>
      <c r="H394" s="10">
        <v>721</v>
      </c>
      <c r="I394" s="10">
        <v>360</v>
      </c>
      <c r="J394" s="10">
        <v>273</v>
      </c>
      <c r="K394" s="10">
        <v>297</v>
      </c>
      <c r="L394" s="10">
        <v>599</v>
      </c>
      <c r="M394" s="10">
        <v>317</v>
      </c>
      <c r="N394" s="9" cm="1">
        <f t="array" ref="N394">SUM((H394:L394)/5)</f>
        <v>450</v>
      </c>
      <c r="O394" s="10">
        <v>450</v>
      </c>
      <c r="P394" s="23"/>
      <c r="Q394" s="30">
        <v>49.828000000000003</v>
      </c>
      <c r="R394" s="30">
        <v>63.256999999999998</v>
      </c>
      <c r="S394" s="30">
        <v>0.441</v>
      </c>
      <c r="T394" s="30">
        <v>0.441</v>
      </c>
      <c r="U394" s="30">
        <f t="shared" si="46"/>
        <v>180</v>
      </c>
      <c r="V394" s="30">
        <f t="shared" si="47"/>
        <v>270</v>
      </c>
      <c r="W394" s="23"/>
      <c r="X394" s="30">
        <v>15.061999999999999</v>
      </c>
      <c r="Y394" s="30">
        <v>26.506399999999999</v>
      </c>
      <c r="Z394" s="53">
        <v>26.506399999999999</v>
      </c>
      <c r="AA394" s="54">
        <f t="shared" si="52"/>
        <v>43.73556</v>
      </c>
      <c r="AB394" s="23"/>
      <c r="AC394" s="4">
        <v>365</v>
      </c>
      <c r="AD394" s="32">
        <f t="shared" si="48"/>
        <v>115.7603</v>
      </c>
      <c r="AE394" s="32">
        <f t="shared" si="49"/>
        <v>126.64049999999999</v>
      </c>
      <c r="AF394" s="32">
        <f t="shared" si="50"/>
        <v>47.71</v>
      </c>
      <c r="AG394" s="32">
        <f t="shared" si="50"/>
        <v>118.09</v>
      </c>
      <c r="AH394" s="78"/>
      <c r="AI394" s="78"/>
      <c r="AJ394" s="55">
        <f t="shared" si="51"/>
        <v>408.20079999999996</v>
      </c>
      <c r="AK394" s="32"/>
      <c r="AL394" s="33"/>
      <c r="AM394" s="23"/>
    </row>
    <row r="395" spans="1:39" ht="15.6" x14ac:dyDescent="0.3">
      <c r="A395" s="64"/>
      <c r="B395" s="64"/>
      <c r="C395" s="5" t="s">
        <v>660</v>
      </c>
      <c r="D395" s="5" t="s">
        <v>120</v>
      </c>
      <c r="E395" s="7" t="s">
        <v>0</v>
      </c>
      <c r="F395" s="5"/>
      <c r="G395" s="23"/>
      <c r="H395" s="10">
        <v>119</v>
      </c>
      <c r="I395" s="10">
        <v>99</v>
      </c>
      <c r="J395" s="10">
        <v>189</v>
      </c>
      <c r="K395" s="10">
        <v>187</v>
      </c>
      <c r="L395" s="10">
        <v>195</v>
      </c>
      <c r="M395" s="10">
        <v>11</v>
      </c>
      <c r="N395" s="9" cm="1">
        <f t="array" ref="N395">SUM((H395:L395)/5)</f>
        <v>157.80000000000001</v>
      </c>
      <c r="O395" s="10">
        <v>160</v>
      </c>
      <c r="P395" s="23"/>
      <c r="Q395" s="30">
        <v>49.308</v>
      </c>
      <c r="R395" s="30">
        <v>72.016000000000005</v>
      </c>
      <c r="S395" s="30">
        <v>0.441</v>
      </c>
      <c r="T395" s="30">
        <v>0.441</v>
      </c>
      <c r="U395" s="30">
        <f t="shared" si="46"/>
        <v>64</v>
      </c>
      <c r="V395" s="30">
        <f t="shared" si="47"/>
        <v>96</v>
      </c>
      <c r="W395" s="23"/>
      <c r="X395" s="30">
        <v>15.868</v>
      </c>
      <c r="Y395" s="30">
        <v>27.08428</v>
      </c>
      <c r="Z395" s="53">
        <v>27.08428</v>
      </c>
      <c r="AA395" s="54">
        <f t="shared" si="52"/>
        <v>44.689062</v>
      </c>
      <c r="AB395" s="23"/>
      <c r="AC395" s="4">
        <v>365</v>
      </c>
      <c r="AD395" s="32">
        <f t="shared" si="48"/>
        <v>131.7893</v>
      </c>
      <c r="AE395" s="32">
        <f t="shared" si="49"/>
        <v>144.17600000000002</v>
      </c>
      <c r="AF395" s="32">
        <f t="shared" si="50"/>
        <v>17.329999999999998</v>
      </c>
      <c r="AG395" s="32">
        <f t="shared" si="50"/>
        <v>42.9</v>
      </c>
      <c r="AH395" s="78"/>
      <c r="AI395" s="78"/>
      <c r="AJ395" s="55">
        <f t="shared" si="51"/>
        <v>336.19529999999997</v>
      </c>
      <c r="AK395" s="32"/>
      <c r="AL395" s="33"/>
      <c r="AM395" s="23"/>
    </row>
    <row r="396" spans="1:39" ht="15.6" x14ac:dyDescent="0.3">
      <c r="A396" s="64"/>
      <c r="B396" s="64"/>
      <c r="C396" s="5" t="s">
        <v>660</v>
      </c>
      <c r="D396" s="5" t="s">
        <v>120</v>
      </c>
      <c r="E396" s="7" t="s">
        <v>0</v>
      </c>
      <c r="F396" s="5"/>
      <c r="G396" s="23"/>
      <c r="H396" s="10">
        <v>461</v>
      </c>
      <c r="I396" s="10">
        <v>302</v>
      </c>
      <c r="J396" s="10">
        <v>281</v>
      </c>
      <c r="K396" s="10">
        <v>297</v>
      </c>
      <c r="L396" s="10">
        <v>271</v>
      </c>
      <c r="M396" s="10">
        <v>16</v>
      </c>
      <c r="N396" s="9" cm="1">
        <f t="array" ref="N396">SUM((H396:L396)/5)</f>
        <v>322.39999999999998</v>
      </c>
      <c r="O396" s="10">
        <v>320</v>
      </c>
      <c r="P396" s="23"/>
      <c r="Q396" s="30">
        <v>49.308</v>
      </c>
      <c r="R396" s="30">
        <v>72.016000000000005</v>
      </c>
      <c r="S396" s="30">
        <v>0.441</v>
      </c>
      <c r="T396" s="30">
        <v>0.441</v>
      </c>
      <c r="U396" s="30">
        <f t="shared" si="46"/>
        <v>128</v>
      </c>
      <c r="V396" s="30">
        <f t="shared" si="47"/>
        <v>192</v>
      </c>
      <c r="W396" s="23"/>
      <c r="X396" s="30">
        <v>15.868</v>
      </c>
      <c r="Y396" s="30">
        <v>27.083939999999998</v>
      </c>
      <c r="Z396" s="53">
        <v>27.083939999999998</v>
      </c>
      <c r="AA396" s="54">
        <f t="shared" si="52"/>
        <v>44.688501000000002</v>
      </c>
      <c r="AB396" s="23"/>
      <c r="AC396" s="4">
        <v>365</v>
      </c>
      <c r="AD396" s="32">
        <f t="shared" si="48"/>
        <v>131.7893</v>
      </c>
      <c r="AE396" s="32">
        <f t="shared" si="49"/>
        <v>144.17600000000002</v>
      </c>
      <c r="AF396" s="32">
        <f t="shared" si="50"/>
        <v>34.67</v>
      </c>
      <c r="AG396" s="32">
        <f t="shared" si="50"/>
        <v>85.8</v>
      </c>
      <c r="AH396" s="78"/>
      <c r="AI396" s="78"/>
      <c r="AJ396" s="55">
        <f t="shared" si="51"/>
        <v>396.43530000000004</v>
      </c>
      <c r="AK396" s="32"/>
      <c r="AL396" s="33"/>
      <c r="AM396" s="23"/>
    </row>
    <row r="397" spans="1:39" ht="15.6" x14ac:dyDescent="0.3">
      <c r="A397" s="64"/>
      <c r="B397" s="64"/>
      <c r="C397" s="5" t="s">
        <v>660</v>
      </c>
      <c r="D397" s="5" t="s">
        <v>120</v>
      </c>
      <c r="E397" s="7" t="s">
        <v>0</v>
      </c>
      <c r="F397" s="5"/>
      <c r="G397" s="23"/>
      <c r="H397" s="10">
        <v>342</v>
      </c>
      <c r="I397" s="10">
        <v>575</v>
      </c>
      <c r="J397" s="10">
        <v>360</v>
      </c>
      <c r="K397" s="10">
        <v>322</v>
      </c>
      <c r="L397" s="10">
        <v>362</v>
      </c>
      <c r="M397" s="10">
        <v>329</v>
      </c>
      <c r="N397" s="9" cm="1">
        <f t="array" ref="N397">SUM((H397:L397)/5)</f>
        <v>392.20000000000005</v>
      </c>
      <c r="O397" s="10">
        <v>390</v>
      </c>
      <c r="P397" s="23"/>
      <c r="Q397" s="30">
        <v>49.308</v>
      </c>
      <c r="R397" s="30">
        <v>72.016000000000005</v>
      </c>
      <c r="S397" s="30">
        <v>0.441</v>
      </c>
      <c r="T397" s="30">
        <v>0.441</v>
      </c>
      <c r="U397" s="30">
        <f t="shared" si="46"/>
        <v>156</v>
      </c>
      <c r="V397" s="30">
        <f t="shared" si="47"/>
        <v>234</v>
      </c>
      <c r="W397" s="23"/>
      <c r="X397" s="30">
        <v>15.868</v>
      </c>
      <c r="Y397" s="30">
        <v>27.081939999999999</v>
      </c>
      <c r="Z397" s="53">
        <v>27.081939999999999</v>
      </c>
      <c r="AA397" s="54">
        <f t="shared" si="52"/>
        <v>44.685200999999999</v>
      </c>
      <c r="AB397" s="23"/>
      <c r="AC397" s="4">
        <v>365</v>
      </c>
      <c r="AD397" s="32">
        <f t="shared" si="48"/>
        <v>131.7893</v>
      </c>
      <c r="AE397" s="32">
        <f t="shared" si="49"/>
        <v>144.17600000000002</v>
      </c>
      <c r="AF397" s="32">
        <f t="shared" si="50"/>
        <v>42.25</v>
      </c>
      <c r="AG397" s="32">
        <f t="shared" si="50"/>
        <v>104.56</v>
      </c>
      <c r="AH397" s="78"/>
      <c r="AI397" s="78"/>
      <c r="AJ397" s="55">
        <f t="shared" si="51"/>
        <v>422.77530000000002</v>
      </c>
      <c r="AK397" s="32"/>
      <c r="AL397" s="33"/>
      <c r="AM397" s="23"/>
    </row>
    <row r="398" spans="1:39" ht="15.6" x14ac:dyDescent="0.3">
      <c r="A398" s="64"/>
      <c r="B398" s="64"/>
      <c r="C398" s="5" t="s">
        <v>660</v>
      </c>
      <c r="D398" s="5" t="s">
        <v>120</v>
      </c>
      <c r="E398" s="7" t="s">
        <v>0</v>
      </c>
      <c r="F398" s="5"/>
      <c r="G398" s="23"/>
      <c r="H398" s="10">
        <v>213</v>
      </c>
      <c r="I398" s="10">
        <v>303</v>
      </c>
      <c r="J398" s="10">
        <v>181</v>
      </c>
      <c r="K398" s="10">
        <v>195</v>
      </c>
      <c r="L398" s="10">
        <v>245</v>
      </c>
      <c r="M398" s="10">
        <v>104</v>
      </c>
      <c r="N398" s="9" cm="1">
        <f t="array" ref="N398">SUM((H398:L398)/5)</f>
        <v>227.4</v>
      </c>
      <c r="O398" s="10">
        <v>220</v>
      </c>
      <c r="P398" s="23"/>
      <c r="Q398" s="30">
        <v>49.308</v>
      </c>
      <c r="R398" s="30">
        <v>72.016000000000005</v>
      </c>
      <c r="S398" s="30">
        <v>0.441</v>
      </c>
      <c r="T398" s="30">
        <v>0.441</v>
      </c>
      <c r="U398" s="30">
        <f t="shared" si="46"/>
        <v>88</v>
      </c>
      <c r="V398" s="30">
        <f t="shared" si="47"/>
        <v>132</v>
      </c>
      <c r="W398" s="23"/>
      <c r="X398" s="30">
        <v>15.868</v>
      </c>
      <c r="Y398" s="30">
        <v>27.083500000000001</v>
      </c>
      <c r="Z398" s="53">
        <v>27.083500000000001</v>
      </c>
      <c r="AA398" s="54">
        <f t="shared" si="52"/>
        <v>44.687775000000002</v>
      </c>
      <c r="AB398" s="23"/>
      <c r="AC398" s="4">
        <v>365</v>
      </c>
      <c r="AD398" s="32">
        <f t="shared" si="48"/>
        <v>131.7893</v>
      </c>
      <c r="AE398" s="32">
        <f t="shared" si="49"/>
        <v>144.17600000000002</v>
      </c>
      <c r="AF398" s="32">
        <f t="shared" si="50"/>
        <v>23.83</v>
      </c>
      <c r="AG398" s="32">
        <f t="shared" si="50"/>
        <v>58.99</v>
      </c>
      <c r="AH398" s="78"/>
      <c r="AI398" s="78"/>
      <c r="AJ398" s="55">
        <f t="shared" si="51"/>
        <v>358.78530000000001</v>
      </c>
      <c r="AK398" s="32"/>
      <c r="AL398" s="33"/>
      <c r="AM398" s="23"/>
    </row>
    <row r="399" spans="1:39" ht="30" x14ac:dyDescent="0.3">
      <c r="A399" s="64"/>
      <c r="B399" s="64"/>
      <c r="C399" s="5" t="s">
        <v>480</v>
      </c>
      <c r="D399" s="5" t="s">
        <v>120</v>
      </c>
      <c r="E399" s="7" t="s">
        <v>0</v>
      </c>
      <c r="F399" s="5"/>
      <c r="G399" s="23"/>
      <c r="H399" s="10">
        <v>519</v>
      </c>
      <c r="I399" s="10">
        <v>532</v>
      </c>
      <c r="J399" s="10">
        <v>734</v>
      </c>
      <c r="K399" s="10">
        <v>735</v>
      </c>
      <c r="L399" s="10">
        <v>869</v>
      </c>
      <c r="M399" s="10">
        <v>305</v>
      </c>
      <c r="N399" s="9" cm="1">
        <f t="array" ref="N399">SUM((H399:L399)/5)</f>
        <v>677.8</v>
      </c>
      <c r="O399" s="10">
        <v>680</v>
      </c>
      <c r="P399" s="23"/>
      <c r="Q399" s="30">
        <v>50.334000000000003</v>
      </c>
      <c r="R399" s="30">
        <v>63.256999999999998</v>
      </c>
      <c r="S399" s="30">
        <v>0.441</v>
      </c>
      <c r="T399" s="30">
        <v>0.441</v>
      </c>
      <c r="U399" s="30">
        <f t="shared" si="46"/>
        <v>272</v>
      </c>
      <c r="V399" s="30">
        <f t="shared" si="47"/>
        <v>408</v>
      </c>
      <c r="W399" s="23"/>
      <c r="X399" s="30" t="s">
        <v>299</v>
      </c>
      <c r="Y399" s="30" t="s">
        <v>300</v>
      </c>
      <c r="Z399" s="53">
        <f>SUM(26.72457+25.09277)/2</f>
        <v>25.908670000000001</v>
      </c>
      <c r="AA399" s="54">
        <f t="shared" si="52"/>
        <v>42.749305500000006</v>
      </c>
      <c r="AB399" s="23"/>
      <c r="AC399" s="4">
        <v>365</v>
      </c>
      <c r="AD399" s="32">
        <f t="shared" si="48"/>
        <v>115.7603</v>
      </c>
      <c r="AE399" s="32">
        <f t="shared" si="49"/>
        <v>126.64049999999999</v>
      </c>
      <c r="AF399" s="32">
        <f t="shared" si="50"/>
        <v>70.47</v>
      </c>
      <c r="AG399" s="32">
        <f t="shared" si="50"/>
        <v>174.42</v>
      </c>
      <c r="AH399" s="78"/>
      <c r="AI399" s="78"/>
      <c r="AJ399" s="55">
        <f t="shared" si="51"/>
        <v>487.29079999999999</v>
      </c>
      <c r="AK399" s="32"/>
      <c r="AL399" s="33"/>
      <c r="AM399" s="23"/>
    </row>
    <row r="400" spans="1:39" ht="45" x14ac:dyDescent="0.3">
      <c r="A400" s="64"/>
      <c r="B400" s="64"/>
      <c r="C400" s="5" t="s">
        <v>480</v>
      </c>
      <c r="D400" s="5" t="s">
        <v>120</v>
      </c>
      <c r="E400" s="7" t="s">
        <v>0</v>
      </c>
      <c r="F400" s="5"/>
      <c r="G400" s="23"/>
      <c r="H400" s="10">
        <v>771</v>
      </c>
      <c r="I400" s="10">
        <v>858</v>
      </c>
      <c r="J400" s="10">
        <v>1165</v>
      </c>
      <c r="K400" s="10">
        <v>1216</v>
      </c>
      <c r="L400" s="10">
        <v>1277</v>
      </c>
      <c r="M400" s="10">
        <v>592</v>
      </c>
      <c r="N400" s="9" cm="1">
        <f t="array" ref="N400">SUM((H400:L400)/5)</f>
        <v>1057.4000000000001</v>
      </c>
      <c r="O400" s="10">
        <v>1200</v>
      </c>
      <c r="P400" s="23"/>
      <c r="Q400" s="30">
        <v>50.334000000000003</v>
      </c>
      <c r="R400" s="30">
        <v>63.256999999999998</v>
      </c>
      <c r="S400" s="30">
        <v>0.441</v>
      </c>
      <c r="T400" s="30">
        <v>0.441</v>
      </c>
      <c r="U400" s="30">
        <f t="shared" si="46"/>
        <v>480</v>
      </c>
      <c r="V400" s="30">
        <f t="shared" si="47"/>
        <v>720</v>
      </c>
      <c r="W400" s="23"/>
      <c r="X400" s="30" t="s">
        <v>301</v>
      </c>
      <c r="Y400" s="30" t="s">
        <v>302</v>
      </c>
      <c r="Z400" s="53">
        <f>SUM(27.42746+24.99841+25.31696)/3</f>
        <v>25.914276666666666</v>
      </c>
      <c r="AA400" s="54">
        <f t="shared" si="52"/>
        <v>42.758556499999997</v>
      </c>
      <c r="AB400" s="23"/>
      <c r="AC400" s="4">
        <v>365</v>
      </c>
      <c r="AD400" s="32">
        <f t="shared" si="48"/>
        <v>115.7603</v>
      </c>
      <c r="AE400" s="32">
        <f t="shared" si="49"/>
        <v>126.64049999999999</v>
      </c>
      <c r="AF400" s="32">
        <f t="shared" si="50"/>
        <v>124.39</v>
      </c>
      <c r="AG400" s="32">
        <f t="shared" si="50"/>
        <v>307.86</v>
      </c>
      <c r="AH400" s="78"/>
      <c r="AI400" s="78"/>
      <c r="AJ400" s="55">
        <f t="shared" si="51"/>
        <v>674.6508</v>
      </c>
      <c r="AK400" s="32"/>
      <c r="AL400" s="33"/>
      <c r="AM400" s="23"/>
    </row>
    <row r="401" spans="1:39" ht="15.6" x14ac:dyDescent="0.3">
      <c r="A401" s="64"/>
      <c r="B401" s="64"/>
      <c r="C401" s="5" t="s">
        <v>481</v>
      </c>
      <c r="D401" s="5" t="s">
        <v>120</v>
      </c>
      <c r="E401" s="7" t="s">
        <v>0</v>
      </c>
      <c r="F401" s="5"/>
      <c r="G401" s="23"/>
      <c r="H401" s="10">
        <v>105</v>
      </c>
      <c r="I401" s="10">
        <v>103</v>
      </c>
      <c r="J401" s="10">
        <v>108</v>
      </c>
      <c r="K401" s="10">
        <v>104</v>
      </c>
      <c r="L401" s="10">
        <v>103</v>
      </c>
      <c r="M401" s="10">
        <v>399</v>
      </c>
      <c r="N401" s="9" cm="1">
        <f t="array" ref="N401">SUM((H401:L401)/5)</f>
        <v>104.6</v>
      </c>
      <c r="O401" s="10">
        <v>105</v>
      </c>
      <c r="P401" s="23"/>
      <c r="Q401" s="30">
        <v>49.308</v>
      </c>
      <c r="R401" s="30">
        <v>72.016000000000005</v>
      </c>
      <c r="S401" s="30">
        <v>0.441</v>
      </c>
      <c r="T401" s="30">
        <v>0.441</v>
      </c>
      <c r="U401" s="30">
        <f t="shared" si="46"/>
        <v>42</v>
      </c>
      <c r="V401" s="30">
        <f t="shared" si="47"/>
        <v>63</v>
      </c>
      <c r="W401" s="23"/>
      <c r="X401" s="30">
        <v>15.868</v>
      </c>
      <c r="Y401" s="30">
        <v>27.082409999999999</v>
      </c>
      <c r="Z401" s="53">
        <v>27.082409999999999</v>
      </c>
      <c r="AA401" s="54">
        <f t="shared" si="52"/>
        <v>44.685976499999995</v>
      </c>
      <c r="AB401" s="23"/>
      <c r="AC401" s="4">
        <v>365</v>
      </c>
      <c r="AD401" s="32">
        <f t="shared" si="48"/>
        <v>131.7893</v>
      </c>
      <c r="AE401" s="32">
        <f t="shared" si="49"/>
        <v>144.17600000000002</v>
      </c>
      <c r="AF401" s="32">
        <f t="shared" si="50"/>
        <v>11.37</v>
      </c>
      <c r="AG401" s="32">
        <f t="shared" si="50"/>
        <v>28.15</v>
      </c>
      <c r="AH401" s="78"/>
      <c r="AI401" s="78"/>
      <c r="AJ401" s="55">
        <f t="shared" si="51"/>
        <v>315.4853</v>
      </c>
      <c r="AK401" s="32"/>
      <c r="AL401" s="33"/>
      <c r="AM401" s="23"/>
    </row>
    <row r="402" spans="1:39" ht="15.6" x14ac:dyDescent="0.3">
      <c r="A402" s="64"/>
      <c r="B402" s="64"/>
      <c r="C402" s="5" t="s">
        <v>704</v>
      </c>
      <c r="D402" s="5" t="s">
        <v>120</v>
      </c>
      <c r="E402" s="7" t="s">
        <v>0</v>
      </c>
      <c r="F402" s="5"/>
      <c r="G402" s="23"/>
      <c r="H402" s="10">
        <v>426</v>
      </c>
      <c r="I402" s="10">
        <v>442</v>
      </c>
      <c r="J402" s="10">
        <v>448</v>
      </c>
      <c r="K402" s="10">
        <v>456</v>
      </c>
      <c r="L402" s="10">
        <v>365</v>
      </c>
      <c r="M402" s="10">
        <v>95</v>
      </c>
      <c r="N402" s="9" cm="1">
        <f t="array" ref="N402">SUM((H402:L402)/5)</f>
        <v>427.40000000000003</v>
      </c>
      <c r="O402" s="10">
        <v>430</v>
      </c>
      <c r="P402" s="23"/>
      <c r="Q402" s="30">
        <v>49.828000000000003</v>
      </c>
      <c r="R402" s="30">
        <v>63.256999999999998</v>
      </c>
      <c r="S402" s="30">
        <v>0.441</v>
      </c>
      <c r="T402" s="30">
        <v>0.441</v>
      </c>
      <c r="U402" s="30">
        <f t="shared" si="46"/>
        <v>172</v>
      </c>
      <c r="V402" s="30">
        <f t="shared" si="47"/>
        <v>258</v>
      </c>
      <c r="W402" s="23"/>
      <c r="X402" s="30">
        <v>15.061999999999999</v>
      </c>
      <c r="Y402" s="30">
        <v>26.505050000000001</v>
      </c>
      <c r="Z402" s="53">
        <v>26.505050000000001</v>
      </c>
      <c r="AA402" s="54">
        <f t="shared" si="52"/>
        <v>43.733332500000003</v>
      </c>
      <c r="AB402" s="23"/>
      <c r="AC402" s="4">
        <v>365</v>
      </c>
      <c r="AD402" s="32">
        <f t="shared" si="48"/>
        <v>115.7603</v>
      </c>
      <c r="AE402" s="32">
        <f t="shared" si="49"/>
        <v>126.64049999999999</v>
      </c>
      <c r="AF402" s="32">
        <f t="shared" si="50"/>
        <v>45.59</v>
      </c>
      <c r="AG402" s="32">
        <f t="shared" si="50"/>
        <v>112.83</v>
      </c>
      <c r="AH402" s="78"/>
      <c r="AI402" s="78"/>
      <c r="AJ402" s="55">
        <f t="shared" si="51"/>
        <v>400.82080000000002</v>
      </c>
      <c r="AK402" s="32"/>
      <c r="AL402" s="33"/>
      <c r="AM402" s="23"/>
    </row>
    <row r="403" spans="1:39" ht="15.6" x14ac:dyDescent="0.3">
      <c r="A403" s="64"/>
      <c r="B403" s="64"/>
      <c r="C403" s="5" t="s">
        <v>682</v>
      </c>
      <c r="D403" s="5" t="s">
        <v>120</v>
      </c>
      <c r="E403" s="7" t="s">
        <v>0</v>
      </c>
      <c r="F403" s="5"/>
      <c r="G403" s="23"/>
      <c r="H403" s="10">
        <v>401</v>
      </c>
      <c r="I403" s="10">
        <v>351</v>
      </c>
      <c r="J403" s="10">
        <v>201</v>
      </c>
      <c r="K403" s="10">
        <v>733</v>
      </c>
      <c r="L403" s="10">
        <v>505</v>
      </c>
      <c r="M403" s="10">
        <v>20333</v>
      </c>
      <c r="N403" s="9" cm="1">
        <f t="array" ref="N403">SUM((H403:L403)/5)</f>
        <v>438.20000000000005</v>
      </c>
      <c r="O403" s="10">
        <v>800</v>
      </c>
      <c r="P403" s="23"/>
      <c r="Q403" s="30">
        <v>49.828000000000003</v>
      </c>
      <c r="R403" s="30">
        <v>63.256999999999998</v>
      </c>
      <c r="S403" s="30">
        <v>0.441</v>
      </c>
      <c r="T403" s="30">
        <v>0.441</v>
      </c>
      <c r="U403" s="30">
        <f t="shared" si="46"/>
        <v>320</v>
      </c>
      <c r="V403" s="30">
        <f t="shared" si="47"/>
        <v>480</v>
      </c>
      <c r="W403" s="23"/>
      <c r="X403" s="30">
        <v>15.061999999999999</v>
      </c>
      <c r="Y403" s="30">
        <v>26.50648</v>
      </c>
      <c r="Z403" s="53">
        <v>26.50648</v>
      </c>
      <c r="AA403" s="54">
        <f t="shared" si="52"/>
        <v>43.735692</v>
      </c>
      <c r="AB403" s="23"/>
      <c r="AC403" s="4">
        <v>365</v>
      </c>
      <c r="AD403" s="32">
        <f t="shared" si="48"/>
        <v>115.7603</v>
      </c>
      <c r="AE403" s="32">
        <f t="shared" si="49"/>
        <v>126.64049999999999</v>
      </c>
      <c r="AF403" s="32">
        <f t="shared" si="50"/>
        <v>84.82</v>
      </c>
      <c r="AG403" s="32">
        <f t="shared" si="50"/>
        <v>209.93</v>
      </c>
      <c r="AH403" s="78"/>
      <c r="AI403" s="78"/>
      <c r="AJ403" s="55">
        <f t="shared" si="51"/>
        <v>537.1508</v>
      </c>
      <c r="AK403" s="32"/>
      <c r="AL403" s="33"/>
      <c r="AM403" s="23"/>
    </row>
    <row r="404" spans="1:39" ht="15.6" x14ac:dyDescent="0.3">
      <c r="A404" s="64"/>
      <c r="B404" s="64"/>
      <c r="C404" s="5" t="s">
        <v>705</v>
      </c>
      <c r="D404" s="5" t="s">
        <v>120</v>
      </c>
      <c r="E404" s="7" t="s">
        <v>0</v>
      </c>
      <c r="F404" s="5"/>
      <c r="G404" s="23"/>
      <c r="H404" s="10">
        <v>523</v>
      </c>
      <c r="I404" s="10">
        <v>746</v>
      </c>
      <c r="J404" s="10">
        <v>1024</v>
      </c>
      <c r="K404" s="10">
        <v>897</v>
      </c>
      <c r="L404" s="10">
        <v>844</v>
      </c>
      <c r="M404" s="10">
        <v>373</v>
      </c>
      <c r="N404" s="9" cm="1">
        <f t="array" ref="N404">SUM((H404:L404)/5)</f>
        <v>806.8</v>
      </c>
      <c r="O404" s="10">
        <v>850</v>
      </c>
      <c r="P404" s="23"/>
      <c r="Q404" s="30">
        <v>49.828000000000003</v>
      </c>
      <c r="R404" s="30">
        <v>63.256999999999998</v>
      </c>
      <c r="S404" s="30">
        <v>0.441</v>
      </c>
      <c r="T404" s="30">
        <v>0.441</v>
      </c>
      <c r="U404" s="30">
        <f t="shared" si="46"/>
        <v>340</v>
      </c>
      <c r="V404" s="30">
        <f t="shared" si="47"/>
        <v>510</v>
      </c>
      <c r="W404" s="23"/>
      <c r="X404" s="30">
        <v>15.061999999999999</v>
      </c>
      <c r="Y404" s="30">
        <v>26.506080000000001</v>
      </c>
      <c r="Z404" s="53">
        <v>26.506080000000001</v>
      </c>
      <c r="AA404" s="54">
        <f t="shared" si="52"/>
        <v>43.735032000000004</v>
      </c>
      <c r="AB404" s="23"/>
      <c r="AC404" s="4">
        <v>365</v>
      </c>
      <c r="AD404" s="32">
        <f t="shared" si="48"/>
        <v>115.7603</v>
      </c>
      <c r="AE404" s="32">
        <f t="shared" si="49"/>
        <v>126.64049999999999</v>
      </c>
      <c r="AF404" s="32">
        <f t="shared" si="50"/>
        <v>90.12</v>
      </c>
      <c r="AG404" s="32">
        <f t="shared" si="50"/>
        <v>223.05</v>
      </c>
      <c r="AH404" s="78"/>
      <c r="AI404" s="78"/>
      <c r="AJ404" s="55">
        <f t="shared" si="51"/>
        <v>555.57079999999996</v>
      </c>
      <c r="AK404" s="32"/>
      <c r="AL404" s="33"/>
      <c r="AM404" s="23"/>
    </row>
    <row r="405" spans="1:39" ht="15.6" x14ac:dyDescent="0.3">
      <c r="A405" s="64"/>
      <c r="B405" s="64"/>
      <c r="C405" s="5" t="s">
        <v>705</v>
      </c>
      <c r="D405" s="5" t="s">
        <v>120</v>
      </c>
      <c r="E405" s="7" t="s">
        <v>0</v>
      </c>
      <c r="F405" s="5"/>
      <c r="G405" s="23"/>
      <c r="H405" s="10">
        <v>1091</v>
      </c>
      <c r="I405" s="10">
        <v>1246</v>
      </c>
      <c r="J405" s="10">
        <v>1202</v>
      </c>
      <c r="K405" s="10">
        <v>1147</v>
      </c>
      <c r="L405" s="10">
        <v>951</v>
      </c>
      <c r="M405" s="10">
        <v>525</v>
      </c>
      <c r="N405" s="9" cm="1">
        <f t="array" ref="N405">SUM((H405:L405)/5)</f>
        <v>1127.3999999999999</v>
      </c>
      <c r="O405" s="10">
        <v>1120</v>
      </c>
      <c r="P405" s="23"/>
      <c r="Q405" s="30">
        <v>49.828000000000003</v>
      </c>
      <c r="R405" s="30">
        <v>63.256999999999998</v>
      </c>
      <c r="S405" s="30">
        <v>0.441</v>
      </c>
      <c r="T405" s="30">
        <v>0.441</v>
      </c>
      <c r="U405" s="30">
        <f t="shared" si="46"/>
        <v>448</v>
      </c>
      <c r="V405" s="30">
        <f t="shared" si="47"/>
        <v>672</v>
      </c>
      <c r="W405" s="23"/>
      <c r="X405" s="30">
        <v>15.061999999999999</v>
      </c>
      <c r="Y405" s="30">
        <v>26.50656</v>
      </c>
      <c r="Z405" s="53">
        <v>26.50656</v>
      </c>
      <c r="AA405" s="54">
        <f t="shared" si="52"/>
        <v>43.735824000000001</v>
      </c>
      <c r="AB405" s="23"/>
      <c r="AC405" s="4">
        <v>365</v>
      </c>
      <c r="AD405" s="32">
        <f t="shared" si="48"/>
        <v>115.7603</v>
      </c>
      <c r="AE405" s="32">
        <f t="shared" si="49"/>
        <v>126.64049999999999</v>
      </c>
      <c r="AF405" s="32">
        <f t="shared" si="50"/>
        <v>118.75</v>
      </c>
      <c r="AG405" s="32">
        <f t="shared" si="50"/>
        <v>293.89999999999998</v>
      </c>
      <c r="AH405" s="78"/>
      <c r="AI405" s="78"/>
      <c r="AJ405" s="55">
        <f t="shared" si="51"/>
        <v>655.05079999999998</v>
      </c>
      <c r="AK405" s="32"/>
      <c r="AL405" s="33"/>
      <c r="AM405" s="23"/>
    </row>
    <row r="406" spans="1:39" ht="15.6" x14ac:dyDescent="0.3">
      <c r="A406" s="64"/>
      <c r="B406" s="64"/>
      <c r="C406" s="5" t="s">
        <v>690</v>
      </c>
      <c r="D406" s="5" t="s">
        <v>120</v>
      </c>
      <c r="E406" s="7" t="s">
        <v>0</v>
      </c>
      <c r="F406" s="5"/>
      <c r="G406" s="23"/>
      <c r="H406" s="10">
        <v>686</v>
      </c>
      <c r="I406" s="10">
        <v>517</v>
      </c>
      <c r="J406" s="10">
        <v>373</v>
      </c>
      <c r="K406" s="10">
        <v>334</v>
      </c>
      <c r="L406" s="10">
        <v>305</v>
      </c>
      <c r="M406" s="10">
        <v>19</v>
      </c>
      <c r="N406" s="9" cm="1">
        <f t="array" ref="N406">SUM((H406:L406)/5)</f>
        <v>443</v>
      </c>
      <c r="O406" s="10">
        <v>440</v>
      </c>
      <c r="P406" s="23"/>
      <c r="Q406" s="30">
        <v>49.828000000000003</v>
      </c>
      <c r="R406" s="30">
        <v>63.256999999999998</v>
      </c>
      <c r="S406" s="30">
        <v>0.441</v>
      </c>
      <c r="T406" s="30">
        <v>0.441</v>
      </c>
      <c r="U406" s="30">
        <f t="shared" si="46"/>
        <v>176</v>
      </c>
      <c r="V406" s="30">
        <f t="shared" si="47"/>
        <v>264</v>
      </c>
      <c r="W406" s="23"/>
      <c r="X406" s="30">
        <v>15.061999999999999</v>
      </c>
      <c r="Y406" s="30">
        <v>26.505050000000001</v>
      </c>
      <c r="Z406" s="53">
        <v>26.505050000000001</v>
      </c>
      <c r="AA406" s="54">
        <f t="shared" si="52"/>
        <v>43.733332500000003</v>
      </c>
      <c r="AB406" s="23"/>
      <c r="AC406" s="4">
        <v>365</v>
      </c>
      <c r="AD406" s="32">
        <f t="shared" si="48"/>
        <v>115.7603</v>
      </c>
      <c r="AE406" s="32">
        <f t="shared" si="49"/>
        <v>126.64049999999999</v>
      </c>
      <c r="AF406" s="32">
        <f t="shared" si="50"/>
        <v>46.65</v>
      </c>
      <c r="AG406" s="32">
        <f t="shared" si="50"/>
        <v>115.46</v>
      </c>
      <c r="AH406" s="78"/>
      <c r="AI406" s="78"/>
      <c r="AJ406" s="55">
        <f t="shared" si="51"/>
        <v>404.51079999999996</v>
      </c>
      <c r="AK406" s="32"/>
      <c r="AL406" s="33"/>
      <c r="AM406" s="23"/>
    </row>
    <row r="407" spans="1:39" ht="15.6" x14ac:dyDescent="0.3">
      <c r="A407" s="64"/>
      <c r="B407" s="64"/>
      <c r="C407" s="5" t="s">
        <v>482</v>
      </c>
      <c r="D407" s="5" t="s">
        <v>120</v>
      </c>
      <c r="E407" s="7" t="s">
        <v>0</v>
      </c>
      <c r="F407" s="5"/>
      <c r="G407" s="23"/>
      <c r="H407" s="10">
        <v>695</v>
      </c>
      <c r="I407" s="10">
        <v>542</v>
      </c>
      <c r="J407" s="10">
        <v>883</v>
      </c>
      <c r="K407" s="10">
        <v>1241</v>
      </c>
      <c r="L407" s="10">
        <v>1228</v>
      </c>
      <c r="M407" s="10">
        <v>1072</v>
      </c>
      <c r="N407" s="9" cm="1">
        <f t="array" ref="N407">SUM((H407:L407)/5)</f>
        <v>917.80000000000007</v>
      </c>
      <c r="O407" s="10">
        <v>1200</v>
      </c>
      <c r="P407" s="23"/>
      <c r="Q407" s="30">
        <v>49.308</v>
      </c>
      <c r="R407" s="30">
        <v>72.016000000000005</v>
      </c>
      <c r="S407" s="30">
        <v>0.441</v>
      </c>
      <c r="T407" s="30">
        <v>0.441</v>
      </c>
      <c r="U407" s="30">
        <f t="shared" si="46"/>
        <v>480</v>
      </c>
      <c r="V407" s="30">
        <f t="shared" si="47"/>
        <v>720</v>
      </c>
      <c r="W407" s="23"/>
      <c r="X407" s="30">
        <v>15.868</v>
      </c>
      <c r="Y407" s="30">
        <v>27.083020000000001</v>
      </c>
      <c r="Z407" s="53">
        <v>27.083020000000001</v>
      </c>
      <c r="AA407" s="54">
        <f t="shared" si="52"/>
        <v>44.686982999999998</v>
      </c>
      <c r="AB407" s="23"/>
      <c r="AC407" s="4">
        <v>365</v>
      </c>
      <c r="AD407" s="32">
        <f t="shared" si="48"/>
        <v>131.7893</v>
      </c>
      <c r="AE407" s="32">
        <f t="shared" si="49"/>
        <v>144.17600000000002</v>
      </c>
      <c r="AF407" s="32">
        <f t="shared" si="50"/>
        <v>130</v>
      </c>
      <c r="AG407" s="32">
        <f t="shared" si="50"/>
        <v>321.75</v>
      </c>
      <c r="AH407" s="78"/>
      <c r="AI407" s="78"/>
      <c r="AJ407" s="55">
        <f t="shared" si="51"/>
        <v>727.71530000000007</v>
      </c>
      <c r="AK407" s="32"/>
      <c r="AL407" s="33"/>
      <c r="AM407" s="23"/>
    </row>
    <row r="408" spans="1:39" ht="15.6" x14ac:dyDescent="0.3">
      <c r="A408" s="64"/>
      <c r="B408" s="64"/>
      <c r="C408" s="5" t="s">
        <v>648</v>
      </c>
      <c r="D408" s="5" t="s">
        <v>120</v>
      </c>
      <c r="E408" s="7" t="s">
        <v>0</v>
      </c>
      <c r="F408" s="5"/>
      <c r="G408" s="23"/>
      <c r="H408" s="10">
        <v>0</v>
      </c>
      <c r="I408" s="10">
        <v>0</v>
      </c>
      <c r="J408" s="10">
        <v>2</v>
      </c>
      <c r="K408" s="10">
        <v>3</v>
      </c>
      <c r="L408" s="10">
        <v>9</v>
      </c>
      <c r="M408" s="10">
        <v>2</v>
      </c>
      <c r="N408" s="9" cm="1">
        <f t="array" ref="N408">SUM((H408:L408)/5)</f>
        <v>2.8</v>
      </c>
      <c r="O408" s="10">
        <v>10</v>
      </c>
      <c r="P408" s="23"/>
      <c r="Q408" s="30">
        <v>49.828000000000003</v>
      </c>
      <c r="R408" s="30">
        <v>63.256999999999998</v>
      </c>
      <c r="S408" s="30">
        <v>0.441</v>
      </c>
      <c r="T408" s="30">
        <v>0.441</v>
      </c>
      <c r="U408" s="30">
        <f t="shared" si="46"/>
        <v>4</v>
      </c>
      <c r="V408" s="30">
        <f t="shared" si="47"/>
        <v>6</v>
      </c>
      <c r="W408" s="23"/>
      <c r="X408" s="30">
        <v>15.061999999999999</v>
      </c>
      <c r="Y408" s="30">
        <v>26.56296</v>
      </c>
      <c r="Z408" s="53">
        <v>26.56296</v>
      </c>
      <c r="AA408" s="54">
        <f t="shared" si="52"/>
        <v>43.828884000000002</v>
      </c>
      <c r="AB408" s="23"/>
      <c r="AC408" s="4">
        <v>365</v>
      </c>
      <c r="AD408" s="32">
        <f t="shared" si="48"/>
        <v>115.7603</v>
      </c>
      <c r="AE408" s="32">
        <f t="shared" si="49"/>
        <v>126.64049999999999</v>
      </c>
      <c r="AF408" s="32">
        <f t="shared" si="50"/>
        <v>1.06</v>
      </c>
      <c r="AG408" s="32">
        <f t="shared" si="50"/>
        <v>2.63</v>
      </c>
      <c r="AH408" s="78"/>
      <c r="AI408" s="78"/>
      <c r="AJ408" s="55">
        <f t="shared" si="51"/>
        <v>246.0908</v>
      </c>
      <c r="AK408" s="32"/>
      <c r="AL408" s="33"/>
      <c r="AM408" s="23"/>
    </row>
    <row r="409" spans="1:39" ht="45" x14ac:dyDescent="0.3">
      <c r="A409" s="64"/>
      <c r="B409" s="64"/>
      <c r="C409" s="5" t="s">
        <v>661</v>
      </c>
      <c r="D409" s="5" t="s">
        <v>120</v>
      </c>
      <c r="E409" s="7" t="s">
        <v>0</v>
      </c>
      <c r="F409" s="5"/>
      <c r="G409" s="23"/>
      <c r="H409" s="10">
        <v>2370</v>
      </c>
      <c r="I409" s="10">
        <v>2016</v>
      </c>
      <c r="J409" s="10">
        <v>1955</v>
      </c>
      <c r="K409" s="10">
        <v>1859</v>
      </c>
      <c r="L409" s="10">
        <v>1122</v>
      </c>
      <c r="M409" s="10">
        <v>517</v>
      </c>
      <c r="N409" s="9" cm="1">
        <f t="array" ref="N409">SUM((H409:L409)/5)</f>
        <v>1864.4</v>
      </c>
      <c r="O409" s="10">
        <v>1850</v>
      </c>
      <c r="P409" s="23"/>
      <c r="Q409" s="30">
        <v>50.334000000000003</v>
      </c>
      <c r="R409" s="30">
        <v>63.256999999999998</v>
      </c>
      <c r="S409" s="30">
        <v>0.441</v>
      </c>
      <c r="T409" s="30">
        <v>0.441</v>
      </c>
      <c r="U409" s="30">
        <f t="shared" si="46"/>
        <v>740</v>
      </c>
      <c r="V409" s="30">
        <f t="shared" si="47"/>
        <v>1110</v>
      </c>
      <c r="W409" s="23"/>
      <c r="X409" s="30" t="s">
        <v>301</v>
      </c>
      <c r="Y409" s="30" t="s">
        <v>303</v>
      </c>
      <c r="Z409" s="53">
        <f>SUM(27.32488+24.89528+25.21438)/3</f>
        <v>25.811513333333334</v>
      </c>
      <c r="AA409" s="54">
        <f t="shared" si="52"/>
        <v>42.588997000000006</v>
      </c>
      <c r="AB409" s="23"/>
      <c r="AC409" s="4">
        <v>365</v>
      </c>
      <c r="AD409" s="32">
        <f t="shared" si="48"/>
        <v>115.7603</v>
      </c>
      <c r="AE409" s="32">
        <f t="shared" si="49"/>
        <v>126.64049999999999</v>
      </c>
      <c r="AF409" s="32">
        <f t="shared" si="50"/>
        <v>191.01</v>
      </c>
      <c r="AG409" s="32">
        <f t="shared" si="50"/>
        <v>472.74</v>
      </c>
      <c r="AH409" s="78"/>
      <c r="AI409" s="78"/>
      <c r="AJ409" s="55">
        <f t="shared" si="51"/>
        <v>906.1508</v>
      </c>
      <c r="AK409" s="32"/>
      <c r="AL409" s="33"/>
      <c r="AM409" s="23"/>
    </row>
    <row r="410" spans="1:39" ht="15.6" x14ac:dyDescent="0.3">
      <c r="A410" s="64"/>
      <c r="B410" s="64"/>
      <c r="C410" s="5" t="s">
        <v>628</v>
      </c>
      <c r="D410" s="5" t="s">
        <v>120</v>
      </c>
      <c r="E410" s="7" t="s">
        <v>0</v>
      </c>
      <c r="F410" s="5"/>
      <c r="G410" s="23"/>
      <c r="H410" s="10">
        <v>341</v>
      </c>
      <c r="I410" s="10">
        <v>324</v>
      </c>
      <c r="J410" s="10">
        <v>286</v>
      </c>
      <c r="K410" s="10">
        <v>417</v>
      </c>
      <c r="L410" s="10">
        <v>513</v>
      </c>
      <c r="M410" s="10">
        <v>192</v>
      </c>
      <c r="N410" s="9" cm="1">
        <f t="array" ref="N410">SUM((H410:L410)/5)</f>
        <v>376.20000000000005</v>
      </c>
      <c r="O410" s="10">
        <v>370</v>
      </c>
      <c r="P410" s="23"/>
      <c r="Q410" s="30">
        <v>49.308</v>
      </c>
      <c r="R410" s="30">
        <v>72.016000000000005</v>
      </c>
      <c r="S410" s="30">
        <v>0.441</v>
      </c>
      <c r="T410" s="30">
        <v>0.441</v>
      </c>
      <c r="U410" s="30">
        <f t="shared" si="46"/>
        <v>148</v>
      </c>
      <c r="V410" s="30">
        <f t="shared" si="47"/>
        <v>222</v>
      </c>
      <c r="W410" s="23"/>
      <c r="X410" s="30">
        <v>15.868</v>
      </c>
      <c r="Y410" s="30">
        <v>27.08343</v>
      </c>
      <c r="Z410" s="53">
        <v>27.08343</v>
      </c>
      <c r="AA410" s="54">
        <f t="shared" si="52"/>
        <v>44.687659499999995</v>
      </c>
      <c r="AB410" s="23"/>
      <c r="AC410" s="4">
        <v>365</v>
      </c>
      <c r="AD410" s="32">
        <f t="shared" si="48"/>
        <v>131.7893</v>
      </c>
      <c r="AE410" s="32">
        <f t="shared" si="49"/>
        <v>144.17600000000002</v>
      </c>
      <c r="AF410" s="32">
        <f t="shared" si="50"/>
        <v>40.08</v>
      </c>
      <c r="AG410" s="32">
        <f t="shared" si="50"/>
        <v>99.21</v>
      </c>
      <c r="AH410" s="78"/>
      <c r="AI410" s="78"/>
      <c r="AJ410" s="55">
        <f t="shared" si="51"/>
        <v>415.25529999999998</v>
      </c>
      <c r="AK410" s="32"/>
      <c r="AL410" s="33"/>
      <c r="AM410" s="23"/>
    </row>
    <row r="411" spans="1:39" ht="15.6" x14ac:dyDescent="0.3">
      <c r="A411" s="64"/>
      <c r="B411" s="64"/>
      <c r="C411" s="5" t="s">
        <v>628</v>
      </c>
      <c r="D411" s="5" t="s">
        <v>120</v>
      </c>
      <c r="E411" s="7" t="s">
        <v>0</v>
      </c>
      <c r="F411" s="5"/>
      <c r="G411" s="23"/>
      <c r="H411" s="10">
        <v>163</v>
      </c>
      <c r="I411" s="10">
        <v>226</v>
      </c>
      <c r="J411" s="10">
        <v>138</v>
      </c>
      <c r="K411" s="10">
        <v>149</v>
      </c>
      <c r="L411" s="10">
        <v>164</v>
      </c>
      <c r="M411" s="10">
        <v>112</v>
      </c>
      <c r="N411" s="9" cm="1">
        <f t="array" ref="N411">SUM((H411:L411)/5)</f>
        <v>168</v>
      </c>
      <c r="O411" s="10">
        <v>160</v>
      </c>
      <c r="P411" s="23"/>
      <c r="Q411" s="30">
        <v>49.308</v>
      </c>
      <c r="R411" s="30">
        <v>72.016000000000005</v>
      </c>
      <c r="S411" s="30">
        <v>0.441</v>
      </c>
      <c r="T411" s="30">
        <v>0.441</v>
      </c>
      <c r="U411" s="30">
        <f t="shared" si="46"/>
        <v>64</v>
      </c>
      <c r="V411" s="30">
        <f t="shared" si="47"/>
        <v>96</v>
      </c>
      <c r="W411" s="23"/>
      <c r="X411" s="30">
        <v>15.868</v>
      </c>
      <c r="Y411" s="30">
        <v>27.08333</v>
      </c>
      <c r="Z411" s="53">
        <v>27.08333</v>
      </c>
      <c r="AA411" s="54">
        <f t="shared" si="52"/>
        <v>44.6874945</v>
      </c>
      <c r="AB411" s="23"/>
      <c r="AC411" s="4">
        <v>365</v>
      </c>
      <c r="AD411" s="32">
        <f t="shared" si="48"/>
        <v>131.7893</v>
      </c>
      <c r="AE411" s="32">
        <f t="shared" si="49"/>
        <v>144.17600000000002</v>
      </c>
      <c r="AF411" s="32">
        <f t="shared" si="50"/>
        <v>17.329999999999998</v>
      </c>
      <c r="AG411" s="32">
        <f t="shared" si="50"/>
        <v>42.9</v>
      </c>
      <c r="AH411" s="78"/>
      <c r="AI411" s="78"/>
      <c r="AJ411" s="55">
        <f t="shared" si="51"/>
        <v>336.19529999999997</v>
      </c>
      <c r="AK411" s="32"/>
      <c r="AL411" s="33"/>
      <c r="AM411" s="23"/>
    </row>
    <row r="412" spans="1:39" ht="45" x14ac:dyDescent="0.3">
      <c r="A412" s="64"/>
      <c r="B412" s="64"/>
      <c r="C412" s="5" t="s">
        <v>628</v>
      </c>
      <c r="D412" s="5" t="s">
        <v>120</v>
      </c>
      <c r="E412" s="7" t="s">
        <v>0</v>
      </c>
      <c r="F412" s="5"/>
      <c r="G412" s="23"/>
      <c r="H412" s="10">
        <v>538</v>
      </c>
      <c r="I412" s="10">
        <v>532</v>
      </c>
      <c r="J412" s="10">
        <v>493</v>
      </c>
      <c r="K412" s="10">
        <v>500</v>
      </c>
      <c r="L412" s="10">
        <v>437</v>
      </c>
      <c r="M412" s="10">
        <v>225</v>
      </c>
      <c r="N412" s="9" cm="1">
        <f t="array" ref="N412">SUM((H412:L412)/5)</f>
        <v>500</v>
      </c>
      <c r="O412" s="10">
        <v>500</v>
      </c>
      <c r="P412" s="23"/>
      <c r="Q412" s="30">
        <v>50.334000000000003</v>
      </c>
      <c r="R412" s="30">
        <v>63.256999999999998</v>
      </c>
      <c r="S412" s="30">
        <v>0.441</v>
      </c>
      <c r="T412" s="30">
        <v>0.441</v>
      </c>
      <c r="U412" s="30">
        <f t="shared" si="46"/>
        <v>200</v>
      </c>
      <c r="V412" s="30">
        <f t="shared" si="47"/>
        <v>300</v>
      </c>
      <c r="W412" s="23"/>
      <c r="X412" s="30" t="s">
        <v>304</v>
      </c>
      <c r="Y412" s="30" t="s">
        <v>305</v>
      </c>
      <c r="Z412" s="53">
        <f>SUM(27.4387+25.00784+25.38307)/3</f>
        <v>25.943203333333333</v>
      </c>
      <c r="AA412" s="54">
        <f t="shared" si="52"/>
        <v>42.806285500000001</v>
      </c>
      <c r="AB412" s="23"/>
      <c r="AC412" s="4">
        <v>365</v>
      </c>
      <c r="AD412" s="32">
        <f t="shared" si="48"/>
        <v>115.7603</v>
      </c>
      <c r="AE412" s="32">
        <f t="shared" si="49"/>
        <v>126.64049999999999</v>
      </c>
      <c r="AF412" s="32">
        <f t="shared" si="50"/>
        <v>51.89</v>
      </c>
      <c r="AG412" s="32">
        <f t="shared" si="50"/>
        <v>128.41999999999999</v>
      </c>
      <c r="AH412" s="78"/>
      <c r="AI412" s="78"/>
      <c r="AJ412" s="55">
        <f t="shared" si="51"/>
        <v>422.71079999999995</v>
      </c>
      <c r="AK412" s="32"/>
      <c r="AL412" s="33"/>
      <c r="AM412" s="23"/>
    </row>
    <row r="413" spans="1:39" ht="45" x14ac:dyDescent="0.3">
      <c r="A413" s="64"/>
      <c r="B413" s="64"/>
      <c r="C413" s="5" t="s">
        <v>706</v>
      </c>
      <c r="D413" s="5" t="s">
        <v>120</v>
      </c>
      <c r="E413" s="7" t="s">
        <v>0</v>
      </c>
      <c r="F413" s="5"/>
      <c r="G413" s="23"/>
      <c r="H413" s="10">
        <v>319</v>
      </c>
      <c r="I413" s="10">
        <v>349</v>
      </c>
      <c r="J413" s="10">
        <v>267</v>
      </c>
      <c r="K413" s="10">
        <v>294</v>
      </c>
      <c r="L413" s="10">
        <v>427</v>
      </c>
      <c r="M413" s="10">
        <v>172</v>
      </c>
      <c r="N413" s="9" cm="1">
        <f t="array" ref="N413">SUM((H413:L413)/5)</f>
        <v>331.20000000000005</v>
      </c>
      <c r="O413" s="10">
        <v>340</v>
      </c>
      <c r="P413" s="23"/>
      <c r="Q413" s="30">
        <v>50.334000000000003</v>
      </c>
      <c r="R413" s="30">
        <v>63.256999999999998</v>
      </c>
      <c r="S413" s="30">
        <v>0.441</v>
      </c>
      <c r="T413" s="30">
        <v>0.441</v>
      </c>
      <c r="U413" s="30">
        <f t="shared" si="46"/>
        <v>136</v>
      </c>
      <c r="V413" s="30">
        <f t="shared" si="47"/>
        <v>204</v>
      </c>
      <c r="W413" s="23"/>
      <c r="X413" s="30" t="s">
        <v>301</v>
      </c>
      <c r="Y413" s="30" t="s">
        <v>306</v>
      </c>
      <c r="Z413" s="53">
        <f>SUM(27.34039+24.91384+25.23082)/3</f>
        <v>25.82835</v>
      </c>
      <c r="AA413" s="54">
        <f t="shared" si="52"/>
        <v>42.616777499999998</v>
      </c>
      <c r="AB413" s="23"/>
      <c r="AC413" s="4">
        <v>365</v>
      </c>
      <c r="AD413" s="32">
        <f t="shared" si="48"/>
        <v>115.7603</v>
      </c>
      <c r="AE413" s="32">
        <f t="shared" si="49"/>
        <v>126.64049999999999</v>
      </c>
      <c r="AF413" s="32">
        <f t="shared" si="50"/>
        <v>35.130000000000003</v>
      </c>
      <c r="AG413" s="32">
        <f t="shared" si="50"/>
        <v>86.94</v>
      </c>
      <c r="AH413" s="78"/>
      <c r="AI413" s="78"/>
      <c r="AJ413" s="55">
        <f t="shared" si="51"/>
        <v>364.4708</v>
      </c>
      <c r="AK413" s="32"/>
      <c r="AL413" s="33"/>
      <c r="AM413" s="23"/>
    </row>
    <row r="414" spans="1:39" ht="15.6" x14ac:dyDescent="0.3">
      <c r="A414" s="64"/>
      <c r="B414" s="64"/>
      <c r="C414" s="5" t="s">
        <v>706</v>
      </c>
      <c r="D414" s="5" t="s">
        <v>120</v>
      </c>
      <c r="E414" s="7" t="s">
        <v>0</v>
      </c>
      <c r="F414" s="5"/>
      <c r="G414" s="23"/>
      <c r="H414" s="10">
        <v>318</v>
      </c>
      <c r="I414" s="10">
        <v>262</v>
      </c>
      <c r="J414" s="10">
        <v>248</v>
      </c>
      <c r="K414" s="10">
        <v>310</v>
      </c>
      <c r="L414" s="10">
        <v>239</v>
      </c>
      <c r="M414" s="10">
        <v>309</v>
      </c>
      <c r="N414" s="9" cm="1">
        <f t="array" ref="N414">SUM((H414:L414)/5)</f>
        <v>275.39999999999998</v>
      </c>
      <c r="O414" s="10">
        <v>275</v>
      </c>
      <c r="P414" s="23"/>
      <c r="Q414" s="30">
        <v>49.828000000000003</v>
      </c>
      <c r="R414" s="30">
        <v>63.256999999999998</v>
      </c>
      <c r="S414" s="30">
        <v>0.441</v>
      </c>
      <c r="T414" s="30">
        <v>0.441</v>
      </c>
      <c r="U414" s="30">
        <f t="shared" si="46"/>
        <v>110</v>
      </c>
      <c r="V414" s="30">
        <f t="shared" si="47"/>
        <v>165</v>
      </c>
      <c r="W414" s="23"/>
      <c r="X414" s="30">
        <v>15.061999999999999</v>
      </c>
      <c r="Y414" s="30">
        <v>26.50583</v>
      </c>
      <c r="Z414" s="53">
        <v>26.50583</v>
      </c>
      <c r="AA414" s="54">
        <f t="shared" si="52"/>
        <v>43.734619500000001</v>
      </c>
      <c r="AB414" s="23"/>
      <c r="AC414" s="4">
        <v>365</v>
      </c>
      <c r="AD414" s="32">
        <f t="shared" si="48"/>
        <v>115.7603</v>
      </c>
      <c r="AE414" s="32">
        <f t="shared" si="49"/>
        <v>126.64049999999999</v>
      </c>
      <c r="AF414" s="32">
        <f t="shared" si="50"/>
        <v>29.16</v>
      </c>
      <c r="AG414" s="32">
        <f t="shared" si="50"/>
        <v>72.16</v>
      </c>
      <c r="AH414" s="78"/>
      <c r="AI414" s="78"/>
      <c r="AJ414" s="55">
        <f t="shared" si="51"/>
        <v>343.72080000000005</v>
      </c>
      <c r="AK414" s="32"/>
      <c r="AL414" s="33"/>
      <c r="AM414" s="23"/>
    </row>
    <row r="415" spans="1:39" ht="15.6" x14ac:dyDescent="0.3">
      <c r="A415" s="64"/>
      <c r="B415" s="64"/>
      <c r="C415" s="5" t="s">
        <v>483</v>
      </c>
      <c r="D415" s="5" t="s">
        <v>120</v>
      </c>
      <c r="E415" s="7" t="s">
        <v>0</v>
      </c>
      <c r="F415" s="5"/>
      <c r="G415" s="23"/>
      <c r="H415" s="10">
        <v>242</v>
      </c>
      <c r="I415" s="10">
        <v>391</v>
      </c>
      <c r="J415" s="10">
        <v>643</v>
      </c>
      <c r="K415" s="10">
        <v>1072</v>
      </c>
      <c r="L415" s="10">
        <v>1181</v>
      </c>
      <c r="M415" s="10">
        <v>927</v>
      </c>
      <c r="N415" s="9" cm="1">
        <f t="array" ref="N415">SUM((H415:L415)/5)</f>
        <v>705.8</v>
      </c>
      <c r="O415" s="10">
        <v>1100</v>
      </c>
      <c r="P415" s="23"/>
      <c r="Q415" s="30">
        <v>49.308</v>
      </c>
      <c r="R415" s="30">
        <v>72.016000000000005</v>
      </c>
      <c r="S415" s="30">
        <v>0.441</v>
      </c>
      <c r="T415" s="30">
        <v>0.441</v>
      </c>
      <c r="U415" s="30">
        <f t="shared" si="46"/>
        <v>440</v>
      </c>
      <c r="V415" s="30">
        <f t="shared" si="47"/>
        <v>660</v>
      </c>
      <c r="W415" s="23"/>
      <c r="X415" s="30">
        <v>15.868</v>
      </c>
      <c r="Y415" s="30">
        <v>27.082740000000001</v>
      </c>
      <c r="Z415" s="53">
        <v>27.082740000000001</v>
      </c>
      <c r="AA415" s="54">
        <f t="shared" si="52"/>
        <v>44.686520999999999</v>
      </c>
      <c r="AB415" s="23"/>
      <c r="AC415" s="4">
        <v>365</v>
      </c>
      <c r="AD415" s="32">
        <f t="shared" si="48"/>
        <v>131.7893</v>
      </c>
      <c r="AE415" s="32">
        <f t="shared" si="49"/>
        <v>144.17600000000002</v>
      </c>
      <c r="AF415" s="32">
        <f t="shared" si="50"/>
        <v>119.16</v>
      </c>
      <c r="AG415" s="32">
        <f t="shared" si="50"/>
        <v>294.93</v>
      </c>
      <c r="AH415" s="78"/>
      <c r="AI415" s="78"/>
      <c r="AJ415" s="55">
        <f t="shared" si="51"/>
        <v>690.05529999999999</v>
      </c>
      <c r="AK415" s="32"/>
      <c r="AL415" s="33"/>
      <c r="AM415" s="23"/>
    </row>
    <row r="416" spans="1:39" ht="15.6" x14ac:dyDescent="0.3">
      <c r="A416" s="64"/>
      <c r="B416" s="64"/>
      <c r="C416" s="5" t="s">
        <v>629</v>
      </c>
      <c r="D416" s="5" t="s">
        <v>120</v>
      </c>
      <c r="E416" s="7" t="s">
        <v>0</v>
      </c>
      <c r="F416" s="5"/>
      <c r="G416" s="23"/>
      <c r="H416" s="10">
        <v>328</v>
      </c>
      <c r="I416" s="10">
        <v>317</v>
      </c>
      <c r="J416" s="10">
        <v>286</v>
      </c>
      <c r="K416" s="10">
        <v>303</v>
      </c>
      <c r="L416" s="10">
        <v>152</v>
      </c>
      <c r="M416" s="10">
        <v>162</v>
      </c>
      <c r="N416" s="9" cm="1">
        <f t="array" ref="N416">SUM((H416:L416)/5)</f>
        <v>277.2</v>
      </c>
      <c r="O416" s="10">
        <v>300</v>
      </c>
      <c r="P416" s="23"/>
      <c r="Q416" s="30">
        <v>49.828000000000003</v>
      </c>
      <c r="R416" s="30">
        <v>63.256999999999998</v>
      </c>
      <c r="S416" s="30">
        <v>0.441</v>
      </c>
      <c r="T416" s="30">
        <v>0.441</v>
      </c>
      <c r="U416" s="30">
        <f t="shared" si="46"/>
        <v>120</v>
      </c>
      <c r="V416" s="30">
        <f t="shared" si="47"/>
        <v>180</v>
      </c>
      <c r="W416" s="23"/>
      <c r="X416" s="30">
        <v>15.061999999999999</v>
      </c>
      <c r="Y416" s="30">
        <v>26.506070000000001</v>
      </c>
      <c r="Z416" s="53">
        <v>26.506070000000001</v>
      </c>
      <c r="AA416" s="54">
        <f t="shared" si="52"/>
        <v>43.735015500000003</v>
      </c>
      <c r="AB416" s="23"/>
      <c r="AC416" s="4">
        <v>365</v>
      </c>
      <c r="AD416" s="32">
        <f t="shared" si="48"/>
        <v>115.7603</v>
      </c>
      <c r="AE416" s="32">
        <f t="shared" si="49"/>
        <v>126.64049999999999</v>
      </c>
      <c r="AF416" s="32">
        <f t="shared" si="50"/>
        <v>31.81</v>
      </c>
      <c r="AG416" s="32">
        <f t="shared" si="50"/>
        <v>78.72</v>
      </c>
      <c r="AH416" s="78"/>
      <c r="AI416" s="78"/>
      <c r="AJ416" s="55">
        <f t="shared" si="51"/>
        <v>352.93079999999998</v>
      </c>
      <c r="AK416" s="32"/>
      <c r="AL416" s="33"/>
      <c r="AM416" s="23"/>
    </row>
    <row r="417" spans="1:39" ht="15.6" x14ac:dyDescent="0.3">
      <c r="A417" s="64"/>
      <c r="B417" s="64"/>
      <c r="C417" s="5" t="s">
        <v>629</v>
      </c>
      <c r="D417" s="5" t="s">
        <v>120</v>
      </c>
      <c r="E417" s="7" t="s">
        <v>0</v>
      </c>
      <c r="F417" s="5"/>
      <c r="G417" s="23"/>
      <c r="H417" s="10">
        <v>380</v>
      </c>
      <c r="I417" s="10">
        <v>360</v>
      </c>
      <c r="J417" s="10">
        <v>312</v>
      </c>
      <c r="K417" s="10">
        <v>368</v>
      </c>
      <c r="L417" s="10">
        <v>322</v>
      </c>
      <c r="M417" s="10">
        <v>174</v>
      </c>
      <c r="N417" s="9" cm="1">
        <f t="array" ref="N417">SUM((H417:L417)/5)</f>
        <v>348.4</v>
      </c>
      <c r="O417" s="10">
        <v>340</v>
      </c>
      <c r="P417" s="23"/>
      <c r="Q417" s="30">
        <v>49.828000000000003</v>
      </c>
      <c r="R417" s="30">
        <v>63.256999999999998</v>
      </c>
      <c r="S417" s="30">
        <v>0.441</v>
      </c>
      <c r="T417" s="30">
        <v>0.441</v>
      </c>
      <c r="U417" s="30">
        <f t="shared" si="46"/>
        <v>136</v>
      </c>
      <c r="V417" s="30">
        <f t="shared" si="47"/>
        <v>204</v>
      </c>
      <c r="W417" s="23"/>
      <c r="X417" s="30">
        <v>15.061999999999999</v>
      </c>
      <c r="Y417" s="30">
        <v>26.50704</v>
      </c>
      <c r="Z417" s="53">
        <v>26.50704</v>
      </c>
      <c r="AA417" s="54">
        <f t="shared" si="52"/>
        <v>43.736615999999998</v>
      </c>
      <c r="AB417" s="23"/>
      <c r="AC417" s="4">
        <v>365</v>
      </c>
      <c r="AD417" s="32">
        <f t="shared" si="48"/>
        <v>115.7603</v>
      </c>
      <c r="AE417" s="32">
        <f t="shared" si="49"/>
        <v>126.64049999999999</v>
      </c>
      <c r="AF417" s="32">
        <f t="shared" si="50"/>
        <v>36.049999999999997</v>
      </c>
      <c r="AG417" s="32">
        <f t="shared" si="50"/>
        <v>89.22</v>
      </c>
      <c r="AH417" s="78"/>
      <c r="AI417" s="78"/>
      <c r="AJ417" s="55">
        <f t="shared" si="51"/>
        <v>367.67079999999999</v>
      </c>
      <c r="AK417" s="32"/>
      <c r="AL417" s="33"/>
      <c r="AM417" s="23"/>
    </row>
    <row r="418" spans="1:39" ht="30" x14ac:dyDescent="0.3">
      <c r="A418" s="64"/>
      <c r="B418" s="64"/>
      <c r="C418" s="5" t="s">
        <v>484</v>
      </c>
      <c r="D418" s="5" t="s">
        <v>120</v>
      </c>
      <c r="E418" s="7" t="s">
        <v>0</v>
      </c>
      <c r="F418" s="5"/>
      <c r="G418" s="23"/>
      <c r="H418" s="10">
        <v>1657</v>
      </c>
      <c r="I418" s="10">
        <v>1578</v>
      </c>
      <c r="J418" s="10">
        <v>1230</v>
      </c>
      <c r="K418" s="10">
        <v>1107</v>
      </c>
      <c r="L418" s="10">
        <v>928</v>
      </c>
      <c r="M418" s="10">
        <v>399</v>
      </c>
      <c r="N418" s="9" cm="1">
        <f t="array" ref="N418">SUM((H418:L418)/5)</f>
        <v>1300</v>
      </c>
      <c r="O418" s="10">
        <v>1300</v>
      </c>
      <c r="P418" s="23"/>
      <c r="Q418" s="30">
        <v>49.325000000000003</v>
      </c>
      <c r="R418" s="30">
        <v>72.016000000000005</v>
      </c>
      <c r="S418" s="30">
        <v>0.441</v>
      </c>
      <c r="T418" s="30">
        <v>0.441</v>
      </c>
      <c r="U418" s="30">
        <f t="shared" si="46"/>
        <v>520</v>
      </c>
      <c r="V418" s="30">
        <f t="shared" si="47"/>
        <v>780</v>
      </c>
      <c r="W418" s="23"/>
      <c r="X418" s="30" t="s">
        <v>307</v>
      </c>
      <c r="Y418" s="30" t="s">
        <v>308</v>
      </c>
      <c r="Z418" s="53">
        <f>SUM(27.16224+25.03809)/2</f>
        <v>26.100165000000001</v>
      </c>
      <c r="AA418" s="54">
        <f t="shared" si="52"/>
        <v>43.065272250000007</v>
      </c>
      <c r="AB418" s="23"/>
      <c r="AC418" s="4">
        <v>365</v>
      </c>
      <c r="AD418" s="32">
        <f t="shared" si="48"/>
        <v>131.7893</v>
      </c>
      <c r="AE418" s="32">
        <f t="shared" si="49"/>
        <v>144.17600000000002</v>
      </c>
      <c r="AF418" s="32">
        <f t="shared" si="50"/>
        <v>135.72</v>
      </c>
      <c r="AG418" s="32">
        <f t="shared" si="50"/>
        <v>335.91</v>
      </c>
      <c r="AH418" s="78"/>
      <c r="AI418" s="78"/>
      <c r="AJ418" s="55">
        <f t="shared" si="51"/>
        <v>747.59529999999995</v>
      </c>
      <c r="AK418" s="32"/>
      <c r="AL418" s="33"/>
      <c r="AM418" s="23"/>
    </row>
    <row r="419" spans="1:39" ht="45" x14ac:dyDescent="0.3">
      <c r="A419" s="64"/>
      <c r="B419" s="64"/>
      <c r="C419" s="5" t="s">
        <v>484</v>
      </c>
      <c r="D419" s="5" t="s">
        <v>120</v>
      </c>
      <c r="E419" s="7" t="s">
        <v>0</v>
      </c>
      <c r="F419" s="5"/>
      <c r="G419" s="23"/>
      <c r="H419" s="10">
        <v>657</v>
      </c>
      <c r="I419" s="10">
        <v>502</v>
      </c>
      <c r="J419" s="10">
        <v>511</v>
      </c>
      <c r="K419" s="10">
        <v>492</v>
      </c>
      <c r="L419" s="10">
        <v>503</v>
      </c>
      <c r="M419" s="10">
        <v>301</v>
      </c>
      <c r="N419" s="9" cm="1">
        <f t="array" ref="N419">SUM((H419:L419)/5)</f>
        <v>533</v>
      </c>
      <c r="O419" s="10">
        <v>530</v>
      </c>
      <c r="P419" s="23"/>
      <c r="Q419" s="30">
        <v>50.334000000000003</v>
      </c>
      <c r="R419" s="30">
        <v>63.256999999999998</v>
      </c>
      <c r="S419" s="30">
        <v>0.441</v>
      </c>
      <c r="T419" s="30">
        <v>0.441</v>
      </c>
      <c r="U419" s="30">
        <f t="shared" si="46"/>
        <v>212</v>
      </c>
      <c r="V419" s="30">
        <f t="shared" si="47"/>
        <v>318</v>
      </c>
      <c r="W419" s="23"/>
      <c r="X419" s="30" t="s">
        <v>304</v>
      </c>
      <c r="Y419" s="30" t="s">
        <v>309</v>
      </c>
      <c r="Z419" s="53">
        <f>SUM(27.35252+24.92125+25.29341)/3</f>
        <v>25.855726666666669</v>
      </c>
      <c r="AA419" s="54">
        <f t="shared" si="52"/>
        <v>42.661949000000007</v>
      </c>
      <c r="AB419" s="23"/>
      <c r="AC419" s="4">
        <v>365</v>
      </c>
      <c r="AD419" s="32">
        <f t="shared" si="48"/>
        <v>115.7603</v>
      </c>
      <c r="AE419" s="32">
        <f t="shared" si="49"/>
        <v>126.64049999999999</v>
      </c>
      <c r="AF419" s="32">
        <f t="shared" si="50"/>
        <v>54.81</v>
      </c>
      <c r="AG419" s="32">
        <f t="shared" si="50"/>
        <v>135.66</v>
      </c>
      <c r="AH419" s="78"/>
      <c r="AI419" s="78"/>
      <c r="AJ419" s="55">
        <f t="shared" si="51"/>
        <v>432.87080000000003</v>
      </c>
      <c r="AK419" s="32"/>
      <c r="AL419" s="33"/>
      <c r="AM419" s="23"/>
    </row>
    <row r="420" spans="1:39" ht="45" x14ac:dyDescent="0.3">
      <c r="A420" s="64"/>
      <c r="B420" s="64"/>
      <c r="C420" s="5" t="s">
        <v>484</v>
      </c>
      <c r="D420" s="5" t="s">
        <v>120</v>
      </c>
      <c r="E420" s="7" t="s">
        <v>0</v>
      </c>
      <c r="F420" s="5"/>
      <c r="G420" s="23"/>
      <c r="H420" s="10">
        <v>1490</v>
      </c>
      <c r="I420" s="10">
        <v>1169</v>
      </c>
      <c r="J420" s="10">
        <v>1184</v>
      </c>
      <c r="K420" s="10">
        <v>1064</v>
      </c>
      <c r="L420" s="10">
        <v>1350</v>
      </c>
      <c r="M420" s="10">
        <v>541</v>
      </c>
      <c r="N420" s="9" cm="1">
        <f t="array" ref="N420">SUM((H420:L420)/5)</f>
        <v>1251.3999999999999</v>
      </c>
      <c r="O420" s="10">
        <v>1250</v>
      </c>
      <c r="P420" s="23"/>
      <c r="Q420" s="30">
        <v>50.334000000000003</v>
      </c>
      <c r="R420" s="30">
        <v>63.256999999999998</v>
      </c>
      <c r="S420" s="30">
        <v>0.441</v>
      </c>
      <c r="T420" s="30">
        <v>0.441</v>
      </c>
      <c r="U420" s="30">
        <f t="shared" si="46"/>
        <v>500</v>
      </c>
      <c r="V420" s="30">
        <f t="shared" si="47"/>
        <v>750</v>
      </c>
      <c r="W420" s="23"/>
      <c r="X420" s="30" t="s">
        <v>304</v>
      </c>
      <c r="Y420" s="30" t="s">
        <v>310</v>
      </c>
      <c r="Z420" s="53">
        <f>SUM(27.47435+25.04184+25.41704)/3</f>
        <v>25.977743333333336</v>
      </c>
      <c r="AA420" s="54">
        <f t="shared" si="52"/>
        <v>42.863276500000005</v>
      </c>
      <c r="AB420" s="23"/>
      <c r="AC420" s="4">
        <v>365</v>
      </c>
      <c r="AD420" s="32">
        <f t="shared" si="48"/>
        <v>115.7603</v>
      </c>
      <c r="AE420" s="32">
        <f t="shared" si="49"/>
        <v>126.64049999999999</v>
      </c>
      <c r="AF420" s="32">
        <f t="shared" si="50"/>
        <v>129.88999999999999</v>
      </c>
      <c r="AG420" s="32">
        <f t="shared" si="50"/>
        <v>321.47000000000003</v>
      </c>
      <c r="AH420" s="78"/>
      <c r="AI420" s="78"/>
      <c r="AJ420" s="55">
        <f t="shared" si="51"/>
        <v>693.76080000000002</v>
      </c>
      <c r="AK420" s="32"/>
      <c r="AL420" s="33"/>
      <c r="AM420" s="23"/>
    </row>
    <row r="421" spans="1:39" ht="30" x14ac:dyDescent="0.3">
      <c r="A421" s="64"/>
      <c r="B421" s="64"/>
      <c r="C421" s="5" t="s">
        <v>485</v>
      </c>
      <c r="D421" s="5" t="s">
        <v>120</v>
      </c>
      <c r="E421" s="7" t="s">
        <v>0</v>
      </c>
      <c r="F421" s="5"/>
      <c r="G421" s="23"/>
      <c r="H421" s="10">
        <v>419</v>
      </c>
      <c r="I421" s="10">
        <v>823</v>
      </c>
      <c r="J421" s="10">
        <v>854</v>
      </c>
      <c r="K421" s="10">
        <v>1044</v>
      </c>
      <c r="L421" s="10">
        <v>1281</v>
      </c>
      <c r="M421" s="10">
        <v>3625</v>
      </c>
      <c r="N421" s="9" cm="1">
        <f t="array" ref="N421">SUM((H421:L421)/5)</f>
        <v>884.2</v>
      </c>
      <c r="O421" s="10">
        <v>1100</v>
      </c>
      <c r="P421" s="23"/>
      <c r="Q421" s="30">
        <v>50.334000000000003</v>
      </c>
      <c r="R421" s="30">
        <v>63.256999999999998</v>
      </c>
      <c r="S421" s="30">
        <v>0.441</v>
      </c>
      <c r="T421" s="30">
        <v>0.441</v>
      </c>
      <c r="U421" s="30">
        <f t="shared" si="46"/>
        <v>440</v>
      </c>
      <c r="V421" s="30">
        <f t="shared" si="47"/>
        <v>660</v>
      </c>
      <c r="W421" s="23"/>
      <c r="X421" s="30" t="s">
        <v>311</v>
      </c>
      <c r="Y421" s="30" t="s">
        <v>312</v>
      </c>
      <c r="Z421" s="53">
        <f>SUM(26.75706+25.27578)/2</f>
        <v>26.01642</v>
      </c>
      <c r="AA421" s="54">
        <f t="shared" si="52"/>
        <v>42.927092999999999</v>
      </c>
      <c r="AB421" s="23"/>
      <c r="AC421" s="4">
        <v>365</v>
      </c>
      <c r="AD421" s="32">
        <f t="shared" si="48"/>
        <v>115.7603</v>
      </c>
      <c r="AE421" s="32">
        <f t="shared" si="49"/>
        <v>126.64049999999999</v>
      </c>
      <c r="AF421" s="32">
        <f t="shared" si="50"/>
        <v>114.47</v>
      </c>
      <c r="AG421" s="32">
        <f t="shared" si="50"/>
        <v>283.32</v>
      </c>
      <c r="AH421" s="78"/>
      <c r="AI421" s="78"/>
      <c r="AJ421" s="55">
        <f t="shared" si="51"/>
        <v>640.19080000000008</v>
      </c>
      <c r="AK421" s="32"/>
      <c r="AL421" s="33"/>
      <c r="AM421" s="23"/>
    </row>
    <row r="422" spans="1:39" ht="45" x14ac:dyDescent="0.3">
      <c r="A422" s="64"/>
      <c r="B422" s="64"/>
      <c r="C422" s="72" t="s">
        <v>486</v>
      </c>
      <c r="D422" s="5" t="s">
        <v>120</v>
      </c>
      <c r="E422" s="7" t="s">
        <v>0</v>
      </c>
      <c r="F422" s="5"/>
      <c r="G422" s="23"/>
      <c r="H422" s="10">
        <v>150027</v>
      </c>
      <c r="I422" s="10">
        <v>64949</v>
      </c>
      <c r="J422" s="10">
        <v>148887</v>
      </c>
      <c r="K422" s="10">
        <v>106437</v>
      </c>
      <c r="L422" s="10">
        <v>131616</v>
      </c>
      <c r="M422" s="10">
        <v>70713</v>
      </c>
      <c r="N422" s="9" cm="1">
        <f t="array" ref="N422">SUM((H422:L422)/5)</f>
        <v>120383.2</v>
      </c>
      <c r="O422" s="10">
        <v>120000</v>
      </c>
      <c r="P422" s="23"/>
      <c r="Q422" s="30">
        <v>132.286</v>
      </c>
      <c r="R422" s="30">
        <v>303.38200000000001</v>
      </c>
      <c r="S422" s="30">
        <v>0.441</v>
      </c>
      <c r="T422" s="30">
        <v>0.441</v>
      </c>
      <c r="U422" s="30">
        <f t="shared" si="46"/>
        <v>48000</v>
      </c>
      <c r="V422" s="30">
        <f t="shared" si="47"/>
        <v>72000</v>
      </c>
      <c r="W422" s="23"/>
      <c r="X422" s="30" t="s">
        <v>313</v>
      </c>
      <c r="Y422" s="30" t="s">
        <v>314</v>
      </c>
      <c r="Z422" s="53">
        <f>SUM(27.32663+24.89706+25.21619)/3</f>
        <v>25.813293333333334</v>
      </c>
      <c r="AA422" s="54">
        <f t="shared" si="52"/>
        <v>42.591934000000002</v>
      </c>
      <c r="AB422" s="23"/>
      <c r="AC422" s="4">
        <v>365</v>
      </c>
      <c r="AD422" s="32">
        <f t="shared" si="48"/>
        <v>555.18910000000005</v>
      </c>
      <c r="AE422" s="32">
        <f t="shared" si="49"/>
        <v>607.37080000000003</v>
      </c>
      <c r="AF422" s="32">
        <f t="shared" si="50"/>
        <v>12390.38</v>
      </c>
      <c r="AG422" s="32">
        <f t="shared" si="50"/>
        <v>30666.19</v>
      </c>
      <c r="AH422" s="78"/>
      <c r="AI422" s="78"/>
      <c r="AJ422" s="55">
        <f t="shared" si="51"/>
        <v>44219.1299</v>
      </c>
      <c r="AK422" s="32"/>
      <c r="AL422" s="33"/>
      <c r="AM422" s="23"/>
    </row>
    <row r="423" spans="1:39" ht="45" x14ac:dyDescent="0.3">
      <c r="A423" s="64"/>
      <c r="B423" s="64"/>
      <c r="C423" s="5" t="s">
        <v>707</v>
      </c>
      <c r="D423" s="5" t="s">
        <v>120</v>
      </c>
      <c r="E423" s="7" t="s">
        <v>0</v>
      </c>
      <c r="F423" s="5"/>
      <c r="G423" s="23"/>
      <c r="H423" s="10">
        <v>5195</v>
      </c>
      <c r="I423" s="10">
        <v>5115</v>
      </c>
      <c r="J423" s="10">
        <v>4992</v>
      </c>
      <c r="K423" s="10">
        <v>5116</v>
      </c>
      <c r="L423" s="10">
        <v>3783</v>
      </c>
      <c r="M423" s="10">
        <v>2557</v>
      </c>
      <c r="N423" s="9" cm="1">
        <f t="array" ref="N423">SUM((H423:L423)/5)</f>
        <v>4840.2000000000007</v>
      </c>
      <c r="O423" s="10">
        <v>4840</v>
      </c>
      <c r="P423" s="23"/>
      <c r="Q423" s="30">
        <v>59.098999999999997</v>
      </c>
      <c r="R423" s="30">
        <v>88.853999999999999</v>
      </c>
      <c r="S423" s="30">
        <v>0.441</v>
      </c>
      <c r="T423" s="30">
        <v>0.441</v>
      </c>
      <c r="U423" s="30">
        <f t="shared" si="46"/>
        <v>1936</v>
      </c>
      <c r="V423" s="30">
        <f t="shared" si="47"/>
        <v>2904</v>
      </c>
      <c r="W423" s="23"/>
      <c r="X423" s="30" t="s">
        <v>315</v>
      </c>
      <c r="Y423" s="30" t="s">
        <v>316</v>
      </c>
      <c r="Z423" s="53">
        <f>SUM(27.48403+25.05439+25.37349)/3</f>
        <v>25.970636666666667</v>
      </c>
      <c r="AA423" s="54">
        <f t="shared" si="52"/>
        <v>42.851550500000002</v>
      </c>
      <c r="AB423" s="23"/>
      <c r="AC423" s="4">
        <v>365</v>
      </c>
      <c r="AD423" s="32">
        <f t="shared" si="48"/>
        <v>162.6028</v>
      </c>
      <c r="AE423" s="32">
        <f t="shared" si="49"/>
        <v>177.88569999999999</v>
      </c>
      <c r="AF423" s="32">
        <f t="shared" si="50"/>
        <v>502.79</v>
      </c>
      <c r="AG423" s="32">
        <f t="shared" si="50"/>
        <v>1244.4100000000001</v>
      </c>
      <c r="AH423" s="78"/>
      <c r="AI423" s="78"/>
      <c r="AJ423" s="55">
        <f t="shared" si="51"/>
        <v>2087.6885000000002</v>
      </c>
      <c r="AK423" s="32"/>
      <c r="AL423" s="33"/>
      <c r="AM423" s="23"/>
    </row>
    <row r="424" spans="1:39" ht="45" x14ac:dyDescent="0.3">
      <c r="A424" s="64"/>
      <c r="B424" s="64"/>
      <c r="C424" s="5" t="s">
        <v>663</v>
      </c>
      <c r="D424" s="5" t="s">
        <v>120</v>
      </c>
      <c r="E424" s="7" t="s">
        <v>0</v>
      </c>
      <c r="F424" s="5"/>
      <c r="G424" s="23"/>
      <c r="H424" s="10">
        <v>4101</v>
      </c>
      <c r="I424" s="10">
        <v>4094</v>
      </c>
      <c r="J424" s="10">
        <v>4030</v>
      </c>
      <c r="K424" s="10">
        <v>4039</v>
      </c>
      <c r="L424" s="10">
        <v>4031</v>
      </c>
      <c r="M424" s="10">
        <v>1982</v>
      </c>
      <c r="N424" s="9" cm="1">
        <f t="array" ref="N424">SUM((H424:L424)/5)</f>
        <v>4059</v>
      </c>
      <c r="O424" s="10">
        <v>4060</v>
      </c>
      <c r="P424" s="23"/>
      <c r="Q424" s="30">
        <v>59.098999999999997</v>
      </c>
      <c r="R424" s="30">
        <v>88.853999999999999</v>
      </c>
      <c r="S424" s="30">
        <v>0.441</v>
      </c>
      <c r="T424" s="30">
        <v>0.441</v>
      </c>
      <c r="U424" s="30">
        <f t="shared" si="46"/>
        <v>1624</v>
      </c>
      <c r="V424" s="30">
        <f t="shared" si="47"/>
        <v>2436</v>
      </c>
      <c r="W424" s="23"/>
      <c r="X424" s="30" t="s">
        <v>315</v>
      </c>
      <c r="Y424" s="30" t="s">
        <v>317</v>
      </c>
      <c r="Z424" s="53">
        <f>SUM(27.47909+25.04972+25.36893)/3</f>
        <v>25.965913333333333</v>
      </c>
      <c r="AA424" s="54">
        <f t="shared" si="52"/>
        <v>42.843756999999997</v>
      </c>
      <c r="AB424" s="23"/>
      <c r="AC424" s="4">
        <v>365</v>
      </c>
      <c r="AD424" s="32">
        <f t="shared" si="48"/>
        <v>162.6028</v>
      </c>
      <c r="AE424" s="32">
        <f t="shared" si="49"/>
        <v>177.88569999999999</v>
      </c>
      <c r="AF424" s="32">
        <f t="shared" si="50"/>
        <v>421.69</v>
      </c>
      <c r="AG424" s="32">
        <f t="shared" si="50"/>
        <v>1043.67</v>
      </c>
      <c r="AH424" s="78"/>
      <c r="AI424" s="78"/>
      <c r="AJ424" s="55">
        <f t="shared" si="51"/>
        <v>1805.8485000000001</v>
      </c>
      <c r="AK424" s="32"/>
      <c r="AL424" s="33"/>
      <c r="AM424" s="23"/>
    </row>
    <row r="425" spans="1:39" ht="45" x14ac:dyDescent="0.3">
      <c r="A425" s="64"/>
      <c r="B425" s="64"/>
      <c r="C425" s="5" t="s">
        <v>662</v>
      </c>
      <c r="D425" s="5" t="s">
        <v>120</v>
      </c>
      <c r="E425" s="7" t="s">
        <v>0</v>
      </c>
      <c r="F425" s="5"/>
      <c r="G425" s="23"/>
      <c r="H425" s="10">
        <v>5436</v>
      </c>
      <c r="I425" s="10">
        <v>5657</v>
      </c>
      <c r="J425" s="10">
        <v>5516</v>
      </c>
      <c r="K425" s="10">
        <v>5582</v>
      </c>
      <c r="L425" s="10">
        <v>4132</v>
      </c>
      <c r="M425" s="10">
        <v>2712</v>
      </c>
      <c r="N425" s="9" cm="1">
        <f t="array" ref="N425">SUM((H425:L425)/5)</f>
        <v>5264.6</v>
      </c>
      <c r="O425" s="10">
        <v>5300</v>
      </c>
      <c r="P425" s="23"/>
      <c r="Q425" s="30">
        <v>59.098999999999997</v>
      </c>
      <c r="R425" s="30">
        <v>88.853999999999999</v>
      </c>
      <c r="S425" s="30">
        <v>0.441</v>
      </c>
      <c r="T425" s="30">
        <v>0.441</v>
      </c>
      <c r="U425" s="30">
        <f t="shared" si="46"/>
        <v>2120</v>
      </c>
      <c r="V425" s="30">
        <f t="shared" si="47"/>
        <v>3180</v>
      </c>
      <c r="W425" s="23"/>
      <c r="X425" s="30" t="s">
        <v>315</v>
      </c>
      <c r="Y425" s="30" t="s">
        <v>318</v>
      </c>
      <c r="Z425" s="53">
        <f>SUM(27.48184+25.05241+25.3717)/3</f>
        <v>25.96865</v>
      </c>
      <c r="AA425" s="54">
        <f t="shared" si="52"/>
        <v>42.8482725</v>
      </c>
      <c r="AB425" s="23"/>
      <c r="AC425" s="4">
        <v>365</v>
      </c>
      <c r="AD425" s="32">
        <f t="shared" si="48"/>
        <v>162.6028</v>
      </c>
      <c r="AE425" s="32">
        <f t="shared" si="49"/>
        <v>177.88569999999999</v>
      </c>
      <c r="AF425" s="32">
        <f t="shared" si="50"/>
        <v>550.54</v>
      </c>
      <c r="AG425" s="32">
        <f t="shared" si="50"/>
        <v>1362.58</v>
      </c>
      <c r="AH425" s="78"/>
      <c r="AI425" s="78"/>
      <c r="AJ425" s="55">
        <f t="shared" si="51"/>
        <v>2253.6084999999998</v>
      </c>
      <c r="AK425" s="32"/>
      <c r="AL425" s="33"/>
      <c r="AM425" s="23"/>
    </row>
    <row r="426" spans="1:39" ht="45" x14ac:dyDescent="0.3">
      <c r="A426" s="64"/>
      <c r="B426" s="64"/>
      <c r="C426" s="5" t="s">
        <v>683</v>
      </c>
      <c r="D426" s="5" t="s">
        <v>120</v>
      </c>
      <c r="E426" s="7" t="s">
        <v>0</v>
      </c>
      <c r="F426" s="5"/>
      <c r="G426" s="23"/>
      <c r="H426" s="10">
        <v>6569</v>
      </c>
      <c r="I426" s="10">
        <v>6208</v>
      </c>
      <c r="J426" s="10">
        <v>7319</v>
      </c>
      <c r="K426" s="10">
        <v>8178</v>
      </c>
      <c r="L426" s="10">
        <v>5443</v>
      </c>
      <c r="M426" s="10">
        <v>3381</v>
      </c>
      <c r="N426" s="9" cm="1">
        <f t="array" ref="N426">SUM((H426:L426)/5)</f>
        <v>6743.4</v>
      </c>
      <c r="O426" s="10">
        <v>6800</v>
      </c>
      <c r="P426" s="23"/>
      <c r="Q426" s="30">
        <v>59.098999999999997</v>
      </c>
      <c r="R426" s="30">
        <v>88.853999999999999</v>
      </c>
      <c r="S426" s="30">
        <v>0.441</v>
      </c>
      <c r="T426" s="30">
        <v>0.441</v>
      </c>
      <c r="U426" s="30">
        <f t="shared" si="46"/>
        <v>2720</v>
      </c>
      <c r="V426" s="30">
        <f t="shared" si="47"/>
        <v>4080</v>
      </c>
      <c r="W426" s="23"/>
      <c r="X426" s="30" t="s">
        <v>313</v>
      </c>
      <c r="Y426" s="30" t="s">
        <v>319</v>
      </c>
      <c r="Z426" s="53">
        <f>SUM(27.47283+25.04344+25.36276)/3</f>
        <v>25.959676666666667</v>
      </c>
      <c r="AA426" s="54">
        <f t="shared" si="52"/>
        <v>42.8334665</v>
      </c>
      <c r="AB426" s="23"/>
      <c r="AC426" s="4">
        <v>365</v>
      </c>
      <c r="AD426" s="32">
        <f t="shared" si="48"/>
        <v>162.6028</v>
      </c>
      <c r="AE426" s="32">
        <f t="shared" si="49"/>
        <v>177.88569999999999</v>
      </c>
      <c r="AF426" s="32">
        <f t="shared" si="50"/>
        <v>706.1</v>
      </c>
      <c r="AG426" s="32">
        <f t="shared" si="50"/>
        <v>1747.61</v>
      </c>
      <c r="AH426" s="78"/>
      <c r="AI426" s="78"/>
      <c r="AJ426" s="55">
        <f t="shared" si="51"/>
        <v>2794.1985</v>
      </c>
      <c r="AK426" s="32"/>
      <c r="AL426" s="33"/>
      <c r="AM426" s="23"/>
    </row>
    <row r="427" spans="1:39" ht="45" x14ac:dyDescent="0.3">
      <c r="A427" s="64"/>
      <c r="B427" s="64"/>
      <c r="C427" s="5" t="s">
        <v>663</v>
      </c>
      <c r="D427" s="5" t="s">
        <v>120</v>
      </c>
      <c r="E427" s="7" t="s">
        <v>0</v>
      </c>
      <c r="F427" s="5"/>
      <c r="G427" s="23"/>
      <c r="H427" s="10">
        <v>5363</v>
      </c>
      <c r="I427" s="10">
        <v>5542</v>
      </c>
      <c r="J427" s="10">
        <v>5680</v>
      </c>
      <c r="K427" s="10">
        <v>5628</v>
      </c>
      <c r="L427" s="10">
        <v>4128</v>
      </c>
      <c r="M427" s="10">
        <v>2916</v>
      </c>
      <c r="N427" s="9" cm="1">
        <f t="array" ref="N427">SUM((H427:L427)/5)</f>
        <v>5268.2000000000007</v>
      </c>
      <c r="O427" s="10">
        <v>5300</v>
      </c>
      <c r="P427" s="23"/>
      <c r="Q427" s="30">
        <v>59.098999999999997</v>
      </c>
      <c r="R427" s="30">
        <v>88.853999999999999</v>
      </c>
      <c r="S427" s="30">
        <v>0.441</v>
      </c>
      <c r="T427" s="30">
        <v>0.441</v>
      </c>
      <c r="U427" s="30">
        <f t="shared" si="46"/>
        <v>2120</v>
      </c>
      <c r="V427" s="30">
        <f t="shared" si="47"/>
        <v>3180</v>
      </c>
      <c r="W427" s="23"/>
      <c r="X427" s="30" t="s">
        <v>320</v>
      </c>
      <c r="Y427" s="30" t="s">
        <v>321</v>
      </c>
      <c r="Z427" s="53">
        <f>SUM(27.48517+25.05569+25.37478)/3</f>
        <v>25.971879999999999</v>
      </c>
      <c r="AA427" s="54">
        <f t="shared" si="52"/>
        <v>42.853601999999995</v>
      </c>
      <c r="AB427" s="23"/>
      <c r="AC427" s="4">
        <v>365</v>
      </c>
      <c r="AD427" s="32">
        <f t="shared" si="48"/>
        <v>162.6028</v>
      </c>
      <c r="AE427" s="32">
        <f t="shared" si="49"/>
        <v>177.88569999999999</v>
      </c>
      <c r="AF427" s="32">
        <f t="shared" si="50"/>
        <v>550.6</v>
      </c>
      <c r="AG427" s="32">
        <f t="shared" si="50"/>
        <v>1362.74</v>
      </c>
      <c r="AH427" s="78"/>
      <c r="AI427" s="78"/>
      <c r="AJ427" s="55">
        <f t="shared" si="51"/>
        <v>2253.8285000000001</v>
      </c>
      <c r="AK427" s="32"/>
      <c r="AL427" s="33"/>
      <c r="AM427" s="23"/>
    </row>
    <row r="428" spans="1:39" ht="45" x14ac:dyDescent="0.3">
      <c r="A428" s="64"/>
      <c r="B428" s="64"/>
      <c r="C428" s="5" t="s">
        <v>683</v>
      </c>
      <c r="D428" s="5" t="s">
        <v>120</v>
      </c>
      <c r="E428" s="7" t="s">
        <v>0</v>
      </c>
      <c r="F428" s="5"/>
      <c r="G428" s="23"/>
      <c r="H428" s="10">
        <v>5943</v>
      </c>
      <c r="I428" s="10">
        <v>6073</v>
      </c>
      <c r="J428" s="10">
        <v>5866</v>
      </c>
      <c r="K428" s="10">
        <v>5185</v>
      </c>
      <c r="L428" s="10">
        <v>3920</v>
      </c>
      <c r="M428" s="10">
        <v>2651</v>
      </c>
      <c r="N428" s="9" cm="1">
        <f t="array" ref="N428">SUM((H428:L428)/5)</f>
        <v>5397.4</v>
      </c>
      <c r="O428" s="10">
        <v>5390</v>
      </c>
      <c r="P428" s="23"/>
      <c r="Q428" s="30">
        <v>59.098999999999997</v>
      </c>
      <c r="R428" s="30">
        <v>88.853999999999999</v>
      </c>
      <c r="S428" s="30">
        <v>0.441</v>
      </c>
      <c r="T428" s="30">
        <v>0.441</v>
      </c>
      <c r="U428" s="30">
        <f t="shared" si="46"/>
        <v>2156</v>
      </c>
      <c r="V428" s="30">
        <f t="shared" si="47"/>
        <v>3234</v>
      </c>
      <c r="W428" s="23"/>
      <c r="X428" s="30" t="s">
        <v>322</v>
      </c>
      <c r="Y428" s="30" t="s">
        <v>323</v>
      </c>
      <c r="Z428" s="53">
        <f>SUM(27.48324+25.05385+25.37314)/3</f>
        <v>25.970076666666667</v>
      </c>
      <c r="AA428" s="54">
        <f t="shared" si="52"/>
        <v>42.850626500000004</v>
      </c>
      <c r="AB428" s="23"/>
      <c r="AC428" s="4">
        <v>365</v>
      </c>
      <c r="AD428" s="32">
        <f t="shared" si="48"/>
        <v>162.6028</v>
      </c>
      <c r="AE428" s="32">
        <f t="shared" si="49"/>
        <v>177.88569999999999</v>
      </c>
      <c r="AF428" s="32">
        <f t="shared" si="50"/>
        <v>559.91</v>
      </c>
      <c r="AG428" s="32">
        <f t="shared" si="50"/>
        <v>1385.79</v>
      </c>
      <c r="AH428" s="78"/>
      <c r="AI428" s="78"/>
      <c r="AJ428" s="55">
        <f t="shared" si="51"/>
        <v>2286.1885000000002</v>
      </c>
      <c r="AK428" s="32"/>
      <c r="AL428" s="33"/>
      <c r="AM428" s="23"/>
    </row>
    <row r="429" spans="1:39" ht="15.6" x14ac:dyDescent="0.3">
      <c r="A429" s="64"/>
      <c r="B429" s="64"/>
      <c r="C429" s="5" t="s">
        <v>691</v>
      </c>
      <c r="D429" s="5" t="s">
        <v>120</v>
      </c>
      <c r="E429" s="7" t="s">
        <v>0</v>
      </c>
      <c r="F429" s="5"/>
      <c r="G429" s="23"/>
      <c r="H429" s="10">
        <v>3467</v>
      </c>
      <c r="I429" s="10">
        <v>3351</v>
      </c>
      <c r="J429" s="10">
        <v>3258</v>
      </c>
      <c r="K429" s="10">
        <v>3170</v>
      </c>
      <c r="L429" s="10">
        <v>2473</v>
      </c>
      <c r="M429" s="10">
        <v>1533</v>
      </c>
      <c r="N429" s="9" cm="1">
        <f t="array" ref="N429">SUM((H429:L429)/5)</f>
        <v>3143.7999999999997</v>
      </c>
      <c r="O429" s="10">
        <v>3140</v>
      </c>
      <c r="P429" s="23"/>
      <c r="Q429" s="30">
        <v>49.828000000000003</v>
      </c>
      <c r="R429" s="30">
        <v>63.256999999999998</v>
      </c>
      <c r="S429" s="30">
        <v>0.441</v>
      </c>
      <c r="T429" s="30">
        <v>0.441</v>
      </c>
      <c r="U429" s="30">
        <f t="shared" si="46"/>
        <v>1256</v>
      </c>
      <c r="V429" s="30">
        <f t="shared" si="47"/>
        <v>1884</v>
      </c>
      <c r="W429" s="23"/>
      <c r="X429" s="30">
        <v>15.061999999999999</v>
      </c>
      <c r="Y429" s="30">
        <v>26.506209999999999</v>
      </c>
      <c r="Z429" s="53">
        <v>26.506209999999999</v>
      </c>
      <c r="AA429" s="54">
        <f t="shared" si="52"/>
        <v>43.735246500000002</v>
      </c>
      <c r="AB429" s="23"/>
      <c r="AC429" s="4">
        <v>365</v>
      </c>
      <c r="AD429" s="32">
        <f t="shared" si="48"/>
        <v>115.7603</v>
      </c>
      <c r="AE429" s="32">
        <f t="shared" si="49"/>
        <v>126.64049999999999</v>
      </c>
      <c r="AF429" s="32">
        <f t="shared" si="50"/>
        <v>332.92</v>
      </c>
      <c r="AG429" s="32">
        <f t="shared" si="50"/>
        <v>823.97</v>
      </c>
      <c r="AH429" s="78"/>
      <c r="AI429" s="78"/>
      <c r="AJ429" s="55">
        <f t="shared" si="51"/>
        <v>1399.2908</v>
      </c>
      <c r="AK429" s="32"/>
      <c r="AL429" s="33"/>
      <c r="AM429" s="23"/>
    </row>
    <row r="430" spans="1:39" ht="45" x14ac:dyDescent="0.3">
      <c r="A430" s="64"/>
      <c r="B430" s="64"/>
      <c r="C430" s="5" t="s">
        <v>692</v>
      </c>
      <c r="D430" s="5" t="s">
        <v>120</v>
      </c>
      <c r="E430" s="7" t="s">
        <v>0</v>
      </c>
      <c r="F430" s="5"/>
      <c r="G430" s="23"/>
      <c r="H430" s="10">
        <v>3048</v>
      </c>
      <c r="I430" s="10">
        <v>2589</v>
      </c>
      <c r="J430" s="10">
        <v>2365</v>
      </c>
      <c r="K430" s="10">
        <v>2329</v>
      </c>
      <c r="L430" s="10">
        <v>2224</v>
      </c>
      <c r="M430" s="10">
        <v>111</v>
      </c>
      <c r="N430" s="9" cm="1">
        <f t="array" ref="N430">SUM((H430:L430)/5)</f>
        <v>2511.0000000000005</v>
      </c>
      <c r="O430" s="10">
        <v>2500</v>
      </c>
      <c r="P430" s="23"/>
      <c r="Q430" s="30">
        <v>50.334000000000003</v>
      </c>
      <c r="R430" s="30">
        <v>63.256999999999998</v>
      </c>
      <c r="S430" s="30">
        <v>0.441</v>
      </c>
      <c r="T430" s="30">
        <v>0.441</v>
      </c>
      <c r="U430" s="30">
        <f t="shared" si="46"/>
        <v>1000</v>
      </c>
      <c r="V430" s="30">
        <f t="shared" si="47"/>
        <v>1500</v>
      </c>
      <c r="W430" s="23"/>
      <c r="X430" s="30" t="s">
        <v>202</v>
      </c>
      <c r="Y430" s="30" t="s">
        <v>324</v>
      </c>
      <c r="Z430" s="53">
        <f>SUM(27.47328+25.04396+25.36365)/3</f>
        <v>25.960296666666665</v>
      </c>
      <c r="AA430" s="54">
        <f t="shared" si="52"/>
        <v>42.834489499999997</v>
      </c>
      <c r="AB430" s="23"/>
      <c r="AC430" s="4">
        <v>365</v>
      </c>
      <c r="AD430" s="32">
        <f t="shared" si="48"/>
        <v>115.7603</v>
      </c>
      <c r="AE430" s="32">
        <f t="shared" si="49"/>
        <v>126.64049999999999</v>
      </c>
      <c r="AF430" s="32">
        <f t="shared" si="50"/>
        <v>259.60000000000002</v>
      </c>
      <c r="AG430" s="32">
        <f t="shared" si="50"/>
        <v>642.52</v>
      </c>
      <c r="AH430" s="78"/>
      <c r="AI430" s="78"/>
      <c r="AJ430" s="55">
        <f t="shared" si="51"/>
        <v>1144.5208</v>
      </c>
      <c r="AK430" s="32"/>
      <c r="AL430" s="33"/>
      <c r="AM430" s="23"/>
    </row>
    <row r="431" spans="1:39" ht="45" x14ac:dyDescent="0.3">
      <c r="A431" s="64"/>
      <c r="B431" s="64"/>
      <c r="C431" s="5" t="s">
        <v>630</v>
      </c>
      <c r="D431" s="5" t="s">
        <v>120</v>
      </c>
      <c r="E431" s="7" t="s">
        <v>0</v>
      </c>
      <c r="F431" s="5"/>
      <c r="G431" s="23"/>
      <c r="H431" s="10">
        <v>4486</v>
      </c>
      <c r="I431" s="10">
        <v>3830</v>
      </c>
      <c r="J431" s="10">
        <v>5446</v>
      </c>
      <c r="K431" s="10">
        <v>5226</v>
      </c>
      <c r="L431" s="10">
        <v>3913</v>
      </c>
      <c r="M431" s="10">
        <v>1971</v>
      </c>
      <c r="N431" s="9" cm="1">
        <f t="array" ref="N431">SUM((H431:L431)/5)</f>
        <v>4580.2000000000007</v>
      </c>
      <c r="O431" s="10">
        <v>4580</v>
      </c>
      <c r="P431" s="23"/>
      <c r="Q431" s="30">
        <v>59.098999999999997</v>
      </c>
      <c r="R431" s="30">
        <v>88.853999999999999</v>
      </c>
      <c r="S431" s="30">
        <v>0.441</v>
      </c>
      <c r="T431" s="30">
        <v>0.441</v>
      </c>
      <c r="U431" s="30">
        <f t="shared" si="46"/>
        <v>1832</v>
      </c>
      <c r="V431" s="30">
        <f t="shared" si="47"/>
        <v>2748</v>
      </c>
      <c r="W431" s="23"/>
      <c r="X431" s="30" t="s">
        <v>322</v>
      </c>
      <c r="Y431" s="30" t="s">
        <v>325</v>
      </c>
      <c r="Z431" s="53">
        <f>SUM(27.48301+25.0536+25.37268)/3</f>
        <v>25.969763333333333</v>
      </c>
      <c r="AA431" s="54">
        <f t="shared" si="52"/>
        <v>42.850109500000002</v>
      </c>
      <c r="AB431" s="23"/>
      <c r="AC431" s="4">
        <v>365</v>
      </c>
      <c r="AD431" s="32">
        <f t="shared" si="48"/>
        <v>162.6028</v>
      </c>
      <c r="AE431" s="32">
        <f t="shared" si="49"/>
        <v>177.88569999999999</v>
      </c>
      <c r="AF431" s="32">
        <f t="shared" si="50"/>
        <v>475.77</v>
      </c>
      <c r="AG431" s="32">
        <f t="shared" si="50"/>
        <v>1177.52</v>
      </c>
      <c r="AH431" s="78"/>
      <c r="AI431" s="78"/>
      <c r="AJ431" s="55">
        <f t="shared" si="51"/>
        <v>1993.7784999999999</v>
      </c>
      <c r="AK431" s="32"/>
      <c r="AL431" s="33"/>
      <c r="AM431" s="23"/>
    </row>
    <row r="432" spans="1:39" ht="45" x14ac:dyDescent="0.3">
      <c r="A432" s="64"/>
      <c r="B432" s="64"/>
      <c r="C432" s="5" t="s">
        <v>630</v>
      </c>
      <c r="D432" s="5" t="s">
        <v>120</v>
      </c>
      <c r="E432" s="7" t="s">
        <v>0</v>
      </c>
      <c r="F432" s="5"/>
      <c r="G432" s="23"/>
      <c r="H432" s="10">
        <v>5441</v>
      </c>
      <c r="I432" s="10">
        <v>5649</v>
      </c>
      <c r="J432" s="10">
        <v>5528</v>
      </c>
      <c r="K432" s="10">
        <v>5661</v>
      </c>
      <c r="L432" s="10">
        <v>4371</v>
      </c>
      <c r="M432" s="10">
        <v>294</v>
      </c>
      <c r="N432" s="9" cm="1">
        <f t="array" ref="N432">SUM((H432:L432)/5)</f>
        <v>5330</v>
      </c>
      <c r="O432" s="10">
        <v>5330</v>
      </c>
      <c r="P432" s="23"/>
      <c r="Q432" s="30">
        <v>132.286</v>
      </c>
      <c r="R432" s="30">
        <v>303.38200000000001</v>
      </c>
      <c r="S432" s="30">
        <v>0.441</v>
      </c>
      <c r="T432" s="30">
        <v>0.441</v>
      </c>
      <c r="U432" s="30">
        <f t="shared" si="46"/>
        <v>2132</v>
      </c>
      <c r="V432" s="30">
        <f t="shared" si="47"/>
        <v>3198</v>
      </c>
      <c r="W432" s="23"/>
      <c r="X432" s="30" t="s">
        <v>322</v>
      </c>
      <c r="Y432" s="30" t="s">
        <v>326</v>
      </c>
      <c r="Z432" s="53">
        <f>SUM(27.48351+25.05391+25.37289)/3</f>
        <v>25.970103333333331</v>
      </c>
      <c r="AA432" s="54">
        <f t="shared" si="52"/>
        <v>42.850670499999993</v>
      </c>
      <c r="AB432" s="23"/>
      <c r="AC432" s="4">
        <v>365</v>
      </c>
      <c r="AD432" s="32">
        <f t="shared" si="48"/>
        <v>555.18910000000005</v>
      </c>
      <c r="AE432" s="32">
        <f t="shared" si="49"/>
        <v>607.37080000000003</v>
      </c>
      <c r="AF432" s="32">
        <f t="shared" si="50"/>
        <v>553.67999999999995</v>
      </c>
      <c r="AG432" s="32">
        <f t="shared" si="50"/>
        <v>1370.36</v>
      </c>
      <c r="AH432" s="78"/>
      <c r="AI432" s="78"/>
      <c r="AJ432" s="55">
        <f t="shared" si="51"/>
        <v>3086.5999000000002</v>
      </c>
      <c r="AK432" s="32"/>
      <c r="AL432" s="33"/>
      <c r="AM432" s="23"/>
    </row>
    <row r="433" spans="1:39" ht="45" x14ac:dyDescent="0.3">
      <c r="A433" s="64"/>
      <c r="B433" s="64"/>
      <c r="C433" s="5" t="s">
        <v>631</v>
      </c>
      <c r="D433" s="5" t="s">
        <v>120</v>
      </c>
      <c r="E433" s="7" t="s">
        <v>0</v>
      </c>
      <c r="F433" s="5"/>
      <c r="G433" s="23"/>
      <c r="H433" s="10">
        <v>2663</v>
      </c>
      <c r="I433" s="10">
        <v>3645</v>
      </c>
      <c r="J433" s="10">
        <v>11869</v>
      </c>
      <c r="K433" s="10">
        <v>8700</v>
      </c>
      <c r="L433" s="10">
        <v>4108</v>
      </c>
      <c r="M433" s="10">
        <v>2537</v>
      </c>
      <c r="N433" s="9" cm="1">
        <f t="array" ref="N433">SUM((H433:L433)/5)</f>
        <v>6197</v>
      </c>
      <c r="O433" s="10">
        <v>6180</v>
      </c>
      <c r="P433" s="23"/>
      <c r="Q433" s="30">
        <v>75.238</v>
      </c>
      <c r="R433" s="30">
        <v>135.40899999999999</v>
      </c>
      <c r="S433" s="30">
        <v>0.441</v>
      </c>
      <c r="T433" s="30">
        <v>0.441</v>
      </c>
      <c r="U433" s="30">
        <f t="shared" si="46"/>
        <v>2472</v>
      </c>
      <c r="V433" s="30">
        <f t="shared" si="47"/>
        <v>3708</v>
      </c>
      <c r="W433" s="23"/>
      <c r="X433" s="30" t="s">
        <v>327</v>
      </c>
      <c r="Y433" s="30" t="s">
        <v>328</v>
      </c>
      <c r="Z433" s="53">
        <f>SUM(27.65534+25.22568+25.54466)/3</f>
        <v>26.141893333333332</v>
      </c>
      <c r="AA433" s="54">
        <f t="shared" si="52"/>
        <v>43.134124</v>
      </c>
      <c r="AB433" s="23"/>
      <c r="AC433" s="4">
        <v>365</v>
      </c>
      <c r="AD433" s="32">
        <f t="shared" si="48"/>
        <v>247.79849999999999</v>
      </c>
      <c r="AE433" s="32">
        <f t="shared" si="49"/>
        <v>271.08879999999999</v>
      </c>
      <c r="AF433" s="32">
        <f t="shared" si="50"/>
        <v>646.23</v>
      </c>
      <c r="AG433" s="32">
        <f t="shared" si="50"/>
        <v>1599.41</v>
      </c>
      <c r="AH433" s="78"/>
      <c r="AI433" s="78"/>
      <c r="AJ433" s="55">
        <f t="shared" si="51"/>
        <v>2764.5272999999997</v>
      </c>
      <c r="AK433" s="32"/>
      <c r="AL433" s="33"/>
      <c r="AM433" s="23"/>
    </row>
    <row r="434" spans="1:39" ht="45" x14ac:dyDescent="0.3">
      <c r="A434" s="64"/>
      <c r="B434" s="64"/>
      <c r="C434" s="5" t="s">
        <v>631</v>
      </c>
      <c r="D434" s="5" t="s">
        <v>120</v>
      </c>
      <c r="E434" s="7" t="s">
        <v>0</v>
      </c>
      <c r="F434" s="5"/>
      <c r="G434" s="23"/>
      <c r="H434" s="10">
        <v>4174</v>
      </c>
      <c r="I434" s="10">
        <v>4369</v>
      </c>
      <c r="J434" s="10">
        <v>4059</v>
      </c>
      <c r="K434" s="10">
        <v>3472</v>
      </c>
      <c r="L434" s="10">
        <v>2800</v>
      </c>
      <c r="M434" s="10">
        <v>1884</v>
      </c>
      <c r="N434" s="9" cm="1">
        <f t="array" ref="N434">SUM((H434:L434)/5)</f>
        <v>3774.7999999999997</v>
      </c>
      <c r="O434" s="10">
        <v>3775</v>
      </c>
      <c r="P434" s="23"/>
      <c r="Q434" s="30">
        <v>59.098999999999997</v>
      </c>
      <c r="R434" s="30">
        <v>88.853999999999999</v>
      </c>
      <c r="S434" s="30">
        <v>0.441</v>
      </c>
      <c r="T434" s="30">
        <v>0.441</v>
      </c>
      <c r="U434" s="30">
        <f t="shared" ref="U434:U454" si="53">IF(E434="Gas",O434*R429,O434*$R$4)</f>
        <v>1510</v>
      </c>
      <c r="V434" s="30">
        <f t="shared" ref="V434:V454" si="54">IF(E434="Gas",O434*T429,O434*$T$4)</f>
        <v>2265</v>
      </c>
      <c r="W434" s="23"/>
      <c r="X434" s="30" t="s">
        <v>322</v>
      </c>
      <c r="Y434" s="30" t="s">
        <v>329</v>
      </c>
      <c r="Z434" s="53">
        <f>SUM(27.47848+25.04882+25.36768)/3</f>
        <v>25.964993333333336</v>
      </c>
      <c r="AA434" s="54">
        <f t="shared" si="52"/>
        <v>42.842239000000006</v>
      </c>
      <c r="AB434" s="23"/>
      <c r="AC434" s="4">
        <v>365</v>
      </c>
      <c r="AD434" s="32">
        <f t="shared" ref="AD434:AD454" si="55">ROUND(R434*183,2)/100</f>
        <v>162.6028</v>
      </c>
      <c r="AE434" s="32">
        <f t="shared" ref="AE434:AE454" si="56">ROUND((R434+R434*$AE$4)*(365-183),2)/100</f>
        <v>177.88569999999999</v>
      </c>
      <c r="AF434" s="32">
        <f t="shared" ref="AF434:AG454" si="57">ROUND((U434*Z434)/100,2)</f>
        <v>392.07</v>
      </c>
      <c r="AG434" s="32">
        <f t="shared" si="57"/>
        <v>970.38</v>
      </c>
      <c r="AH434" s="78"/>
      <c r="AI434" s="78"/>
      <c r="AJ434" s="55">
        <f t="shared" ref="AJ434:AJ454" si="58">SUM(AD434:AG434)</f>
        <v>1702.9385</v>
      </c>
      <c r="AK434" s="32"/>
      <c r="AL434" s="33"/>
      <c r="AM434" s="23"/>
    </row>
    <row r="435" spans="1:39" ht="45" x14ac:dyDescent="0.3">
      <c r="A435" s="64"/>
      <c r="B435" s="64"/>
      <c r="C435" s="5" t="s">
        <v>631</v>
      </c>
      <c r="D435" s="5" t="s">
        <v>120</v>
      </c>
      <c r="E435" s="7" t="s">
        <v>0</v>
      </c>
      <c r="F435" s="5"/>
      <c r="G435" s="23"/>
      <c r="H435" s="10">
        <v>7415</v>
      </c>
      <c r="I435" s="10">
        <v>7609</v>
      </c>
      <c r="J435" s="10">
        <v>8517</v>
      </c>
      <c r="K435" s="10">
        <v>8494</v>
      </c>
      <c r="L435" s="10">
        <v>6589</v>
      </c>
      <c r="M435" s="10">
        <v>4274</v>
      </c>
      <c r="N435" s="9" cm="1">
        <f t="array" ref="N435">SUM((H435:L435)/5)</f>
        <v>7724.8000000000011</v>
      </c>
      <c r="O435" s="10">
        <v>7725</v>
      </c>
      <c r="P435" s="23"/>
      <c r="Q435" s="30">
        <v>59.098999999999997</v>
      </c>
      <c r="R435" s="30">
        <v>88.853999999999999</v>
      </c>
      <c r="S435" s="30">
        <v>0.441</v>
      </c>
      <c r="T435" s="30">
        <v>0.441</v>
      </c>
      <c r="U435" s="30">
        <f t="shared" si="53"/>
        <v>3090</v>
      </c>
      <c r="V435" s="30">
        <f t="shared" si="54"/>
        <v>4635</v>
      </c>
      <c r="W435" s="23"/>
      <c r="X435" s="30" t="s">
        <v>322</v>
      </c>
      <c r="Y435" s="30" t="s">
        <v>330</v>
      </c>
      <c r="Z435" s="53">
        <f>SUM(27.4775+25.04815+25.36726)/3</f>
        <v>25.964303333333334</v>
      </c>
      <c r="AA435" s="54">
        <f t="shared" si="52"/>
        <v>42.841100499999996</v>
      </c>
      <c r="AB435" s="23"/>
      <c r="AC435" s="4">
        <v>365</v>
      </c>
      <c r="AD435" s="32">
        <f t="shared" si="55"/>
        <v>162.6028</v>
      </c>
      <c r="AE435" s="32">
        <f t="shared" si="56"/>
        <v>177.88569999999999</v>
      </c>
      <c r="AF435" s="32">
        <f t="shared" si="57"/>
        <v>802.3</v>
      </c>
      <c r="AG435" s="32">
        <f t="shared" si="57"/>
        <v>1985.69</v>
      </c>
      <c r="AH435" s="78"/>
      <c r="AI435" s="78"/>
      <c r="AJ435" s="55">
        <f t="shared" si="58"/>
        <v>3128.4785000000002</v>
      </c>
      <c r="AK435" s="32"/>
      <c r="AL435" s="33"/>
      <c r="AM435" s="23"/>
    </row>
    <row r="436" spans="1:39" ht="30" x14ac:dyDescent="0.3">
      <c r="A436" s="64"/>
      <c r="B436" s="64"/>
      <c r="C436" s="5" t="s">
        <v>708</v>
      </c>
      <c r="D436" s="5" t="s">
        <v>120</v>
      </c>
      <c r="E436" s="7" t="s">
        <v>0</v>
      </c>
      <c r="F436" s="5"/>
      <c r="G436" s="23"/>
      <c r="H436" s="10">
        <v>12638</v>
      </c>
      <c r="I436" s="10">
        <v>12203</v>
      </c>
      <c r="J436" s="10">
        <v>8826</v>
      </c>
      <c r="K436" s="10">
        <v>11924</v>
      </c>
      <c r="L436" s="10">
        <v>8404</v>
      </c>
      <c r="M436" s="10">
        <v>4805</v>
      </c>
      <c r="N436" s="9" cm="1">
        <f t="array" ref="N436">SUM((H436:L436)/5)</f>
        <v>10799</v>
      </c>
      <c r="O436" s="10">
        <v>10800</v>
      </c>
      <c r="P436" s="23"/>
      <c r="Q436" s="30">
        <v>59.098999999999997</v>
      </c>
      <c r="R436" s="30">
        <v>88.853999999999999</v>
      </c>
      <c r="S436" s="30">
        <v>0.441</v>
      </c>
      <c r="T436" s="30">
        <v>0.441</v>
      </c>
      <c r="U436" s="30">
        <f t="shared" si="53"/>
        <v>4320</v>
      </c>
      <c r="V436" s="30">
        <f t="shared" si="54"/>
        <v>6480</v>
      </c>
      <c r="W436" s="23"/>
      <c r="X436" s="30" t="s">
        <v>331</v>
      </c>
      <c r="Y436" s="30" t="s">
        <v>332</v>
      </c>
      <c r="Z436" s="53">
        <f>SUM(26.73933+25.10818)/2</f>
        <v>25.923755</v>
      </c>
      <c r="AA436" s="54">
        <f t="shared" si="52"/>
        <v>42.774195750000004</v>
      </c>
      <c r="AB436" s="23"/>
      <c r="AC436" s="4">
        <v>365</v>
      </c>
      <c r="AD436" s="32">
        <f t="shared" si="55"/>
        <v>162.6028</v>
      </c>
      <c r="AE436" s="32">
        <f t="shared" si="56"/>
        <v>177.88569999999999</v>
      </c>
      <c r="AF436" s="32">
        <f t="shared" si="57"/>
        <v>1119.9100000000001</v>
      </c>
      <c r="AG436" s="32">
        <f t="shared" si="57"/>
        <v>2771.77</v>
      </c>
      <c r="AH436" s="78"/>
      <c r="AI436" s="78"/>
      <c r="AJ436" s="55">
        <f t="shared" si="58"/>
        <v>4232.1684999999998</v>
      </c>
      <c r="AK436" s="32"/>
      <c r="AL436" s="33"/>
      <c r="AM436" s="23"/>
    </row>
    <row r="437" spans="1:39" ht="30" x14ac:dyDescent="0.3">
      <c r="A437" s="64"/>
      <c r="B437" s="64"/>
      <c r="C437" s="5" t="s">
        <v>709</v>
      </c>
      <c r="D437" s="5" t="s">
        <v>120</v>
      </c>
      <c r="E437" s="7" t="s">
        <v>0</v>
      </c>
      <c r="F437" s="5"/>
      <c r="G437" s="23"/>
      <c r="H437" s="10">
        <v>13882</v>
      </c>
      <c r="I437" s="10">
        <v>15673</v>
      </c>
      <c r="J437" s="10">
        <v>11585</v>
      </c>
      <c r="K437" s="10">
        <v>18608</v>
      </c>
      <c r="L437" s="10">
        <v>12153</v>
      </c>
      <c r="M437" s="10">
        <v>7807</v>
      </c>
      <c r="N437" s="9" cm="1">
        <f t="array" ref="N437">SUM((H437:L437)/5)</f>
        <v>14380.2</v>
      </c>
      <c r="O437" s="10">
        <v>14380</v>
      </c>
      <c r="P437" s="23"/>
      <c r="Q437" s="30">
        <v>75.235799999999998</v>
      </c>
      <c r="R437" s="30">
        <v>135.40899999999999</v>
      </c>
      <c r="S437" s="30">
        <v>0.441</v>
      </c>
      <c r="T437" s="30">
        <v>0.441</v>
      </c>
      <c r="U437" s="30">
        <f t="shared" si="53"/>
        <v>5752</v>
      </c>
      <c r="V437" s="30">
        <f t="shared" si="54"/>
        <v>8628</v>
      </c>
      <c r="W437" s="23"/>
      <c r="X437" s="30" t="s">
        <v>331</v>
      </c>
      <c r="Y437" s="30" t="s">
        <v>333</v>
      </c>
      <c r="Z437" s="53">
        <f>SUM(26.73538+25.10428)/2</f>
        <v>25.919829999999997</v>
      </c>
      <c r="AA437" s="54">
        <f t="shared" si="52"/>
        <v>42.767719499999998</v>
      </c>
      <c r="AB437" s="23"/>
      <c r="AC437" s="4">
        <v>365</v>
      </c>
      <c r="AD437" s="32">
        <f t="shared" si="55"/>
        <v>247.79849999999999</v>
      </c>
      <c r="AE437" s="32">
        <f t="shared" si="56"/>
        <v>271.08879999999999</v>
      </c>
      <c r="AF437" s="32">
        <f t="shared" si="57"/>
        <v>1490.91</v>
      </c>
      <c r="AG437" s="32">
        <f t="shared" si="57"/>
        <v>3690</v>
      </c>
      <c r="AH437" s="78"/>
      <c r="AI437" s="78"/>
      <c r="AJ437" s="55">
        <f t="shared" si="58"/>
        <v>5699.7973000000002</v>
      </c>
      <c r="AK437" s="32"/>
      <c r="AL437" s="33"/>
      <c r="AM437" s="23"/>
    </row>
    <row r="438" spans="1:39" ht="45" x14ac:dyDescent="0.3">
      <c r="A438" s="64"/>
      <c r="B438" s="64"/>
      <c r="C438" s="5" t="s">
        <v>710</v>
      </c>
      <c r="D438" s="5" t="s">
        <v>120</v>
      </c>
      <c r="E438" s="7" t="s">
        <v>0</v>
      </c>
      <c r="F438" s="5"/>
      <c r="G438" s="23"/>
      <c r="H438" s="10">
        <v>13696</v>
      </c>
      <c r="I438" s="10">
        <v>11074</v>
      </c>
      <c r="J438" s="10">
        <v>8240</v>
      </c>
      <c r="K438" s="10">
        <v>12237</v>
      </c>
      <c r="L438" s="10">
        <v>8736</v>
      </c>
      <c r="M438" s="10">
        <v>543</v>
      </c>
      <c r="N438" s="9" cm="1">
        <f t="array" ref="N438">SUM((H438:L438)/5)</f>
        <v>10796.6</v>
      </c>
      <c r="O438" s="10">
        <v>10800</v>
      </c>
      <c r="P438" s="23"/>
      <c r="Q438" s="30">
        <v>59.098999999999997</v>
      </c>
      <c r="R438" s="30">
        <v>88.853999999999999</v>
      </c>
      <c r="S438" s="30">
        <v>0.441</v>
      </c>
      <c r="T438" s="30">
        <v>0.441</v>
      </c>
      <c r="U438" s="30">
        <f t="shared" si="53"/>
        <v>4320</v>
      </c>
      <c r="V438" s="30">
        <f t="shared" si="54"/>
        <v>6480</v>
      </c>
      <c r="W438" s="23"/>
      <c r="X438" s="30" t="s">
        <v>322</v>
      </c>
      <c r="Y438" s="30" t="s">
        <v>334</v>
      </c>
      <c r="Z438" s="53">
        <f>SUM(27.47094+25.004148+25.36054)/3</f>
        <v>25.945209333333334</v>
      </c>
      <c r="AA438" s="54">
        <f t="shared" si="52"/>
        <v>42.809595400000006</v>
      </c>
      <c r="AB438" s="23"/>
      <c r="AC438" s="4">
        <v>365</v>
      </c>
      <c r="AD438" s="32">
        <f t="shared" si="55"/>
        <v>162.6028</v>
      </c>
      <c r="AE438" s="32">
        <f t="shared" si="56"/>
        <v>177.88569999999999</v>
      </c>
      <c r="AF438" s="32">
        <f t="shared" si="57"/>
        <v>1120.83</v>
      </c>
      <c r="AG438" s="32">
        <f t="shared" si="57"/>
        <v>2774.06</v>
      </c>
      <c r="AH438" s="78"/>
      <c r="AI438" s="78"/>
      <c r="AJ438" s="55">
        <f t="shared" si="58"/>
        <v>4235.3784999999998</v>
      </c>
      <c r="AK438" s="32"/>
      <c r="AL438" s="33"/>
      <c r="AM438" s="23"/>
    </row>
    <row r="439" spans="1:39" ht="45" x14ac:dyDescent="0.3">
      <c r="A439" s="64"/>
      <c r="B439" s="64"/>
      <c r="C439" s="5" t="s">
        <v>711</v>
      </c>
      <c r="D439" s="5" t="s">
        <v>120</v>
      </c>
      <c r="E439" s="7" t="s">
        <v>0</v>
      </c>
      <c r="F439" s="5"/>
      <c r="G439" s="23"/>
      <c r="H439" s="10">
        <v>9922</v>
      </c>
      <c r="I439" s="10">
        <v>8057</v>
      </c>
      <c r="J439" s="10">
        <v>7827</v>
      </c>
      <c r="K439" s="10">
        <v>56069</v>
      </c>
      <c r="L439" s="10">
        <v>12846</v>
      </c>
      <c r="M439" s="10">
        <v>7582</v>
      </c>
      <c r="N439" s="9" cm="1">
        <f t="array" ref="N439">SUM((H439:L439)/5)</f>
        <v>18944.2</v>
      </c>
      <c r="O439" s="10">
        <v>19000</v>
      </c>
      <c r="P439" s="23"/>
      <c r="Q439" s="30">
        <v>59.098999999999997</v>
      </c>
      <c r="R439" s="30">
        <v>88.853999999999999</v>
      </c>
      <c r="S439" s="30">
        <v>0.441</v>
      </c>
      <c r="T439" s="30">
        <v>0.441</v>
      </c>
      <c r="U439" s="30">
        <f t="shared" si="53"/>
        <v>7600</v>
      </c>
      <c r="V439" s="30">
        <f t="shared" si="54"/>
        <v>11400</v>
      </c>
      <c r="W439" s="23"/>
      <c r="X439" s="30" t="s">
        <v>322</v>
      </c>
      <c r="Y439" s="30" t="s">
        <v>335</v>
      </c>
      <c r="Z439" s="53">
        <f>SUM(27.66333+25.23374+25.5528)/3</f>
        <v>26.149956666666668</v>
      </c>
      <c r="AA439" s="54">
        <f t="shared" si="52"/>
        <v>43.147428500000004</v>
      </c>
      <c r="AB439" s="23"/>
      <c r="AC439" s="4">
        <v>365</v>
      </c>
      <c r="AD439" s="32">
        <f t="shared" si="55"/>
        <v>162.6028</v>
      </c>
      <c r="AE439" s="32">
        <f t="shared" si="56"/>
        <v>177.88569999999999</v>
      </c>
      <c r="AF439" s="32">
        <f t="shared" si="57"/>
        <v>1987.4</v>
      </c>
      <c r="AG439" s="32">
        <f t="shared" si="57"/>
        <v>4918.8100000000004</v>
      </c>
      <c r="AH439" s="78"/>
      <c r="AI439" s="78"/>
      <c r="AJ439" s="55">
        <f t="shared" si="58"/>
        <v>7246.6985000000004</v>
      </c>
      <c r="AK439" s="32"/>
      <c r="AL439" s="33"/>
      <c r="AM439" s="23"/>
    </row>
    <row r="440" spans="1:39" ht="45" x14ac:dyDescent="0.3">
      <c r="A440" s="64"/>
      <c r="B440" s="64"/>
      <c r="C440" s="5" t="s">
        <v>710</v>
      </c>
      <c r="D440" s="5" t="s">
        <v>120</v>
      </c>
      <c r="E440" s="7" t="s">
        <v>0</v>
      </c>
      <c r="F440" s="5"/>
      <c r="G440" s="23"/>
      <c r="H440" s="10">
        <v>10195</v>
      </c>
      <c r="I440" s="10">
        <v>8971</v>
      </c>
      <c r="J440" s="10">
        <v>5389</v>
      </c>
      <c r="K440" s="10">
        <v>5116</v>
      </c>
      <c r="L440" s="10">
        <v>5891</v>
      </c>
      <c r="M440" s="10">
        <v>3154</v>
      </c>
      <c r="N440" s="9" cm="1">
        <f t="array" ref="N440">SUM((H440:L440)/5)</f>
        <v>7112.4</v>
      </c>
      <c r="O440" s="10">
        <v>7100</v>
      </c>
      <c r="P440" s="23"/>
      <c r="Q440" s="30">
        <v>59.098999999999997</v>
      </c>
      <c r="R440" s="30">
        <v>88.853999999999999</v>
      </c>
      <c r="S440" s="30">
        <v>0.441</v>
      </c>
      <c r="T440" s="30">
        <v>0.441</v>
      </c>
      <c r="U440" s="30">
        <f t="shared" si="53"/>
        <v>2840</v>
      </c>
      <c r="V440" s="30">
        <f t="shared" si="54"/>
        <v>4260</v>
      </c>
      <c r="W440" s="23"/>
      <c r="X440" s="30" t="s">
        <v>322</v>
      </c>
      <c r="Y440" s="30" t="s">
        <v>336</v>
      </c>
      <c r="Z440" s="53">
        <f>SUM(27.45196+25.02242+25.34148)/3</f>
        <v>25.93862</v>
      </c>
      <c r="AA440" s="54">
        <f t="shared" si="52"/>
        <v>42.798723000000003</v>
      </c>
      <c r="AB440" s="23"/>
      <c r="AC440" s="4">
        <v>365</v>
      </c>
      <c r="AD440" s="32">
        <f t="shared" si="55"/>
        <v>162.6028</v>
      </c>
      <c r="AE440" s="32">
        <f t="shared" si="56"/>
        <v>177.88569999999999</v>
      </c>
      <c r="AF440" s="32">
        <f t="shared" si="57"/>
        <v>736.66</v>
      </c>
      <c r="AG440" s="32">
        <f t="shared" si="57"/>
        <v>1823.23</v>
      </c>
      <c r="AH440" s="78"/>
      <c r="AI440" s="78"/>
      <c r="AJ440" s="55">
        <f t="shared" si="58"/>
        <v>2900.3784999999998</v>
      </c>
      <c r="AK440" s="32"/>
      <c r="AL440" s="33"/>
      <c r="AM440" s="23"/>
    </row>
    <row r="441" spans="1:39" ht="45" x14ac:dyDescent="0.3">
      <c r="A441" s="64"/>
      <c r="B441" s="64"/>
      <c r="C441" s="5" t="s">
        <v>710</v>
      </c>
      <c r="D441" s="5" t="s">
        <v>120</v>
      </c>
      <c r="E441" s="7" t="s">
        <v>0</v>
      </c>
      <c r="F441" s="5"/>
      <c r="G441" s="23"/>
      <c r="H441" s="10">
        <v>11699</v>
      </c>
      <c r="I441" s="10">
        <v>10574</v>
      </c>
      <c r="J441" s="10">
        <v>5676</v>
      </c>
      <c r="K441" s="10">
        <v>949</v>
      </c>
      <c r="L441" s="10">
        <v>3083</v>
      </c>
      <c r="M441" s="10">
        <v>2309</v>
      </c>
      <c r="N441" s="9" cm="1">
        <f t="array" ref="N441">SUM((H441:L441)/5)</f>
        <v>6396.2000000000007</v>
      </c>
      <c r="O441" s="10">
        <v>6300</v>
      </c>
      <c r="P441" s="23"/>
      <c r="Q441" s="30">
        <v>59.098999999999997</v>
      </c>
      <c r="R441" s="30">
        <v>88.853999999999999</v>
      </c>
      <c r="S441" s="30">
        <v>0.441</v>
      </c>
      <c r="T441" s="30">
        <v>0.441</v>
      </c>
      <c r="U441" s="30">
        <f t="shared" si="53"/>
        <v>2520</v>
      </c>
      <c r="V441" s="30">
        <f t="shared" si="54"/>
        <v>3780</v>
      </c>
      <c r="W441" s="23"/>
      <c r="X441" s="30" t="s">
        <v>322</v>
      </c>
      <c r="Y441" s="30" t="s">
        <v>337</v>
      </c>
      <c r="Z441" s="53">
        <f>SUM(27.47851+25.04875+25.36784)/3</f>
        <v>25.965033333333334</v>
      </c>
      <c r="AA441" s="54">
        <f t="shared" si="52"/>
        <v>42.842305000000003</v>
      </c>
      <c r="AB441" s="23"/>
      <c r="AC441" s="4">
        <v>365</v>
      </c>
      <c r="AD441" s="32">
        <f t="shared" si="55"/>
        <v>162.6028</v>
      </c>
      <c r="AE441" s="32">
        <f t="shared" si="56"/>
        <v>177.88569999999999</v>
      </c>
      <c r="AF441" s="32">
        <f t="shared" si="57"/>
        <v>654.32000000000005</v>
      </c>
      <c r="AG441" s="32">
        <f t="shared" si="57"/>
        <v>1619.44</v>
      </c>
      <c r="AH441" s="78"/>
      <c r="AI441" s="78"/>
      <c r="AJ441" s="55">
        <f t="shared" si="58"/>
        <v>2614.2485000000001</v>
      </c>
      <c r="AK441" s="32"/>
      <c r="AL441" s="33"/>
      <c r="AM441" s="23"/>
    </row>
    <row r="442" spans="1:39" ht="45" x14ac:dyDescent="0.3">
      <c r="A442" s="64"/>
      <c r="B442" s="64"/>
      <c r="C442" s="5" t="s">
        <v>712</v>
      </c>
      <c r="D442" s="5" t="s">
        <v>120</v>
      </c>
      <c r="E442" s="7" t="s">
        <v>0</v>
      </c>
      <c r="F442" s="5"/>
      <c r="G442" s="23"/>
      <c r="H442" s="10">
        <v>13635</v>
      </c>
      <c r="I442" s="10">
        <v>14036</v>
      </c>
      <c r="J442" s="10">
        <v>12761</v>
      </c>
      <c r="K442" s="10">
        <v>15240</v>
      </c>
      <c r="L442" s="10">
        <v>10531</v>
      </c>
      <c r="M442" s="10">
        <v>3778</v>
      </c>
      <c r="N442" s="9" cm="1">
        <f t="array" ref="N442">SUM((H442:L442)/5)</f>
        <v>13240.599999999999</v>
      </c>
      <c r="O442" s="10">
        <v>13240</v>
      </c>
      <c r="P442" s="23"/>
      <c r="Q442" s="30">
        <v>72.234999999999999</v>
      </c>
      <c r="R442" s="30">
        <v>135.40899999999999</v>
      </c>
      <c r="S442" s="30">
        <v>0.441</v>
      </c>
      <c r="T442" s="30">
        <v>0.441</v>
      </c>
      <c r="U442" s="30">
        <f t="shared" si="53"/>
        <v>5296</v>
      </c>
      <c r="V442" s="30">
        <f t="shared" si="54"/>
        <v>7944</v>
      </c>
      <c r="W442" s="23"/>
      <c r="X442" s="30" t="s">
        <v>322</v>
      </c>
      <c r="Y442" s="30" t="s">
        <v>338</v>
      </c>
      <c r="Z442" s="53">
        <f>SUM(27.4641+25.03459+25.35369)/3</f>
        <v>25.950793333333333</v>
      </c>
      <c r="AA442" s="54">
        <f t="shared" si="52"/>
        <v>42.818809000000002</v>
      </c>
      <c r="AB442" s="23"/>
      <c r="AC442" s="4">
        <v>365</v>
      </c>
      <c r="AD442" s="32">
        <f t="shared" si="55"/>
        <v>247.79849999999999</v>
      </c>
      <c r="AE442" s="32">
        <f t="shared" si="56"/>
        <v>271.08879999999999</v>
      </c>
      <c r="AF442" s="32">
        <f t="shared" si="57"/>
        <v>1374.35</v>
      </c>
      <c r="AG442" s="32">
        <f t="shared" si="57"/>
        <v>3401.53</v>
      </c>
      <c r="AH442" s="78"/>
      <c r="AI442" s="78"/>
      <c r="AJ442" s="55">
        <f t="shared" si="58"/>
        <v>5294.7672999999995</v>
      </c>
      <c r="AK442" s="32"/>
      <c r="AL442" s="33"/>
      <c r="AM442" s="23"/>
    </row>
    <row r="443" spans="1:39" ht="45" x14ac:dyDescent="0.3">
      <c r="A443" s="64"/>
      <c r="B443" s="64"/>
      <c r="C443" s="5" t="s">
        <v>713</v>
      </c>
      <c r="D443" s="5" t="s">
        <v>120</v>
      </c>
      <c r="E443" s="7" t="s">
        <v>0</v>
      </c>
      <c r="F443" s="5"/>
      <c r="G443" s="23"/>
      <c r="H443" s="10">
        <v>15980</v>
      </c>
      <c r="I443" s="10">
        <v>14722</v>
      </c>
      <c r="J443" s="10">
        <v>9977</v>
      </c>
      <c r="K443" s="10">
        <v>10153</v>
      </c>
      <c r="L443" s="10">
        <v>6088</v>
      </c>
      <c r="M443" s="10">
        <v>309</v>
      </c>
      <c r="N443" s="9" cm="1">
        <f t="array" ref="N443">SUM((H443:L443)/5)</f>
        <v>11384</v>
      </c>
      <c r="O443" s="10">
        <v>11000</v>
      </c>
      <c r="P443" s="23"/>
      <c r="Q443" s="30">
        <v>59.098999999999997</v>
      </c>
      <c r="R443" s="30">
        <v>88.853999999999999</v>
      </c>
      <c r="S443" s="30">
        <v>0.441</v>
      </c>
      <c r="T443" s="30">
        <v>0.441</v>
      </c>
      <c r="U443" s="30">
        <f t="shared" si="53"/>
        <v>4400</v>
      </c>
      <c r="V443" s="30">
        <f t="shared" si="54"/>
        <v>6600</v>
      </c>
      <c r="W443" s="23"/>
      <c r="X443" s="30" t="s">
        <v>322</v>
      </c>
      <c r="Y443" s="30" t="s">
        <v>339</v>
      </c>
      <c r="Z443" s="53">
        <f>SUM(27.45653+25.02686+25.34587)/3</f>
        <v>25.94308666666667</v>
      </c>
      <c r="AA443" s="54">
        <f t="shared" si="52"/>
        <v>42.806093000000004</v>
      </c>
      <c r="AB443" s="23"/>
      <c r="AC443" s="4">
        <v>365</v>
      </c>
      <c r="AD443" s="32">
        <f t="shared" si="55"/>
        <v>162.6028</v>
      </c>
      <c r="AE443" s="32">
        <f t="shared" si="56"/>
        <v>177.88569999999999</v>
      </c>
      <c r="AF443" s="32">
        <f t="shared" si="57"/>
        <v>1141.5</v>
      </c>
      <c r="AG443" s="32">
        <f t="shared" si="57"/>
        <v>2825.2</v>
      </c>
      <c r="AH443" s="78"/>
      <c r="AI443" s="78"/>
      <c r="AJ443" s="55">
        <f t="shared" si="58"/>
        <v>4307.1885000000002</v>
      </c>
      <c r="AK443" s="32"/>
      <c r="AL443" s="33"/>
      <c r="AM443" s="23"/>
    </row>
    <row r="444" spans="1:39" ht="30" x14ac:dyDescent="0.3">
      <c r="A444" s="64"/>
      <c r="B444" s="64"/>
      <c r="C444" s="5" t="s">
        <v>710</v>
      </c>
      <c r="D444" s="5" t="s">
        <v>120</v>
      </c>
      <c r="E444" s="7" t="s">
        <v>0</v>
      </c>
      <c r="F444" s="5"/>
      <c r="G444" s="23"/>
      <c r="H444" s="10">
        <v>11332</v>
      </c>
      <c r="I444" s="10">
        <v>11741</v>
      </c>
      <c r="J444" s="10">
        <v>6540</v>
      </c>
      <c r="K444" s="10">
        <v>6416</v>
      </c>
      <c r="L444" s="10">
        <v>5281</v>
      </c>
      <c r="M444" s="10">
        <v>3314</v>
      </c>
      <c r="N444" s="9" cm="1">
        <f t="array" ref="N444">SUM((H444:L444)/5)</f>
        <v>8262</v>
      </c>
      <c r="O444" s="10">
        <v>8200</v>
      </c>
      <c r="P444" s="23"/>
      <c r="Q444" s="30">
        <v>59.098999999999997</v>
      </c>
      <c r="R444" s="30">
        <v>88.853999999999999</v>
      </c>
      <c r="S444" s="30">
        <v>0.441</v>
      </c>
      <c r="T444" s="30">
        <v>0.441</v>
      </c>
      <c r="U444" s="30">
        <f t="shared" si="53"/>
        <v>3280</v>
      </c>
      <c r="V444" s="30">
        <f t="shared" si="54"/>
        <v>4920</v>
      </c>
      <c r="W444" s="23"/>
      <c r="X444" s="30" t="s">
        <v>331</v>
      </c>
      <c r="Y444" s="30" t="s">
        <v>340</v>
      </c>
      <c r="Z444" s="53">
        <f>SUM(26.71722+25.08606)/2</f>
        <v>25.90164</v>
      </c>
      <c r="AA444" s="54">
        <f t="shared" si="52"/>
        <v>42.737706000000003</v>
      </c>
      <c r="AB444" s="23"/>
      <c r="AC444" s="4">
        <v>365</v>
      </c>
      <c r="AD444" s="32">
        <f t="shared" si="55"/>
        <v>162.6028</v>
      </c>
      <c r="AE444" s="32">
        <f t="shared" si="56"/>
        <v>177.88569999999999</v>
      </c>
      <c r="AF444" s="32">
        <f t="shared" si="57"/>
        <v>849.57</v>
      </c>
      <c r="AG444" s="32">
        <f t="shared" si="57"/>
        <v>2102.6999999999998</v>
      </c>
      <c r="AH444" s="78"/>
      <c r="AI444" s="78"/>
      <c r="AJ444" s="55">
        <f t="shared" si="58"/>
        <v>3292.7584999999999</v>
      </c>
      <c r="AK444" s="32"/>
      <c r="AL444" s="33"/>
      <c r="AM444" s="23"/>
    </row>
    <row r="445" spans="1:39" ht="45" x14ac:dyDescent="0.3">
      <c r="A445" s="64"/>
      <c r="B445" s="64"/>
      <c r="C445" s="5" t="s">
        <v>710</v>
      </c>
      <c r="D445" s="5" t="s">
        <v>120</v>
      </c>
      <c r="E445" s="7" t="s">
        <v>0</v>
      </c>
      <c r="F445" s="5"/>
      <c r="G445" s="23"/>
      <c r="H445" s="10">
        <v>11669</v>
      </c>
      <c r="I445" s="10">
        <v>11585</v>
      </c>
      <c r="J445" s="10">
        <v>8263</v>
      </c>
      <c r="K445" s="10">
        <v>8905</v>
      </c>
      <c r="L445" s="10">
        <v>6775</v>
      </c>
      <c r="M445" s="10">
        <v>4422</v>
      </c>
      <c r="N445" s="9" cm="1">
        <f t="array" ref="N445">SUM((H445:L445)/5)</f>
        <v>9439.4</v>
      </c>
      <c r="O445" s="10">
        <v>9400</v>
      </c>
      <c r="P445" s="23"/>
      <c r="Q445" s="30">
        <v>59.098999999999997</v>
      </c>
      <c r="R445" s="30">
        <v>88.853999999999999</v>
      </c>
      <c r="S445" s="30">
        <v>0.441</v>
      </c>
      <c r="T445" s="30">
        <v>0.441</v>
      </c>
      <c r="U445" s="30">
        <f t="shared" si="53"/>
        <v>3760</v>
      </c>
      <c r="V445" s="30">
        <f t="shared" si="54"/>
        <v>5640</v>
      </c>
      <c r="W445" s="23"/>
      <c r="X445" s="30" t="s">
        <v>322</v>
      </c>
      <c r="Y445" s="30" t="s">
        <v>341</v>
      </c>
      <c r="Z445" s="53">
        <f>SUM(27.48835+25.05867+25.37786)/3</f>
        <v>25.974959999999999</v>
      </c>
      <c r="AA445" s="54">
        <f t="shared" si="52"/>
        <v>42.858683999999997</v>
      </c>
      <c r="AB445" s="23"/>
      <c r="AC445" s="4">
        <v>365</v>
      </c>
      <c r="AD445" s="32">
        <f t="shared" si="55"/>
        <v>162.6028</v>
      </c>
      <c r="AE445" s="32">
        <f t="shared" si="56"/>
        <v>177.88569999999999</v>
      </c>
      <c r="AF445" s="32">
        <f t="shared" si="57"/>
        <v>976.66</v>
      </c>
      <c r="AG445" s="32">
        <f t="shared" si="57"/>
        <v>2417.23</v>
      </c>
      <c r="AH445" s="78"/>
      <c r="AI445" s="78"/>
      <c r="AJ445" s="55">
        <f t="shared" si="58"/>
        <v>3734.3784999999998</v>
      </c>
      <c r="AK445" s="32"/>
      <c r="AL445" s="33"/>
      <c r="AM445" s="23"/>
    </row>
    <row r="446" spans="1:39" ht="45" x14ac:dyDescent="0.3">
      <c r="A446" s="64"/>
      <c r="B446" s="64"/>
      <c r="C446" s="5" t="s">
        <v>712</v>
      </c>
      <c r="D446" s="5" t="s">
        <v>120</v>
      </c>
      <c r="E446" s="7" t="s">
        <v>0</v>
      </c>
      <c r="F446" s="5"/>
      <c r="G446" s="23"/>
      <c r="H446" s="10">
        <v>16659</v>
      </c>
      <c r="I446" s="10">
        <v>18630</v>
      </c>
      <c r="J446" s="10">
        <v>16698</v>
      </c>
      <c r="K446" s="10">
        <v>20595</v>
      </c>
      <c r="L446" s="10">
        <v>14997</v>
      </c>
      <c r="M446" s="10">
        <v>10501</v>
      </c>
      <c r="N446" s="9" cm="1">
        <f t="array" ref="N446">SUM((H446:L446)/5)</f>
        <v>17515.8</v>
      </c>
      <c r="O446" s="10">
        <v>17500</v>
      </c>
      <c r="P446" s="23"/>
      <c r="Q446" s="30">
        <v>132.286</v>
      </c>
      <c r="R446" s="30">
        <v>303.38200000000001</v>
      </c>
      <c r="S446" s="30">
        <v>0.441</v>
      </c>
      <c r="T446" s="30">
        <v>0.441</v>
      </c>
      <c r="U446" s="30">
        <f t="shared" si="53"/>
        <v>7000</v>
      </c>
      <c r="V446" s="30">
        <f t="shared" si="54"/>
        <v>10500</v>
      </c>
      <c r="W446" s="23"/>
      <c r="X446" s="30" t="s">
        <v>322</v>
      </c>
      <c r="Y446" s="30" t="s">
        <v>342</v>
      </c>
      <c r="Z446" s="53">
        <f>SUM(27.47187+25.04235+25.36151)/3</f>
        <v>25.958576666666662</v>
      </c>
      <c r="AA446" s="54">
        <f t="shared" si="52"/>
        <v>42.831651499999992</v>
      </c>
      <c r="AB446" s="23"/>
      <c r="AC446" s="4">
        <v>365</v>
      </c>
      <c r="AD446" s="32">
        <f t="shared" si="55"/>
        <v>555.18910000000005</v>
      </c>
      <c r="AE446" s="32">
        <f t="shared" si="56"/>
        <v>607.37080000000003</v>
      </c>
      <c r="AF446" s="32">
        <f t="shared" si="57"/>
        <v>1817.1</v>
      </c>
      <c r="AG446" s="32">
        <f t="shared" si="57"/>
        <v>4497.32</v>
      </c>
      <c r="AH446" s="78"/>
      <c r="AI446" s="78"/>
      <c r="AJ446" s="55">
        <f t="shared" si="58"/>
        <v>7476.9799000000003</v>
      </c>
      <c r="AK446" s="32"/>
      <c r="AL446" s="33"/>
      <c r="AM446" s="23"/>
    </row>
    <row r="447" spans="1:39" ht="15.6" x14ac:dyDescent="0.3">
      <c r="A447" s="64"/>
      <c r="B447" s="64"/>
      <c r="C447" s="5" t="s">
        <v>649</v>
      </c>
      <c r="D447" s="5" t="s">
        <v>120</v>
      </c>
      <c r="E447" s="7" t="s">
        <v>0</v>
      </c>
      <c r="F447" s="5"/>
      <c r="G447" s="23"/>
      <c r="H447" s="10">
        <v>7592</v>
      </c>
      <c r="I447" s="10">
        <v>6970</v>
      </c>
      <c r="J447" s="10">
        <v>6807</v>
      </c>
      <c r="K447" s="10">
        <v>6749</v>
      </c>
      <c r="L447" s="10">
        <v>4993</v>
      </c>
      <c r="M447" s="10">
        <v>3361</v>
      </c>
      <c r="N447" s="9" cm="1">
        <f t="array" ref="N447">SUM((H447:L447)/5)</f>
        <v>6622.2000000000007</v>
      </c>
      <c r="O447" s="10">
        <v>6620</v>
      </c>
      <c r="P447" s="23"/>
      <c r="Q447" s="30">
        <v>58.593000000000004</v>
      </c>
      <c r="R447" s="30">
        <v>88.853999999999999</v>
      </c>
      <c r="S447" s="30">
        <v>0.441</v>
      </c>
      <c r="T447" s="30">
        <v>0.441</v>
      </c>
      <c r="U447" s="30">
        <f t="shared" si="53"/>
        <v>2648</v>
      </c>
      <c r="V447" s="30">
        <f t="shared" si="54"/>
        <v>3972</v>
      </c>
      <c r="W447" s="23"/>
      <c r="X447" s="30">
        <v>15.061999999999999</v>
      </c>
      <c r="Y447" s="30">
        <v>26.50628</v>
      </c>
      <c r="Z447" s="53">
        <v>26.50628</v>
      </c>
      <c r="AA447" s="54">
        <f t="shared" si="52"/>
        <v>43.735362000000002</v>
      </c>
      <c r="AB447" s="23"/>
      <c r="AC447" s="4">
        <v>365</v>
      </c>
      <c r="AD447" s="32">
        <f t="shared" si="55"/>
        <v>162.6028</v>
      </c>
      <c r="AE447" s="32">
        <f t="shared" si="56"/>
        <v>177.88569999999999</v>
      </c>
      <c r="AF447" s="32">
        <f t="shared" si="57"/>
        <v>701.89</v>
      </c>
      <c r="AG447" s="32">
        <f t="shared" si="57"/>
        <v>1737.17</v>
      </c>
      <c r="AH447" s="78"/>
      <c r="AI447" s="78"/>
      <c r="AJ447" s="55">
        <f t="shared" si="58"/>
        <v>2779.5484999999999</v>
      </c>
      <c r="AK447" s="32"/>
      <c r="AL447" s="33"/>
      <c r="AM447" s="23"/>
    </row>
    <row r="448" spans="1:39" ht="45" x14ac:dyDescent="0.3">
      <c r="A448" s="64"/>
      <c r="B448" s="64"/>
      <c r="C448" s="5" t="s">
        <v>649</v>
      </c>
      <c r="D448" s="5" t="s">
        <v>120</v>
      </c>
      <c r="E448" s="7" t="s">
        <v>0</v>
      </c>
      <c r="F448" s="5"/>
      <c r="G448" s="23"/>
      <c r="H448" s="10">
        <v>5054</v>
      </c>
      <c r="I448" s="10">
        <v>5100</v>
      </c>
      <c r="J448" s="10">
        <v>4987</v>
      </c>
      <c r="K448" s="10">
        <v>4982</v>
      </c>
      <c r="L448" s="10">
        <v>3721</v>
      </c>
      <c r="M448" s="10">
        <v>2358</v>
      </c>
      <c r="N448" s="9" cm="1">
        <f t="array" ref="N448">SUM((H448:L448)/5)</f>
        <v>4768.8</v>
      </c>
      <c r="O448" s="10">
        <v>4760</v>
      </c>
      <c r="P448" s="23"/>
      <c r="Q448" s="30">
        <v>59.098999999999997</v>
      </c>
      <c r="R448" s="30">
        <v>88.853999999999999</v>
      </c>
      <c r="S448" s="30">
        <v>0.441</v>
      </c>
      <c r="T448" s="30">
        <v>0.441</v>
      </c>
      <c r="U448" s="30">
        <f t="shared" si="53"/>
        <v>1904</v>
      </c>
      <c r="V448" s="30">
        <f t="shared" si="54"/>
        <v>2856</v>
      </c>
      <c r="W448" s="23"/>
      <c r="X448" s="30" t="s">
        <v>322</v>
      </c>
      <c r="Y448" s="30" t="s">
        <v>343</v>
      </c>
      <c r="Z448" s="53">
        <f>SUM(27.47589+25.046312+25.36527)/3</f>
        <v>25.962490666666667</v>
      </c>
      <c r="AA448" s="54">
        <f t="shared" si="52"/>
        <v>42.838109600000003</v>
      </c>
      <c r="AB448" s="23"/>
      <c r="AC448" s="4">
        <v>365</v>
      </c>
      <c r="AD448" s="32">
        <f t="shared" si="55"/>
        <v>162.6028</v>
      </c>
      <c r="AE448" s="32">
        <f t="shared" si="56"/>
        <v>177.88569999999999</v>
      </c>
      <c r="AF448" s="32">
        <f t="shared" si="57"/>
        <v>494.33</v>
      </c>
      <c r="AG448" s="32">
        <f t="shared" si="57"/>
        <v>1223.46</v>
      </c>
      <c r="AH448" s="78"/>
      <c r="AI448" s="78"/>
      <c r="AJ448" s="55">
        <f t="shared" si="58"/>
        <v>2058.2784999999999</v>
      </c>
      <c r="AK448" s="32"/>
      <c r="AL448" s="33"/>
      <c r="AM448" s="23"/>
    </row>
    <row r="449" spans="1:39" ht="45" x14ac:dyDescent="0.3">
      <c r="A449" s="64"/>
      <c r="B449" s="64"/>
      <c r="C449" s="5" t="s">
        <v>649</v>
      </c>
      <c r="D449" s="5" t="s">
        <v>120</v>
      </c>
      <c r="E449" s="7" t="s">
        <v>0</v>
      </c>
      <c r="F449" s="5"/>
      <c r="G449" s="23"/>
      <c r="H449" s="10">
        <v>4485</v>
      </c>
      <c r="I449" s="10">
        <v>4346</v>
      </c>
      <c r="J449" s="10">
        <v>4266</v>
      </c>
      <c r="K449" s="10">
        <v>4372</v>
      </c>
      <c r="L449" s="10">
        <v>3522</v>
      </c>
      <c r="M449" s="10">
        <v>299</v>
      </c>
      <c r="N449" s="9" cm="1">
        <f t="array" ref="N449">SUM((H449:L449)/5)</f>
        <v>4198.2</v>
      </c>
      <c r="O449" s="10">
        <v>4200</v>
      </c>
      <c r="P449" s="23"/>
      <c r="Q449" s="30">
        <v>59.098999999999997</v>
      </c>
      <c r="R449" s="30">
        <v>88.853999999999999</v>
      </c>
      <c r="S449" s="30">
        <v>0.441</v>
      </c>
      <c r="T449" s="30">
        <v>0.441</v>
      </c>
      <c r="U449" s="30">
        <f t="shared" si="53"/>
        <v>1680</v>
      </c>
      <c r="V449" s="30">
        <f t="shared" si="54"/>
        <v>2520</v>
      </c>
      <c r="W449" s="23"/>
      <c r="X449" s="30" t="s">
        <v>344</v>
      </c>
      <c r="Y449" s="30" t="s">
        <v>345</v>
      </c>
      <c r="Z449" s="53">
        <f>SUM(27.51536+25.08565+25.40491)/3</f>
        <v>26.001973333333336</v>
      </c>
      <c r="AA449" s="54">
        <f t="shared" si="52"/>
        <v>42.903256000000006</v>
      </c>
      <c r="AB449" s="23"/>
      <c r="AC449" s="4">
        <v>365</v>
      </c>
      <c r="AD449" s="32">
        <f t="shared" si="55"/>
        <v>162.6028</v>
      </c>
      <c r="AE449" s="32">
        <f t="shared" si="56"/>
        <v>177.88569999999999</v>
      </c>
      <c r="AF449" s="32">
        <f t="shared" si="57"/>
        <v>436.83</v>
      </c>
      <c r="AG449" s="32">
        <f t="shared" si="57"/>
        <v>1081.1600000000001</v>
      </c>
      <c r="AH449" s="78"/>
      <c r="AI449" s="78"/>
      <c r="AJ449" s="55">
        <f t="shared" si="58"/>
        <v>1858.4785000000002</v>
      </c>
      <c r="AK449" s="32"/>
      <c r="AL449" s="33"/>
      <c r="AM449" s="23"/>
    </row>
    <row r="450" spans="1:39" ht="45" x14ac:dyDescent="0.3">
      <c r="A450" s="64"/>
      <c r="B450" s="64"/>
      <c r="C450" s="5" t="s">
        <v>573</v>
      </c>
      <c r="D450" s="5" t="s">
        <v>120</v>
      </c>
      <c r="E450" s="7" t="s">
        <v>0</v>
      </c>
      <c r="F450" s="5"/>
      <c r="G450" s="23"/>
      <c r="H450" s="10">
        <v>4362</v>
      </c>
      <c r="I450" s="10">
        <v>4462</v>
      </c>
      <c r="J450" s="10">
        <v>4570</v>
      </c>
      <c r="K450" s="10">
        <v>4575</v>
      </c>
      <c r="L450" s="10">
        <v>3403</v>
      </c>
      <c r="M450" s="10">
        <v>2181</v>
      </c>
      <c r="N450" s="9" cm="1">
        <f t="array" ref="N450">SUM((H450:L450)/5)</f>
        <v>4274.4000000000005</v>
      </c>
      <c r="O450" s="10">
        <v>4200</v>
      </c>
      <c r="P450" s="23"/>
      <c r="Q450" s="30">
        <v>59.098999999999997</v>
      </c>
      <c r="R450" s="30">
        <v>88.853999999999999</v>
      </c>
      <c r="S450" s="30">
        <v>0.441</v>
      </c>
      <c r="T450" s="30">
        <v>0.441</v>
      </c>
      <c r="U450" s="30">
        <f t="shared" si="53"/>
        <v>1680</v>
      </c>
      <c r="V450" s="30">
        <f t="shared" si="54"/>
        <v>2520</v>
      </c>
      <c r="W450" s="23"/>
      <c r="X450" s="30" t="s">
        <v>322</v>
      </c>
      <c r="Y450" s="30" t="s">
        <v>346</v>
      </c>
      <c r="Z450" s="53">
        <f>SUM(27.47267+25.0432+25.36215)/3</f>
        <v>25.959339999999997</v>
      </c>
      <c r="AA450" s="54">
        <f t="shared" si="52"/>
        <v>42.832910999999996</v>
      </c>
      <c r="AB450" s="23"/>
      <c r="AC450" s="4">
        <v>365</v>
      </c>
      <c r="AD450" s="32">
        <f t="shared" si="55"/>
        <v>162.6028</v>
      </c>
      <c r="AE450" s="32">
        <f t="shared" si="56"/>
        <v>177.88569999999999</v>
      </c>
      <c r="AF450" s="32">
        <f t="shared" si="57"/>
        <v>436.12</v>
      </c>
      <c r="AG450" s="32">
        <f t="shared" si="57"/>
        <v>1079.3900000000001</v>
      </c>
      <c r="AH450" s="78"/>
      <c r="AI450" s="78"/>
      <c r="AJ450" s="55">
        <f t="shared" si="58"/>
        <v>1855.9985000000001</v>
      </c>
      <c r="AK450" s="32"/>
      <c r="AL450" s="33"/>
      <c r="AM450" s="23"/>
    </row>
    <row r="451" spans="1:39" ht="45" x14ac:dyDescent="0.3">
      <c r="A451" s="64"/>
      <c r="B451" s="64"/>
      <c r="C451" s="5" t="s">
        <v>572</v>
      </c>
      <c r="D451" s="5" t="s">
        <v>120</v>
      </c>
      <c r="E451" s="7" t="s">
        <v>0</v>
      </c>
      <c r="F451" s="5"/>
      <c r="G451" s="23"/>
      <c r="H451" s="10">
        <v>5762</v>
      </c>
      <c r="I451" s="10">
        <v>5953</v>
      </c>
      <c r="J451" s="10">
        <v>5529</v>
      </c>
      <c r="K451" s="10">
        <v>5097</v>
      </c>
      <c r="L451" s="10">
        <v>3967</v>
      </c>
      <c r="M451" s="10">
        <v>2694</v>
      </c>
      <c r="N451" s="9" cm="1">
        <f t="array" ref="N451">SUM((H451:L451)/5)</f>
        <v>5261.5999999999995</v>
      </c>
      <c r="O451" s="10">
        <v>5260</v>
      </c>
      <c r="P451" s="23"/>
      <c r="Q451" s="30">
        <v>59.098999999999997</v>
      </c>
      <c r="R451" s="30">
        <v>88.853999999999999</v>
      </c>
      <c r="S451" s="30">
        <v>0.441</v>
      </c>
      <c r="T451" s="30">
        <v>0.441</v>
      </c>
      <c r="U451" s="30">
        <f t="shared" si="53"/>
        <v>2104</v>
      </c>
      <c r="V451" s="30">
        <f t="shared" si="54"/>
        <v>3156</v>
      </c>
      <c r="W451" s="23"/>
      <c r="X451" s="30" t="s">
        <v>347</v>
      </c>
      <c r="Y451" s="30" t="s">
        <v>348</v>
      </c>
      <c r="Z451" s="53">
        <f>SUM(27.47112+25.0395+25.41417)/3</f>
        <v>25.974930000000001</v>
      </c>
      <c r="AA451" s="54">
        <f t="shared" si="52"/>
        <v>42.858634500000001</v>
      </c>
      <c r="AB451" s="23"/>
      <c r="AC451" s="4">
        <v>365</v>
      </c>
      <c r="AD451" s="32">
        <f t="shared" si="55"/>
        <v>162.6028</v>
      </c>
      <c r="AE451" s="32">
        <f t="shared" si="56"/>
        <v>177.88569999999999</v>
      </c>
      <c r="AF451" s="32">
        <f t="shared" si="57"/>
        <v>546.51</v>
      </c>
      <c r="AG451" s="32">
        <f t="shared" si="57"/>
        <v>1352.62</v>
      </c>
      <c r="AH451" s="78"/>
      <c r="AI451" s="78"/>
      <c r="AJ451" s="55">
        <f t="shared" si="58"/>
        <v>2239.6184999999996</v>
      </c>
      <c r="AK451" s="32"/>
      <c r="AL451" s="33"/>
      <c r="AM451" s="23"/>
    </row>
    <row r="452" spans="1:39" ht="15.6" x14ac:dyDescent="0.3">
      <c r="A452" s="64"/>
      <c r="B452" s="64"/>
      <c r="C452" s="5" t="s">
        <v>571</v>
      </c>
      <c r="D452" s="5" t="s">
        <v>120</v>
      </c>
      <c r="E452" s="7" t="s">
        <v>0</v>
      </c>
      <c r="F452" s="5"/>
      <c r="G452" s="23"/>
      <c r="H452" s="10">
        <v>580</v>
      </c>
      <c r="I452" s="10">
        <v>781</v>
      </c>
      <c r="J452" s="10">
        <v>974</v>
      </c>
      <c r="K452" s="10">
        <v>1050</v>
      </c>
      <c r="L452" s="10">
        <v>970</v>
      </c>
      <c r="M452" s="10">
        <v>355</v>
      </c>
      <c r="N452" s="9" cm="1">
        <f t="array" ref="N452">SUM((H452:L452)/5)</f>
        <v>871</v>
      </c>
      <c r="O452" s="10">
        <v>870</v>
      </c>
      <c r="P452" s="23"/>
      <c r="Q452" s="30">
        <v>59.828000000000003</v>
      </c>
      <c r="R452" s="30">
        <v>63.256999999999998</v>
      </c>
      <c r="S452" s="30">
        <v>0.441</v>
      </c>
      <c r="T452" s="30">
        <v>0.441</v>
      </c>
      <c r="U452" s="30">
        <f t="shared" si="53"/>
        <v>348</v>
      </c>
      <c r="V452" s="30">
        <f t="shared" si="54"/>
        <v>522</v>
      </c>
      <c r="W452" s="23"/>
      <c r="X452" s="30">
        <v>15.061999999999999</v>
      </c>
      <c r="Y452" s="30">
        <v>26.50648</v>
      </c>
      <c r="Z452" s="53">
        <v>26.50648</v>
      </c>
      <c r="AA452" s="54">
        <f t="shared" ref="AA452:AA454" si="59">SUM(Z452+Z452*$AA$4)</f>
        <v>43.735692</v>
      </c>
      <c r="AB452" s="23"/>
      <c r="AC452" s="4">
        <v>365</v>
      </c>
      <c r="AD452" s="32">
        <f t="shared" si="55"/>
        <v>115.7603</v>
      </c>
      <c r="AE452" s="32">
        <f t="shared" si="56"/>
        <v>126.64049999999999</v>
      </c>
      <c r="AF452" s="32">
        <f t="shared" si="57"/>
        <v>92.24</v>
      </c>
      <c r="AG452" s="32">
        <f t="shared" si="57"/>
        <v>228.3</v>
      </c>
      <c r="AH452" s="78"/>
      <c r="AI452" s="78"/>
      <c r="AJ452" s="55">
        <f t="shared" si="58"/>
        <v>562.94080000000008</v>
      </c>
      <c r="AK452" s="32"/>
      <c r="AL452" s="33"/>
      <c r="AM452" s="23"/>
    </row>
    <row r="453" spans="1:39" ht="15.6" x14ac:dyDescent="0.3">
      <c r="A453" s="64"/>
      <c r="B453" s="64"/>
      <c r="C453" s="5" t="s">
        <v>488</v>
      </c>
      <c r="D453" s="5" t="s">
        <v>120</v>
      </c>
      <c r="E453" s="7" t="s">
        <v>0</v>
      </c>
      <c r="F453" s="5"/>
      <c r="G453" s="23"/>
      <c r="H453" s="10">
        <v>575</v>
      </c>
      <c r="I453" s="10">
        <v>496</v>
      </c>
      <c r="J453" s="10">
        <v>465</v>
      </c>
      <c r="K453" s="10">
        <v>468</v>
      </c>
      <c r="L453" s="10">
        <v>560</v>
      </c>
      <c r="M453" s="10">
        <v>138</v>
      </c>
      <c r="N453" s="9" cm="1">
        <f t="array" ref="N453">SUM((H453:L453)/5)</f>
        <v>512.79999999999995</v>
      </c>
      <c r="O453" s="10">
        <v>520</v>
      </c>
      <c r="P453" s="23"/>
      <c r="Q453" s="30">
        <v>49.828000000000003</v>
      </c>
      <c r="R453" s="30">
        <v>63.256999999999998</v>
      </c>
      <c r="S453" s="30">
        <v>0.441</v>
      </c>
      <c r="T453" s="30">
        <v>0.441</v>
      </c>
      <c r="U453" s="30">
        <f t="shared" si="53"/>
        <v>208</v>
      </c>
      <c r="V453" s="30">
        <f t="shared" si="54"/>
        <v>312</v>
      </c>
      <c r="W453" s="23"/>
      <c r="X453" s="30">
        <v>15.061999999999999</v>
      </c>
      <c r="Y453" s="30">
        <v>26.50694</v>
      </c>
      <c r="Z453" s="53">
        <v>26.50694</v>
      </c>
      <c r="AA453" s="54">
        <f t="shared" si="59"/>
        <v>43.736451000000002</v>
      </c>
      <c r="AB453" s="23"/>
      <c r="AC453" s="4">
        <v>365</v>
      </c>
      <c r="AD453" s="32">
        <f t="shared" si="55"/>
        <v>115.7603</v>
      </c>
      <c r="AE453" s="32">
        <f t="shared" si="56"/>
        <v>126.64049999999999</v>
      </c>
      <c r="AF453" s="32">
        <f t="shared" si="57"/>
        <v>55.13</v>
      </c>
      <c r="AG453" s="32">
        <f t="shared" si="57"/>
        <v>136.46</v>
      </c>
      <c r="AH453" s="78"/>
      <c r="AI453" s="78"/>
      <c r="AJ453" s="55">
        <f t="shared" si="58"/>
        <v>433.99080000000004</v>
      </c>
      <c r="AK453" s="32"/>
      <c r="AL453" s="33"/>
      <c r="AM453" s="23"/>
    </row>
    <row r="454" spans="1:39" ht="45" x14ac:dyDescent="0.3">
      <c r="A454" s="64"/>
      <c r="B454" s="64"/>
      <c r="C454" s="5" t="s">
        <v>489</v>
      </c>
      <c r="D454" s="5" t="s">
        <v>120</v>
      </c>
      <c r="E454" s="7" t="s">
        <v>0</v>
      </c>
      <c r="F454" s="5"/>
      <c r="G454" s="23"/>
      <c r="H454" s="10">
        <v>446</v>
      </c>
      <c r="I454" s="10">
        <v>327</v>
      </c>
      <c r="J454" s="10">
        <v>575</v>
      </c>
      <c r="K454" s="10">
        <v>792</v>
      </c>
      <c r="L454" s="10">
        <v>772</v>
      </c>
      <c r="M454" s="10">
        <v>484</v>
      </c>
      <c r="N454" s="9" cm="1">
        <f t="array" ref="N454">SUM((H454:L454)/5)</f>
        <v>582.4</v>
      </c>
      <c r="O454" s="10">
        <v>780</v>
      </c>
      <c r="P454" s="23"/>
      <c r="Q454" s="30">
        <v>50.334000000000003</v>
      </c>
      <c r="R454" s="30">
        <v>63.256999999999998</v>
      </c>
      <c r="S454" s="30">
        <v>0.441</v>
      </c>
      <c r="T454" s="30">
        <v>0.441</v>
      </c>
      <c r="U454" s="30">
        <f t="shared" si="53"/>
        <v>312</v>
      </c>
      <c r="V454" s="30">
        <f t="shared" si="54"/>
        <v>468</v>
      </c>
      <c r="W454" s="23"/>
      <c r="X454" s="30" t="s">
        <v>202</v>
      </c>
      <c r="Y454" s="30" t="s">
        <v>349</v>
      </c>
      <c r="Z454" s="53">
        <f>SUM(27.44744+25.01855+25.33631)/3</f>
        <v>25.934100000000001</v>
      </c>
      <c r="AA454" s="54">
        <f t="shared" si="59"/>
        <v>42.791265000000003</v>
      </c>
      <c r="AB454" s="23"/>
      <c r="AC454" s="4">
        <v>365</v>
      </c>
      <c r="AD454" s="32">
        <f t="shared" si="55"/>
        <v>115.7603</v>
      </c>
      <c r="AE454" s="32">
        <f t="shared" si="56"/>
        <v>126.64049999999999</v>
      </c>
      <c r="AF454" s="32">
        <f t="shared" si="57"/>
        <v>80.91</v>
      </c>
      <c r="AG454" s="32">
        <f t="shared" si="57"/>
        <v>200.26</v>
      </c>
      <c r="AH454" s="78"/>
      <c r="AI454" s="78"/>
      <c r="AJ454" s="55">
        <f t="shared" si="58"/>
        <v>523.57079999999996</v>
      </c>
      <c r="AK454" s="32"/>
      <c r="AL454" s="33"/>
      <c r="AM454" s="23"/>
    </row>
    <row r="455" spans="1:39" ht="15.6" x14ac:dyDescent="0.3">
      <c r="A455" s="69"/>
      <c r="B455" s="68"/>
      <c r="C455" s="5"/>
      <c r="D455" s="3"/>
      <c r="E455" s="7"/>
      <c r="F455" s="5"/>
      <c r="G455" s="23"/>
      <c r="H455" s="10"/>
      <c r="I455" s="10"/>
      <c r="J455" s="10"/>
      <c r="K455" s="10"/>
      <c r="L455" s="10"/>
      <c r="M455" s="10"/>
      <c r="N455" s="9"/>
      <c r="O455" s="10"/>
      <c r="P455" s="23"/>
      <c r="Q455" s="30"/>
      <c r="R455" s="30"/>
      <c r="S455" s="30"/>
      <c r="T455" s="30"/>
      <c r="U455" s="30"/>
      <c r="V455" s="30"/>
      <c r="W455" s="23"/>
      <c r="X455" s="30"/>
      <c r="Y455" s="30"/>
      <c r="Z455" s="53"/>
      <c r="AA455" s="54"/>
      <c r="AB455" s="23"/>
      <c r="AC455" s="4"/>
      <c r="AD455" s="32"/>
      <c r="AE455" s="32"/>
      <c r="AF455" s="32"/>
      <c r="AG455" s="32"/>
      <c r="AH455" s="78"/>
      <c r="AI455" s="78"/>
      <c r="AJ455" s="55"/>
      <c r="AK455" s="32"/>
      <c r="AL455" s="33"/>
      <c r="AM455" s="23"/>
    </row>
    <row r="456" spans="1:39" ht="15.6" x14ac:dyDescent="0.3">
      <c r="A456" s="69"/>
      <c r="B456" s="68"/>
      <c r="C456" s="5"/>
      <c r="D456" s="3"/>
      <c r="E456" s="7"/>
      <c r="F456" s="5"/>
      <c r="G456" s="23"/>
      <c r="H456" s="10"/>
      <c r="I456" s="10"/>
      <c r="J456" s="10"/>
      <c r="K456" s="10"/>
      <c r="L456" s="10"/>
      <c r="M456" s="10"/>
      <c r="N456" s="9"/>
      <c r="O456" s="10"/>
      <c r="P456" s="23"/>
      <c r="Q456" s="30"/>
      <c r="R456" s="30"/>
      <c r="S456" s="30"/>
      <c r="T456" s="30"/>
      <c r="U456" s="30"/>
      <c r="V456" s="30"/>
      <c r="W456" s="23"/>
      <c r="X456" s="30"/>
      <c r="Y456" s="30"/>
      <c r="Z456" s="53"/>
      <c r="AA456" s="54"/>
      <c r="AB456" s="23"/>
      <c r="AC456" s="4"/>
      <c r="AD456" s="32"/>
      <c r="AE456" s="32"/>
      <c r="AF456" s="32"/>
      <c r="AG456" s="32"/>
      <c r="AH456" s="78"/>
      <c r="AI456" s="78"/>
      <c r="AJ456" s="55"/>
      <c r="AK456" s="32"/>
      <c r="AL456" s="33"/>
      <c r="AM456" s="23"/>
    </row>
    <row r="457" spans="1:39" ht="15.6" x14ac:dyDescent="0.3">
      <c r="A457" s="64"/>
      <c r="B457" s="68"/>
      <c r="C457" s="5" t="s">
        <v>499</v>
      </c>
      <c r="D457" s="5" t="s">
        <v>120</v>
      </c>
      <c r="E457" s="7" t="s">
        <v>0</v>
      </c>
      <c r="F457" s="5"/>
      <c r="G457" s="23"/>
      <c r="H457" s="10">
        <v>0</v>
      </c>
      <c r="I457" s="10">
        <v>0</v>
      </c>
      <c r="J457" s="10">
        <v>0</v>
      </c>
      <c r="K457" s="10">
        <v>0</v>
      </c>
      <c r="L457" s="10">
        <v>0</v>
      </c>
      <c r="M457" s="10">
        <v>0</v>
      </c>
      <c r="N457" s="9" cm="1">
        <f t="array" ref="N457">SUM((H457:L457)/5)</f>
        <v>0</v>
      </c>
      <c r="O457" s="10">
        <v>0</v>
      </c>
      <c r="P457" s="23"/>
      <c r="Q457" s="30">
        <v>200</v>
      </c>
      <c r="R457" s="30">
        <v>200</v>
      </c>
      <c r="S457" s="30">
        <v>0.441</v>
      </c>
      <c r="T457" s="30">
        <v>0.441</v>
      </c>
      <c r="U457" s="30">
        <f t="shared" ref="U457" si="60">IF(E457="Gas",O457*R452,O457*$R$4)</f>
        <v>0</v>
      </c>
      <c r="V457" s="30">
        <f t="shared" ref="V457" si="61">IF(E457="Gas",O457*T452,O457*$T$4)</f>
        <v>0</v>
      </c>
      <c r="W457" s="23"/>
      <c r="X457" s="30">
        <v>73.930000000000007</v>
      </c>
      <c r="Y457" s="30">
        <v>73.930000000000007</v>
      </c>
      <c r="Z457" s="53">
        <v>73.930000000000007</v>
      </c>
      <c r="AA457" s="54">
        <f t="shared" ref="AA457" si="62">SUM(Z457+Z457*$AA$4)</f>
        <v>121.98450000000001</v>
      </c>
      <c r="AB457" s="23"/>
      <c r="AC457" s="4">
        <v>365</v>
      </c>
      <c r="AD457" s="32">
        <f t="shared" ref="AD457" si="63">ROUND(R457*183,2)/100</f>
        <v>366</v>
      </c>
      <c r="AE457" s="32">
        <f t="shared" ref="AE457" si="64">ROUND((R457+R457*$AE$4)*(365-183),2)/100</f>
        <v>400.4</v>
      </c>
      <c r="AF457" s="32">
        <f t="shared" ref="AF457:AG457" si="65">ROUND((U457*Z457)/100,2)</f>
        <v>0</v>
      </c>
      <c r="AG457" s="32">
        <f t="shared" si="65"/>
        <v>0</v>
      </c>
      <c r="AH457" s="78"/>
      <c r="AI457" s="78"/>
      <c r="AJ457" s="55">
        <f t="shared" ref="AJ457" si="66">SUM(AD457:AG457)</f>
        <v>766.4</v>
      </c>
      <c r="AK457" s="32"/>
      <c r="AL457" s="33"/>
      <c r="AM457" s="23"/>
    </row>
    <row r="458" spans="1:39" ht="15.6" x14ac:dyDescent="0.3">
      <c r="A458" s="69"/>
      <c r="B458" s="68"/>
      <c r="C458" s="5"/>
      <c r="D458" s="3"/>
      <c r="E458" s="7"/>
      <c r="F458" s="5"/>
      <c r="G458" s="23"/>
      <c r="H458" s="10"/>
      <c r="I458" s="10"/>
      <c r="J458" s="10"/>
      <c r="K458" s="10"/>
      <c r="L458" s="10"/>
      <c r="M458" s="10"/>
      <c r="N458" s="9"/>
      <c r="O458" s="10"/>
      <c r="P458" s="23"/>
      <c r="Q458" s="30"/>
      <c r="R458" s="56"/>
      <c r="S458" s="30"/>
      <c r="T458" s="30"/>
      <c r="U458" s="30"/>
      <c r="V458" s="30"/>
      <c r="W458" s="23"/>
      <c r="X458" s="30"/>
      <c r="Y458" s="56"/>
      <c r="Z458" s="57"/>
      <c r="AA458" s="54"/>
      <c r="AB458" s="23"/>
      <c r="AC458" s="4"/>
      <c r="AD458" s="32"/>
      <c r="AE458" s="32"/>
      <c r="AF458" s="32"/>
      <c r="AG458" s="32"/>
      <c r="AH458" s="78"/>
      <c r="AI458" s="78"/>
      <c r="AJ458" s="55"/>
      <c r="AK458" s="32"/>
      <c r="AL458" s="33"/>
      <c r="AM458" s="23"/>
    </row>
    <row r="459" spans="1:39" ht="45" x14ac:dyDescent="0.3">
      <c r="A459" s="64"/>
      <c r="B459" s="70"/>
      <c r="C459" s="73" t="s">
        <v>4</v>
      </c>
      <c r="D459" s="5" t="s">
        <v>49</v>
      </c>
      <c r="E459" s="7" t="s">
        <v>0</v>
      </c>
      <c r="F459" s="5"/>
      <c r="G459" s="23"/>
      <c r="H459" s="10">
        <v>123490</v>
      </c>
      <c r="I459" s="10">
        <v>109696</v>
      </c>
      <c r="J459" s="10">
        <v>139196</v>
      </c>
      <c r="K459" s="10">
        <v>127894</v>
      </c>
      <c r="L459" s="10">
        <v>100193</v>
      </c>
      <c r="M459" s="10">
        <v>62711</v>
      </c>
      <c r="N459" s="9" cm="1">
        <f t="array" ref="N459">SUM((H459:L459)/5)</f>
        <v>120093.79999999999</v>
      </c>
      <c r="O459" s="10">
        <v>120000</v>
      </c>
      <c r="P459" s="23"/>
      <c r="Q459" s="30">
        <v>132.286</v>
      </c>
      <c r="R459" s="30">
        <v>303.38200000000001</v>
      </c>
      <c r="S459" s="30">
        <v>0.441</v>
      </c>
      <c r="T459" s="30">
        <v>0.441</v>
      </c>
      <c r="U459" s="30">
        <f t="shared" ref="U459:U487" si="67">IF(E459="Gas",O459*R454,O459*$R$4)</f>
        <v>48000</v>
      </c>
      <c r="V459" s="30">
        <f t="shared" ref="V459:V487" si="68">IF(E459="Gas",O459*T454,O459*$T$4)</f>
        <v>72000</v>
      </c>
      <c r="W459" s="23"/>
      <c r="X459" s="30" t="s">
        <v>350</v>
      </c>
      <c r="Y459" s="30" t="s">
        <v>351</v>
      </c>
      <c r="Z459" s="53">
        <f>SUM(27.50774+25.08529+25.45069)/3</f>
        <v>26.014573333333335</v>
      </c>
      <c r="AA459" s="54">
        <f t="shared" ref="AA459:AA487" si="69">SUM(Z459+Z459*$AA$4)</f>
        <v>42.924046000000004</v>
      </c>
      <c r="AB459" s="23"/>
      <c r="AC459" s="4">
        <v>365</v>
      </c>
      <c r="AD459" s="32">
        <f t="shared" ref="AD459:AD487" si="70">ROUND(R459*183,2)/100</f>
        <v>555.18910000000005</v>
      </c>
      <c r="AE459" s="32">
        <f t="shared" ref="AE459:AE487" si="71">ROUND((R459+R459*$AE$4)*(365-183),2)/100</f>
        <v>607.37080000000003</v>
      </c>
      <c r="AF459" s="32">
        <f t="shared" ref="AF459:AG487" si="72">ROUND((U459*Z459)/100,2)</f>
        <v>12487</v>
      </c>
      <c r="AG459" s="32">
        <f t="shared" si="72"/>
        <v>30905.31</v>
      </c>
      <c r="AH459" s="78"/>
      <c r="AI459" s="78"/>
      <c r="AJ459" s="55">
        <f t="shared" ref="AJ459:AJ487" si="73">SUM(AD459:AG459)</f>
        <v>44554.869900000005</v>
      </c>
      <c r="AK459" s="32"/>
      <c r="AL459" s="33"/>
      <c r="AM459" s="23"/>
    </row>
    <row r="460" spans="1:39" ht="45" x14ac:dyDescent="0.3">
      <c r="A460" s="64"/>
      <c r="B460" s="70"/>
      <c r="C460" s="73" t="s">
        <v>4</v>
      </c>
      <c r="D460" s="5" t="s">
        <v>49</v>
      </c>
      <c r="E460" s="7" t="s">
        <v>0</v>
      </c>
      <c r="F460" s="5"/>
      <c r="G460" s="23"/>
      <c r="H460" s="10">
        <v>2467</v>
      </c>
      <c r="I460" s="10">
        <v>2362</v>
      </c>
      <c r="J460" s="10">
        <v>2526</v>
      </c>
      <c r="K460" s="10">
        <v>2508</v>
      </c>
      <c r="L460" s="10">
        <v>2511</v>
      </c>
      <c r="M460" s="10">
        <v>1793</v>
      </c>
      <c r="N460" s="9" cm="1">
        <f t="array" ref="N460">SUM((H460:L460)/5)</f>
        <v>2474.7999999999997</v>
      </c>
      <c r="O460" s="10">
        <v>2475</v>
      </c>
      <c r="P460" s="23"/>
      <c r="Q460" s="30">
        <v>50.334000000000003</v>
      </c>
      <c r="R460" s="30">
        <v>60.256999999999998</v>
      </c>
      <c r="S460" s="30">
        <v>0.441</v>
      </c>
      <c r="T460" s="30">
        <v>0.441</v>
      </c>
      <c r="U460" s="30">
        <f t="shared" si="67"/>
        <v>990</v>
      </c>
      <c r="V460" s="30">
        <f t="shared" si="68"/>
        <v>1485</v>
      </c>
      <c r="W460" s="23"/>
      <c r="X460" s="30" t="s">
        <v>301</v>
      </c>
      <c r="Y460" s="30" t="s">
        <v>352</v>
      </c>
      <c r="Z460" s="53">
        <f>SUM(27.48554+25.05646+25.37577)/3</f>
        <v>25.97259</v>
      </c>
      <c r="AA460" s="54">
        <f t="shared" si="69"/>
        <v>42.8547735</v>
      </c>
      <c r="AB460" s="23"/>
      <c r="AC460" s="4">
        <v>365</v>
      </c>
      <c r="AD460" s="32">
        <f t="shared" si="70"/>
        <v>110.27030000000001</v>
      </c>
      <c r="AE460" s="32">
        <f t="shared" si="71"/>
        <v>120.6345</v>
      </c>
      <c r="AF460" s="32">
        <f t="shared" si="72"/>
        <v>257.13</v>
      </c>
      <c r="AG460" s="32">
        <f t="shared" si="72"/>
        <v>636.39</v>
      </c>
      <c r="AH460" s="78"/>
      <c r="AI460" s="78"/>
      <c r="AJ460" s="55">
        <f t="shared" si="73"/>
        <v>1124.4248</v>
      </c>
      <c r="AK460" s="32"/>
      <c r="AL460" s="33"/>
      <c r="AM460" s="23"/>
    </row>
    <row r="461" spans="1:39" ht="30" x14ac:dyDescent="0.3">
      <c r="A461" s="64"/>
      <c r="B461" s="64"/>
      <c r="C461" s="73" t="s">
        <v>353</v>
      </c>
      <c r="D461" s="5" t="s">
        <v>49</v>
      </c>
      <c r="E461" s="7" t="s">
        <v>0</v>
      </c>
      <c r="F461" s="5"/>
      <c r="G461" s="23"/>
      <c r="H461" s="10">
        <v>72213</v>
      </c>
      <c r="I461" s="10">
        <v>72399</v>
      </c>
      <c r="J461" s="10">
        <v>73757</v>
      </c>
      <c r="K461" s="10">
        <v>73558</v>
      </c>
      <c r="L461" s="10">
        <v>76129</v>
      </c>
      <c r="M461" s="10">
        <v>47251</v>
      </c>
      <c r="N461" s="9" cm="1">
        <f t="array" ref="N461">SUM((H461:L461)/5)</f>
        <v>73611.199999999997</v>
      </c>
      <c r="O461" s="10">
        <v>73400</v>
      </c>
      <c r="P461" s="23"/>
      <c r="Q461" s="30">
        <v>132.286</v>
      </c>
      <c r="R461" s="30">
        <v>303.38200000000001</v>
      </c>
      <c r="S461" s="30">
        <v>0.441</v>
      </c>
      <c r="T461" s="30">
        <v>0.441</v>
      </c>
      <c r="U461" s="30">
        <f t="shared" si="67"/>
        <v>29360</v>
      </c>
      <c r="V461" s="30">
        <f t="shared" si="68"/>
        <v>44040</v>
      </c>
      <c r="W461" s="23"/>
      <c r="X461" s="30" t="s">
        <v>354</v>
      </c>
      <c r="Y461" s="30" t="s">
        <v>355</v>
      </c>
      <c r="Z461" s="53">
        <f>SUM(26.7591+25.12799)/2</f>
        <v>25.943545</v>
      </c>
      <c r="AA461" s="54">
        <f t="shared" si="69"/>
        <v>42.806849249999999</v>
      </c>
      <c r="AB461" s="23"/>
      <c r="AC461" s="4">
        <v>365</v>
      </c>
      <c r="AD461" s="32">
        <f t="shared" si="70"/>
        <v>555.18910000000005</v>
      </c>
      <c r="AE461" s="32">
        <f t="shared" si="71"/>
        <v>607.37080000000003</v>
      </c>
      <c r="AF461" s="32">
        <f t="shared" si="72"/>
        <v>7617.02</v>
      </c>
      <c r="AG461" s="32">
        <f t="shared" si="72"/>
        <v>18852.14</v>
      </c>
      <c r="AH461" s="78"/>
      <c r="AI461" s="78"/>
      <c r="AJ461" s="55">
        <f t="shared" si="73"/>
        <v>27631.7199</v>
      </c>
      <c r="AK461" s="32"/>
      <c r="AL461" s="33"/>
      <c r="AM461" s="23"/>
    </row>
    <row r="462" spans="1:39" ht="45" x14ac:dyDescent="0.3">
      <c r="A462" s="64"/>
      <c r="B462" s="64"/>
      <c r="C462" s="73" t="s">
        <v>356</v>
      </c>
      <c r="D462" s="5" t="s">
        <v>49</v>
      </c>
      <c r="E462" s="7" t="s">
        <v>0</v>
      </c>
      <c r="F462" s="5"/>
      <c r="G462" s="23"/>
      <c r="H462" s="10">
        <v>42610</v>
      </c>
      <c r="I462" s="10">
        <v>32186</v>
      </c>
      <c r="J462" s="10">
        <v>31800</v>
      </c>
      <c r="K462" s="10">
        <v>30016</v>
      </c>
      <c r="L462" s="10">
        <v>30539</v>
      </c>
      <c r="M462" s="10">
        <v>19854</v>
      </c>
      <c r="N462" s="9" cm="1">
        <f t="array" ref="N462">SUM((H462:L462)/5)</f>
        <v>33430.200000000004</v>
      </c>
      <c r="O462" s="10">
        <v>33430</v>
      </c>
      <c r="P462" s="23"/>
      <c r="Q462" s="30">
        <v>132.286</v>
      </c>
      <c r="R462" s="30">
        <v>303.38200000000001</v>
      </c>
      <c r="S462" s="30">
        <v>0.441</v>
      </c>
      <c r="T462" s="30">
        <v>0.441</v>
      </c>
      <c r="U462" s="30">
        <f t="shared" si="67"/>
        <v>13372</v>
      </c>
      <c r="V462" s="30">
        <f t="shared" si="68"/>
        <v>20058</v>
      </c>
      <c r="W462" s="23"/>
      <c r="X462" s="30" t="s">
        <v>350</v>
      </c>
      <c r="Y462" s="30" t="s">
        <v>357</v>
      </c>
      <c r="Z462" s="53">
        <f>SUM(27.50875+25.08632+25.45169)/3</f>
        <v>26.015586666666668</v>
      </c>
      <c r="AA462" s="54">
        <f t="shared" si="69"/>
        <v>42.925718000000003</v>
      </c>
      <c r="AB462" s="23"/>
      <c r="AC462" s="4">
        <v>365</v>
      </c>
      <c r="AD462" s="32">
        <f t="shared" si="70"/>
        <v>555.18910000000005</v>
      </c>
      <c r="AE462" s="32">
        <f t="shared" si="71"/>
        <v>607.37080000000003</v>
      </c>
      <c r="AF462" s="32">
        <f t="shared" si="72"/>
        <v>3478.8</v>
      </c>
      <c r="AG462" s="32">
        <f t="shared" si="72"/>
        <v>8610.0400000000009</v>
      </c>
      <c r="AH462" s="78"/>
      <c r="AI462" s="78"/>
      <c r="AJ462" s="55">
        <f t="shared" si="73"/>
        <v>13251.3999</v>
      </c>
      <c r="AK462" s="32"/>
      <c r="AL462" s="33"/>
      <c r="AM462" s="23"/>
    </row>
    <row r="463" spans="1:39" ht="30" x14ac:dyDescent="0.3">
      <c r="A463" s="64"/>
      <c r="B463" s="64"/>
      <c r="C463" s="73" t="s">
        <v>5</v>
      </c>
      <c r="D463" s="5" t="s">
        <v>49</v>
      </c>
      <c r="E463" s="7" t="s">
        <v>0</v>
      </c>
      <c r="F463" s="5"/>
      <c r="G463" s="23"/>
      <c r="H463" s="10">
        <v>4540</v>
      </c>
      <c r="I463" s="10">
        <v>4545</v>
      </c>
      <c r="J463" s="10">
        <v>4079</v>
      </c>
      <c r="K463" s="10">
        <v>2271</v>
      </c>
      <c r="L463" s="10">
        <v>600</v>
      </c>
      <c r="M463" s="10">
        <v>96</v>
      </c>
      <c r="N463" s="9" cm="1">
        <f t="array" ref="N463">SUM((H463:L463)/5)</f>
        <v>3207</v>
      </c>
      <c r="O463" s="10">
        <v>3200</v>
      </c>
      <c r="P463" s="23"/>
      <c r="Q463" s="30">
        <v>49.325000000000003</v>
      </c>
      <c r="R463" s="30">
        <v>72.016000000000005</v>
      </c>
      <c r="S463" s="30">
        <v>0.441</v>
      </c>
      <c r="T463" s="30">
        <v>0.441</v>
      </c>
      <c r="U463" s="30">
        <f t="shared" si="67"/>
        <v>1280</v>
      </c>
      <c r="V463" s="30">
        <f t="shared" si="68"/>
        <v>1920</v>
      </c>
      <c r="W463" s="23"/>
      <c r="X463" s="30" t="s">
        <v>358</v>
      </c>
      <c r="Y463" s="30" t="s">
        <v>359</v>
      </c>
      <c r="Z463" s="53">
        <f>SUM(27.23471+25.11052)/2</f>
        <v>26.172615</v>
      </c>
      <c r="AA463" s="54">
        <f t="shared" si="69"/>
        <v>43.184814750000001</v>
      </c>
      <c r="AB463" s="23"/>
      <c r="AC463" s="4">
        <v>365</v>
      </c>
      <c r="AD463" s="32">
        <f t="shared" si="70"/>
        <v>131.7893</v>
      </c>
      <c r="AE463" s="32">
        <f t="shared" si="71"/>
        <v>144.17600000000002</v>
      </c>
      <c r="AF463" s="32">
        <f t="shared" si="72"/>
        <v>335.01</v>
      </c>
      <c r="AG463" s="32">
        <f t="shared" si="72"/>
        <v>829.15</v>
      </c>
      <c r="AH463" s="78"/>
      <c r="AI463" s="78"/>
      <c r="AJ463" s="55">
        <f t="shared" si="73"/>
        <v>1440.1253000000002</v>
      </c>
      <c r="AK463" s="32"/>
      <c r="AL463" s="33"/>
      <c r="AM463" s="23"/>
    </row>
    <row r="464" spans="1:39" ht="45" x14ac:dyDescent="0.3">
      <c r="A464" s="64"/>
      <c r="B464" s="64"/>
      <c r="C464" s="73" t="s">
        <v>5</v>
      </c>
      <c r="D464" s="5" t="s">
        <v>49</v>
      </c>
      <c r="E464" s="7" t="s">
        <v>0</v>
      </c>
      <c r="F464" s="5"/>
      <c r="G464" s="23"/>
      <c r="H464" s="10">
        <v>16081</v>
      </c>
      <c r="I464" s="10">
        <v>13527</v>
      </c>
      <c r="J464" s="10">
        <v>12209</v>
      </c>
      <c r="K464" s="10">
        <v>11769</v>
      </c>
      <c r="L464" s="10">
        <v>12871</v>
      </c>
      <c r="M464" s="10">
        <v>6199</v>
      </c>
      <c r="N464" s="9" cm="1">
        <f t="array" ref="N464">SUM((H464:L464)/5)</f>
        <v>13291.400000000001</v>
      </c>
      <c r="O464" s="10">
        <v>13290</v>
      </c>
      <c r="P464" s="23"/>
      <c r="Q464" s="30">
        <v>75.238</v>
      </c>
      <c r="R464" s="30">
        <v>135.40899999999999</v>
      </c>
      <c r="S464" s="30">
        <v>0.441</v>
      </c>
      <c r="T464" s="30">
        <v>0.441</v>
      </c>
      <c r="U464" s="30">
        <f t="shared" si="67"/>
        <v>5316</v>
      </c>
      <c r="V464" s="30">
        <f t="shared" si="68"/>
        <v>7974</v>
      </c>
      <c r="W464" s="23"/>
      <c r="X464" s="30" t="s">
        <v>315</v>
      </c>
      <c r="Y464" s="30" t="s">
        <v>360</v>
      </c>
      <c r="Z464" s="53">
        <f>SUM(27.54696+25.1175+25.43675)/3</f>
        <v>26.033736666666666</v>
      </c>
      <c r="AA464" s="54">
        <f t="shared" si="69"/>
        <v>42.955665499999995</v>
      </c>
      <c r="AB464" s="23"/>
      <c r="AC464" s="4">
        <v>365</v>
      </c>
      <c r="AD464" s="32">
        <f t="shared" si="70"/>
        <v>247.79849999999999</v>
      </c>
      <c r="AE464" s="32">
        <f t="shared" si="71"/>
        <v>271.08879999999999</v>
      </c>
      <c r="AF464" s="32">
        <f t="shared" si="72"/>
        <v>1383.95</v>
      </c>
      <c r="AG464" s="32">
        <f t="shared" si="72"/>
        <v>3425.28</v>
      </c>
      <c r="AH464" s="78"/>
      <c r="AI464" s="78"/>
      <c r="AJ464" s="55">
        <f t="shared" si="73"/>
        <v>5328.1172999999999</v>
      </c>
      <c r="AK464" s="32"/>
      <c r="AL464" s="33"/>
      <c r="AM464" s="23"/>
    </row>
    <row r="465" spans="1:39" ht="15.6" x14ac:dyDescent="0.3">
      <c r="A465" s="64"/>
      <c r="B465" s="64"/>
      <c r="C465" s="73" t="s">
        <v>6</v>
      </c>
      <c r="D465" s="5" t="s">
        <v>49</v>
      </c>
      <c r="E465" s="7" t="s">
        <v>0</v>
      </c>
      <c r="F465" s="5"/>
      <c r="G465" s="23"/>
      <c r="H465" s="10">
        <v>22080</v>
      </c>
      <c r="I465" s="10">
        <v>33232</v>
      </c>
      <c r="J465" s="10">
        <v>31816</v>
      </c>
      <c r="K465" s="10">
        <v>30666</v>
      </c>
      <c r="L465" s="10">
        <v>31335</v>
      </c>
      <c r="M465" s="10">
        <v>20112</v>
      </c>
      <c r="N465" s="9" cm="1">
        <f t="array" ref="N465">SUM((H465:L465)/5)</f>
        <v>29825.8</v>
      </c>
      <c r="O465" s="10">
        <v>29900</v>
      </c>
      <c r="P465" s="23"/>
      <c r="Q465" s="30">
        <v>131.77600000000001</v>
      </c>
      <c r="R465" s="30">
        <v>303.38200000000001</v>
      </c>
      <c r="S465" s="30">
        <v>0.441</v>
      </c>
      <c r="T465" s="30">
        <v>0.441</v>
      </c>
      <c r="U465" s="30">
        <f t="shared" si="67"/>
        <v>11960</v>
      </c>
      <c r="V465" s="30">
        <f t="shared" si="68"/>
        <v>17940</v>
      </c>
      <c r="W465" s="23"/>
      <c r="X465" s="30">
        <v>15.061999999999999</v>
      </c>
      <c r="Y465" s="30">
        <v>26.506260000000001</v>
      </c>
      <c r="Z465" s="53">
        <v>26.506260000000001</v>
      </c>
      <c r="AA465" s="54">
        <f t="shared" si="69"/>
        <v>43.735329000000007</v>
      </c>
      <c r="AB465" s="23"/>
      <c r="AC465" s="4">
        <v>365</v>
      </c>
      <c r="AD465" s="32">
        <f t="shared" si="70"/>
        <v>555.18910000000005</v>
      </c>
      <c r="AE465" s="32">
        <f t="shared" si="71"/>
        <v>607.37080000000003</v>
      </c>
      <c r="AF465" s="32">
        <f t="shared" si="72"/>
        <v>3170.15</v>
      </c>
      <c r="AG465" s="32">
        <f t="shared" si="72"/>
        <v>7846.12</v>
      </c>
      <c r="AH465" s="78"/>
      <c r="AI465" s="78"/>
      <c r="AJ465" s="55">
        <f t="shared" si="73"/>
        <v>12178.829900000001</v>
      </c>
      <c r="AK465" s="32"/>
      <c r="AL465" s="33"/>
      <c r="AM465" s="23"/>
    </row>
    <row r="466" spans="1:39" ht="15.6" x14ac:dyDescent="0.3">
      <c r="A466" s="64"/>
      <c r="B466" s="64"/>
      <c r="C466" s="73" t="s">
        <v>108</v>
      </c>
      <c r="D466" s="5" t="s">
        <v>49</v>
      </c>
      <c r="E466" s="7" t="s">
        <v>0</v>
      </c>
      <c r="F466" s="5"/>
      <c r="G466" s="23"/>
      <c r="H466" s="10">
        <v>87908</v>
      </c>
      <c r="I466" s="10">
        <v>87972</v>
      </c>
      <c r="J466" s="10">
        <v>86202</v>
      </c>
      <c r="K466" s="10">
        <v>80396</v>
      </c>
      <c r="L466" s="10">
        <v>77303</v>
      </c>
      <c r="M466" s="10">
        <v>52057</v>
      </c>
      <c r="N466" s="9" cm="1">
        <f t="array" ref="N466">SUM((H466:L466)/5)</f>
        <v>83956.200000000012</v>
      </c>
      <c r="O466" s="10">
        <v>84000</v>
      </c>
      <c r="P466" s="23"/>
      <c r="Q466" s="30">
        <v>131.77600000000001</v>
      </c>
      <c r="R466" s="30">
        <v>303.38200000000001</v>
      </c>
      <c r="S466" s="30">
        <v>0.441</v>
      </c>
      <c r="T466" s="30">
        <v>0.441</v>
      </c>
      <c r="U466" s="30">
        <f t="shared" si="67"/>
        <v>33600</v>
      </c>
      <c r="V466" s="30">
        <f t="shared" si="68"/>
        <v>50400</v>
      </c>
      <c r="W466" s="23"/>
      <c r="X466" s="30">
        <v>15.061999999999999</v>
      </c>
      <c r="Y466" s="30">
        <v>26.506270000000001</v>
      </c>
      <c r="Z466" s="53">
        <v>26.506270000000001</v>
      </c>
      <c r="AA466" s="54">
        <f t="shared" si="69"/>
        <v>43.735345500000001</v>
      </c>
      <c r="AB466" s="23"/>
      <c r="AC466" s="4">
        <v>365</v>
      </c>
      <c r="AD466" s="32">
        <f t="shared" si="70"/>
        <v>555.18910000000005</v>
      </c>
      <c r="AE466" s="32">
        <f t="shared" si="71"/>
        <v>607.37080000000003</v>
      </c>
      <c r="AF466" s="32">
        <f t="shared" si="72"/>
        <v>8906.11</v>
      </c>
      <c r="AG466" s="32">
        <f t="shared" si="72"/>
        <v>22042.61</v>
      </c>
      <c r="AH466" s="78"/>
      <c r="AI466" s="78"/>
      <c r="AJ466" s="55">
        <f t="shared" si="73"/>
        <v>32111.279900000001</v>
      </c>
      <c r="AK466" s="32"/>
      <c r="AL466" s="33"/>
      <c r="AM466" s="23"/>
    </row>
    <row r="467" spans="1:39" ht="45" x14ac:dyDescent="0.3">
      <c r="A467" s="64"/>
      <c r="B467" s="64"/>
      <c r="C467" s="73" t="s">
        <v>21</v>
      </c>
      <c r="D467" s="5" t="s">
        <v>49</v>
      </c>
      <c r="E467" s="7" t="s">
        <v>0</v>
      </c>
      <c r="F467" s="5"/>
      <c r="G467" s="23"/>
      <c r="H467" s="10">
        <v>97635</v>
      </c>
      <c r="I467" s="10">
        <v>93032</v>
      </c>
      <c r="J467" s="10">
        <v>90465</v>
      </c>
      <c r="K467" s="10">
        <v>93993</v>
      </c>
      <c r="L467" s="10">
        <v>81305</v>
      </c>
      <c r="M467" s="10">
        <v>50576</v>
      </c>
      <c r="N467" s="9" cm="1">
        <f t="array" ref="N467">SUM((H467:L467)/5)</f>
        <v>91286</v>
      </c>
      <c r="O467" s="10">
        <v>91000</v>
      </c>
      <c r="P467" s="23"/>
      <c r="Q467" s="30">
        <v>132.286</v>
      </c>
      <c r="R467" s="30">
        <v>303.38200000000001</v>
      </c>
      <c r="S467" s="30">
        <v>0.441</v>
      </c>
      <c r="T467" s="30">
        <v>0.441</v>
      </c>
      <c r="U467" s="30">
        <f t="shared" si="67"/>
        <v>36400</v>
      </c>
      <c r="V467" s="30">
        <f t="shared" si="68"/>
        <v>54600</v>
      </c>
      <c r="W467" s="23"/>
      <c r="X467" s="30" t="s">
        <v>350</v>
      </c>
      <c r="Y467" s="30" t="s">
        <v>361</v>
      </c>
      <c r="Z467" s="53">
        <f>SUM(27.52445+25.10202+25.46741)/3</f>
        <v>26.031293333333334</v>
      </c>
      <c r="AA467" s="54">
        <f t="shared" si="69"/>
        <v>42.951633999999999</v>
      </c>
      <c r="AB467" s="23"/>
      <c r="AC467" s="4">
        <v>365</v>
      </c>
      <c r="AD467" s="32">
        <f t="shared" si="70"/>
        <v>555.18910000000005</v>
      </c>
      <c r="AE467" s="32">
        <f t="shared" si="71"/>
        <v>607.37080000000003</v>
      </c>
      <c r="AF467" s="32">
        <f t="shared" si="72"/>
        <v>9475.39</v>
      </c>
      <c r="AG467" s="32">
        <f t="shared" si="72"/>
        <v>23451.59</v>
      </c>
      <c r="AH467" s="78"/>
      <c r="AI467" s="78"/>
      <c r="AJ467" s="55">
        <f t="shared" si="73"/>
        <v>34089.539900000003</v>
      </c>
      <c r="AK467" s="32"/>
      <c r="AL467" s="33"/>
      <c r="AM467" s="23"/>
    </row>
    <row r="468" spans="1:39" ht="15.6" x14ac:dyDescent="0.3">
      <c r="A468" s="64"/>
      <c r="B468" s="64"/>
      <c r="C468" s="76" t="s">
        <v>7</v>
      </c>
      <c r="D468" s="5" t="s">
        <v>49</v>
      </c>
      <c r="E468" s="7" t="s">
        <v>0</v>
      </c>
      <c r="F468" s="5"/>
      <c r="G468" s="23"/>
      <c r="H468" s="10">
        <v>333</v>
      </c>
      <c r="I468" s="10">
        <v>304</v>
      </c>
      <c r="J468" s="10">
        <v>341</v>
      </c>
      <c r="K468" s="10">
        <v>340</v>
      </c>
      <c r="L468" s="10">
        <v>253</v>
      </c>
      <c r="M468" s="10">
        <v>86</v>
      </c>
      <c r="N468" s="9" cm="1">
        <f t="array" ref="N468">SUM((H468:L468)/5)</f>
        <v>314.20000000000005</v>
      </c>
      <c r="O468" s="10">
        <v>310</v>
      </c>
      <c r="P468" s="23"/>
      <c r="Q468" s="30">
        <v>49.308</v>
      </c>
      <c r="R468" s="30">
        <v>72.016000000000005</v>
      </c>
      <c r="S468" s="30">
        <v>0.441</v>
      </c>
      <c r="T468" s="30">
        <v>0.441</v>
      </c>
      <c r="U468" s="30">
        <f t="shared" si="67"/>
        <v>124</v>
      </c>
      <c r="V468" s="30">
        <f t="shared" si="68"/>
        <v>186</v>
      </c>
      <c r="W468" s="23"/>
      <c r="X468" s="30">
        <v>15.868</v>
      </c>
      <c r="Y468" s="30">
        <v>27.08212</v>
      </c>
      <c r="Z468" s="53">
        <v>27.08212</v>
      </c>
      <c r="AA468" s="54">
        <f t="shared" si="69"/>
        <v>44.685497999999995</v>
      </c>
      <c r="AB468" s="23"/>
      <c r="AC468" s="4">
        <v>365</v>
      </c>
      <c r="AD468" s="32">
        <f t="shared" si="70"/>
        <v>131.7893</v>
      </c>
      <c r="AE468" s="32">
        <f t="shared" si="71"/>
        <v>144.17600000000002</v>
      </c>
      <c r="AF468" s="32">
        <f t="shared" si="72"/>
        <v>33.58</v>
      </c>
      <c r="AG468" s="32">
        <f t="shared" si="72"/>
        <v>83.12</v>
      </c>
      <c r="AH468" s="78"/>
      <c r="AI468" s="78"/>
      <c r="AJ468" s="55">
        <f t="shared" si="73"/>
        <v>392.6653</v>
      </c>
      <c r="AK468" s="32"/>
      <c r="AL468" s="33"/>
      <c r="AM468" s="23"/>
    </row>
    <row r="469" spans="1:39" ht="45" x14ac:dyDescent="0.3">
      <c r="A469" s="64"/>
      <c r="B469" s="64"/>
      <c r="C469" s="76" t="s">
        <v>7</v>
      </c>
      <c r="D469" s="5" t="s">
        <v>49</v>
      </c>
      <c r="E469" s="7" t="s">
        <v>0</v>
      </c>
      <c r="F469" s="5"/>
      <c r="G469" s="23"/>
      <c r="H469" s="10">
        <v>7416</v>
      </c>
      <c r="I469" s="10">
        <v>9103</v>
      </c>
      <c r="J469" s="10">
        <v>10107</v>
      </c>
      <c r="K469" s="10">
        <v>5932</v>
      </c>
      <c r="L469" s="10">
        <v>6004</v>
      </c>
      <c r="M469" s="10">
        <v>453</v>
      </c>
      <c r="N469" s="9" cm="1">
        <f t="array" ref="N469">SUM((H469:L469)/5)</f>
        <v>7712.4000000000005</v>
      </c>
      <c r="O469" s="10">
        <v>7710</v>
      </c>
      <c r="P469" s="23"/>
      <c r="Q469" s="30">
        <v>59.098999999999997</v>
      </c>
      <c r="R469" s="30">
        <v>88.853999999999999</v>
      </c>
      <c r="S469" s="30">
        <v>0.441</v>
      </c>
      <c r="T469" s="30">
        <v>0.441</v>
      </c>
      <c r="U469" s="30">
        <f t="shared" si="67"/>
        <v>3084</v>
      </c>
      <c r="V469" s="30">
        <f t="shared" si="68"/>
        <v>4626</v>
      </c>
      <c r="W469" s="23"/>
      <c r="X469" s="30" t="s">
        <v>315</v>
      </c>
      <c r="Y469" s="30" t="s">
        <v>362</v>
      </c>
      <c r="Z469" s="53">
        <f>SUM(27.44035+25.01084+25.32996)</f>
        <v>77.781149999999997</v>
      </c>
      <c r="AA469" s="54">
        <f t="shared" si="69"/>
        <v>128.3388975</v>
      </c>
      <c r="AB469" s="23"/>
      <c r="AC469" s="4">
        <v>365</v>
      </c>
      <c r="AD469" s="32">
        <f t="shared" si="70"/>
        <v>162.6028</v>
      </c>
      <c r="AE469" s="32">
        <f t="shared" si="71"/>
        <v>177.88569999999999</v>
      </c>
      <c r="AF469" s="32">
        <f t="shared" si="72"/>
        <v>2398.77</v>
      </c>
      <c r="AG469" s="32">
        <f t="shared" si="72"/>
        <v>5936.96</v>
      </c>
      <c r="AH469" s="78"/>
      <c r="AI469" s="78"/>
      <c r="AJ469" s="55">
        <f t="shared" si="73"/>
        <v>8676.218499999999</v>
      </c>
      <c r="AK469" s="32"/>
      <c r="AL469" s="33"/>
      <c r="AM469" s="23"/>
    </row>
    <row r="470" spans="1:39" ht="45" x14ac:dyDescent="0.3">
      <c r="A470" s="64"/>
      <c r="B470" s="64"/>
      <c r="C470" s="73" t="s">
        <v>10</v>
      </c>
      <c r="D470" s="5" t="s">
        <v>49</v>
      </c>
      <c r="E470" s="7" t="s">
        <v>0</v>
      </c>
      <c r="F470" s="5"/>
      <c r="G470" s="23"/>
      <c r="H470" s="10">
        <v>94818</v>
      </c>
      <c r="I470" s="10">
        <v>88799</v>
      </c>
      <c r="J470" s="10">
        <v>88101</v>
      </c>
      <c r="K470" s="10">
        <v>79784</v>
      </c>
      <c r="L470" s="10">
        <v>58650</v>
      </c>
      <c r="M470" s="10">
        <v>48515</v>
      </c>
      <c r="N470" s="9" cm="1">
        <f t="array" ref="N470">SUM((H470:L470)/5)</f>
        <v>82030.399999999994</v>
      </c>
      <c r="O470" s="10">
        <v>82030</v>
      </c>
      <c r="P470" s="23"/>
      <c r="Q470" s="30">
        <v>132.286</v>
      </c>
      <c r="R470" s="30">
        <v>303.38200000000001</v>
      </c>
      <c r="S470" s="30">
        <v>0.441</v>
      </c>
      <c r="T470" s="30">
        <v>0.441</v>
      </c>
      <c r="U470" s="30">
        <f t="shared" si="67"/>
        <v>32812</v>
      </c>
      <c r="V470" s="30">
        <f t="shared" si="68"/>
        <v>49218</v>
      </c>
      <c r="W470" s="23"/>
      <c r="X470" s="30" t="s">
        <v>350</v>
      </c>
      <c r="Y470" s="30" t="s">
        <v>363</v>
      </c>
      <c r="Z470" s="53">
        <f>SUM(27.50663+25.0842+25.4496)/3</f>
        <v>26.013476666666666</v>
      </c>
      <c r="AA470" s="54">
        <f t="shared" si="69"/>
        <v>42.922236499999997</v>
      </c>
      <c r="AB470" s="23"/>
      <c r="AC470" s="4">
        <v>365</v>
      </c>
      <c r="AD470" s="32">
        <f t="shared" si="70"/>
        <v>555.18910000000005</v>
      </c>
      <c r="AE470" s="32">
        <f t="shared" si="71"/>
        <v>607.37080000000003</v>
      </c>
      <c r="AF470" s="32">
        <f t="shared" si="72"/>
        <v>8535.5400000000009</v>
      </c>
      <c r="AG470" s="32">
        <f t="shared" si="72"/>
        <v>21125.47</v>
      </c>
      <c r="AH470" s="78"/>
      <c r="AI470" s="78"/>
      <c r="AJ470" s="55">
        <f t="shared" si="73"/>
        <v>30823.569900000002</v>
      </c>
      <c r="AK470" s="32"/>
      <c r="AL470" s="33"/>
      <c r="AM470" s="23"/>
    </row>
    <row r="471" spans="1:39" ht="45" x14ac:dyDescent="0.3">
      <c r="A471" s="64"/>
      <c r="B471" s="64"/>
      <c r="C471" s="73" t="s">
        <v>11</v>
      </c>
      <c r="D471" s="5" t="s">
        <v>49</v>
      </c>
      <c r="E471" s="7" t="s">
        <v>0</v>
      </c>
      <c r="F471" s="5"/>
      <c r="G471" s="23"/>
      <c r="H471" s="10">
        <v>69724</v>
      </c>
      <c r="I471" s="10">
        <v>61181</v>
      </c>
      <c r="J471" s="10">
        <v>66512</v>
      </c>
      <c r="K471" s="10">
        <v>70311</v>
      </c>
      <c r="L471" s="10">
        <v>62284</v>
      </c>
      <c r="M471" s="10">
        <v>30833</v>
      </c>
      <c r="N471" s="9" cm="1">
        <f t="array" ref="N471">SUM((H471:L471)/5)</f>
        <v>66002.400000000009</v>
      </c>
      <c r="O471" s="10">
        <v>66000</v>
      </c>
      <c r="P471" s="23"/>
      <c r="Q471" s="30">
        <v>132.286</v>
      </c>
      <c r="R471" s="30">
        <v>303.38200000000001</v>
      </c>
      <c r="S471" s="30">
        <v>0.441</v>
      </c>
      <c r="T471" s="30">
        <v>0.441</v>
      </c>
      <c r="U471" s="30">
        <f t="shared" si="67"/>
        <v>26400</v>
      </c>
      <c r="V471" s="30">
        <f t="shared" si="68"/>
        <v>39600</v>
      </c>
      <c r="W471" s="23"/>
      <c r="X471" s="30" t="s">
        <v>350</v>
      </c>
      <c r="Y471" s="30" t="s">
        <v>364</v>
      </c>
      <c r="Z471" s="53">
        <f>SUM(27.58226+25.15982+25.52518)/3</f>
        <v>26.089086666666663</v>
      </c>
      <c r="AA471" s="54">
        <f t="shared" si="69"/>
        <v>43.046992999999993</v>
      </c>
      <c r="AB471" s="23"/>
      <c r="AC471" s="4">
        <v>365</v>
      </c>
      <c r="AD471" s="32">
        <f t="shared" si="70"/>
        <v>555.18910000000005</v>
      </c>
      <c r="AE471" s="32">
        <f t="shared" si="71"/>
        <v>607.37080000000003</v>
      </c>
      <c r="AF471" s="32">
        <f t="shared" si="72"/>
        <v>6887.52</v>
      </c>
      <c r="AG471" s="32">
        <f t="shared" si="72"/>
        <v>17046.61</v>
      </c>
      <c r="AH471" s="78"/>
      <c r="AI471" s="78"/>
      <c r="AJ471" s="55">
        <f t="shared" si="73"/>
        <v>25096.689900000001</v>
      </c>
      <c r="AK471" s="32"/>
      <c r="AL471" s="33"/>
      <c r="AM471" s="23"/>
    </row>
    <row r="472" spans="1:39" ht="30" x14ac:dyDescent="0.3">
      <c r="A472" s="64"/>
      <c r="B472" s="64"/>
      <c r="C472" s="73" t="s">
        <v>3</v>
      </c>
      <c r="D472" s="5" t="s">
        <v>49</v>
      </c>
      <c r="E472" s="7" t="s">
        <v>0</v>
      </c>
      <c r="F472" s="5"/>
      <c r="G472" s="23"/>
      <c r="H472" s="10">
        <v>126459</v>
      </c>
      <c r="I472" s="10">
        <v>116094</v>
      </c>
      <c r="J472" s="10">
        <v>114392</v>
      </c>
      <c r="K472" s="10">
        <v>97947</v>
      </c>
      <c r="L472" s="10">
        <v>89604</v>
      </c>
      <c r="M472" s="10">
        <v>58737</v>
      </c>
      <c r="N472" s="9" cm="1">
        <f t="array" ref="N472">SUM((H472:L472)/5)</f>
        <v>108899.2</v>
      </c>
      <c r="O472" s="10">
        <v>109000</v>
      </c>
      <c r="P472" s="23"/>
      <c r="Q472" s="30">
        <v>132.286</v>
      </c>
      <c r="R472" s="30">
        <v>303.38200000000001</v>
      </c>
      <c r="S472" s="30">
        <v>0.441</v>
      </c>
      <c r="T472" s="30">
        <v>0.441</v>
      </c>
      <c r="U472" s="30">
        <f t="shared" si="67"/>
        <v>43600</v>
      </c>
      <c r="V472" s="30">
        <f t="shared" si="68"/>
        <v>65400</v>
      </c>
      <c r="W472" s="23"/>
      <c r="X472" s="30" t="s">
        <v>354</v>
      </c>
      <c r="Y472" s="30" t="s">
        <v>365</v>
      </c>
      <c r="Z472" s="53">
        <f>SUM(26.76214+25.13104)/2</f>
        <v>25.94659</v>
      </c>
      <c r="AA472" s="54">
        <f t="shared" si="69"/>
        <v>42.811873500000004</v>
      </c>
      <c r="AB472" s="23"/>
      <c r="AC472" s="4">
        <v>365</v>
      </c>
      <c r="AD472" s="32">
        <f t="shared" si="70"/>
        <v>555.18910000000005</v>
      </c>
      <c r="AE472" s="32">
        <f t="shared" si="71"/>
        <v>607.37080000000003</v>
      </c>
      <c r="AF472" s="32">
        <f t="shared" si="72"/>
        <v>11312.71</v>
      </c>
      <c r="AG472" s="32">
        <f t="shared" si="72"/>
        <v>27998.97</v>
      </c>
      <c r="AH472" s="78"/>
      <c r="AI472" s="78"/>
      <c r="AJ472" s="55">
        <f t="shared" si="73"/>
        <v>40474.2399</v>
      </c>
      <c r="AK472" s="32"/>
      <c r="AL472" s="33"/>
      <c r="AM472" s="23"/>
    </row>
    <row r="473" spans="1:39" ht="45" x14ac:dyDescent="0.3">
      <c r="A473" s="64"/>
      <c r="B473" s="64"/>
      <c r="C473" s="73" t="s">
        <v>110</v>
      </c>
      <c r="D473" s="5" t="s">
        <v>49</v>
      </c>
      <c r="E473" s="7" t="s">
        <v>0</v>
      </c>
      <c r="F473" s="5"/>
      <c r="G473" s="23"/>
      <c r="H473" s="10">
        <v>91522</v>
      </c>
      <c r="I473" s="10">
        <v>87894</v>
      </c>
      <c r="J473" s="10">
        <v>85709</v>
      </c>
      <c r="K473" s="10">
        <v>78597</v>
      </c>
      <c r="L473" s="10">
        <v>80878</v>
      </c>
      <c r="M473" s="10">
        <v>48915</v>
      </c>
      <c r="N473" s="9" cm="1">
        <f t="array" ref="N473">SUM((H473:L473)/5)</f>
        <v>84920</v>
      </c>
      <c r="O473" s="10">
        <v>84920</v>
      </c>
      <c r="P473" s="23"/>
      <c r="Q473" s="30">
        <v>132.286</v>
      </c>
      <c r="R473" s="30">
        <v>303.38200000000001</v>
      </c>
      <c r="S473" s="30">
        <v>0.441</v>
      </c>
      <c r="T473" s="30">
        <v>0.441</v>
      </c>
      <c r="U473" s="30">
        <f t="shared" si="67"/>
        <v>33968</v>
      </c>
      <c r="V473" s="30">
        <f t="shared" si="68"/>
        <v>50952</v>
      </c>
      <c r="W473" s="23"/>
      <c r="X473" s="30" t="s">
        <v>315</v>
      </c>
      <c r="Y473" s="30" t="s">
        <v>366</v>
      </c>
      <c r="Z473" s="53">
        <f>SUM(27.50999+25.08044+25.39956)/3</f>
        <v>25.996663333333334</v>
      </c>
      <c r="AA473" s="54">
        <f t="shared" si="69"/>
        <v>42.8944945</v>
      </c>
      <c r="AB473" s="23"/>
      <c r="AC473" s="4">
        <v>365</v>
      </c>
      <c r="AD473" s="32">
        <f t="shared" si="70"/>
        <v>555.18910000000005</v>
      </c>
      <c r="AE473" s="32">
        <f t="shared" si="71"/>
        <v>607.37080000000003</v>
      </c>
      <c r="AF473" s="32">
        <f t="shared" si="72"/>
        <v>8830.5499999999993</v>
      </c>
      <c r="AG473" s="32">
        <f t="shared" si="72"/>
        <v>21855.599999999999</v>
      </c>
      <c r="AH473" s="78"/>
      <c r="AI473" s="78"/>
      <c r="AJ473" s="55">
        <f t="shared" si="73"/>
        <v>31848.709899999998</v>
      </c>
      <c r="AK473" s="32"/>
      <c r="AL473" s="33"/>
      <c r="AM473" s="23"/>
    </row>
    <row r="474" spans="1:39" ht="30" x14ac:dyDescent="0.3">
      <c r="A474" s="64"/>
      <c r="B474" s="64"/>
      <c r="C474" s="73" t="s">
        <v>16</v>
      </c>
      <c r="D474" s="5" t="s">
        <v>49</v>
      </c>
      <c r="E474" s="7" t="s">
        <v>0</v>
      </c>
      <c r="F474" s="5"/>
      <c r="G474" s="23"/>
      <c r="H474" s="10">
        <v>100055</v>
      </c>
      <c r="I474" s="10">
        <v>99775</v>
      </c>
      <c r="J474" s="10">
        <v>101665</v>
      </c>
      <c r="K474" s="10">
        <v>97825</v>
      </c>
      <c r="L474" s="10">
        <v>96233</v>
      </c>
      <c r="M474" s="10">
        <v>62074</v>
      </c>
      <c r="N474" s="9" cm="1">
        <f t="array" ref="N474">SUM((H474:L474)/5)</f>
        <v>99110.6</v>
      </c>
      <c r="O474" s="10">
        <v>99000</v>
      </c>
      <c r="P474" s="23"/>
      <c r="Q474" s="30">
        <v>132.286</v>
      </c>
      <c r="R474" s="30">
        <v>303.38200000000001</v>
      </c>
      <c r="S474" s="30">
        <v>0.441</v>
      </c>
      <c r="T474" s="30">
        <v>0.441</v>
      </c>
      <c r="U474" s="30">
        <f t="shared" si="67"/>
        <v>39600</v>
      </c>
      <c r="V474" s="30">
        <f t="shared" si="68"/>
        <v>59400</v>
      </c>
      <c r="W474" s="23"/>
      <c r="X474" s="30" t="s">
        <v>367</v>
      </c>
      <c r="Y474" s="30" t="s">
        <v>368</v>
      </c>
      <c r="Z474" s="53">
        <f>SUM(26.75527+25.12155)/2</f>
        <v>25.938409999999998</v>
      </c>
      <c r="AA474" s="54">
        <f t="shared" si="69"/>
        <v>42.798376499999996</v>
      </c>
      <c r="AB474" s="23"/>
      <c r="AC474" s="4">
        <v>365</v>
      </c>
      <c r="AD474" s="32">
        <f t="shared" si="70"/>
        <v>555.18910000000005</v>
      </c>
      <c r="AE474" s="32">
        <f t="shared" si="71"/>
        <v>607.37080000000003</v>
      </c>
      <c r="AF474" s="32">
        <f t="shared" si="72"/>
        <v>10271.61</v>
      </c>
      <c r="AG474" s="32">
        <f t="shared" si="72"/>
        <v>25422.240000000002</v>
      </c>
      <c r="AH474" s="78"/>
      <c r="AI474" s="78"/>
      <c r="AJ474" s="55">
        <f t="shared" si="73"/>
        <v>36856.409899999999</v>
      </c>
      <c r="AK474" s="32"/>
      <c r="AL474" s="33"/>
      <c r="AM474" s="23"/>
    </row>
    <row r="475" spans="1:39" ht="30" x14ac:dyDescent="0.3">
      <c r="A475" s="64"/>
      <c r="B475" s="64"/>
      <c r="C475" s="73" t="s">
        <v>28</v>
      </c>
      <c r="D475" s="5" t="s">
        <v>49</v>
      </c>
      <c r="E475" s="7" t="s">
        <v>0</v>
      </c>
      <c r="F475" s="5"/>
      <c r="G475" s="23"/>
      <c r="H475" s="10">
        <v>116995</v>
      </c>
      <c r="I475" s="10">
        <v>123597</v>
      </c>
      <c r="J475" s="10">
        <v>122080</v>
      </c>
      <c r="K475" s="10">
        <v>104612</v>
      </c>
      <c r="L475" s="10">
        <v>106052</v>
      </c>
      <c r="M475" s="10">
        <v>60741</v>
      </c>
      <c r="N475" s="9" cm="1">
        <f t="array" ref="N475">SUM((H475:L475)/5)</f>
        <v>114667.19999999998</v>
      </c>
      <c r="O475" s="10">
        <v>114000</v>
      </c>
      <c r="P475" s="23"/>
      <c r="Q475" s="30">
        <v>272.11399999999998</v>
      </c>
      <c r="R475" s="30">
        <v>541.20399999999995</v>
      </c>
      <c r="S475" s="30">
        <v>0.441</v>
      </c>
      <c r="T475" s="30">
        <v>0.441</v>
      </c>
      <c r="U475" s="30">
        <f t="shared" si="67"/>
        <v>45600</v>
      </c>
      <c r="V475" s="30">
        <f t="shared" si="68"/>
        <v>68400</v>
      </c>
      <c r="W475" s="23"/>
      <c r="X475" s="30" t="s">
        <v>369</v>
      </c>
      <c r="Y475" s="30" t="s">
        <v>370</v>
      </c>
      <c r="Z475" s="53">
        <f>SUM(26.25526+25.15407)/2</f>
        <v>25.704664999999999</v>
      </c>
      <c r="AA475" s="54">
        <f t="shared" si="69"/>
        <v>42.412697249999994</v>
      </c>
      <c r="AB475" s="23"/>
      <c r="AC475" s="4">
        <v>365</v>
      </c>
      <c r="AD475" s="32">
        <f t="shared" si="70"/>
        <v>990.40330000000006</v>
      </c>
      <c r="AE475" s="32">
        <f t="shared" si="71"/>
        <v>1083.4903999999999</v>
      </c>
      <c r="AF475" s="32">
        <f t="shared" si="72"/>
        <v>11721.33</v>
      </c>
      <c r="AG475" s="32">
        <f t="shared" si="72"/>
        <v>29010.28</v>
      </c>
      <c r="AH475" s="78"/>
      <c r="AI475" s="78"/>
      <c r="AJ475" s="55">
        <f t="shared" si="73"/>
        <v>42805.503700000001</v>
      </c>
      <c r="AK475" s="32"/>
      <c r="AL475" s="33"/>
      <c r="AM475" s="23"/>
    </row>
    <row r="476" spans="1:39" ht="30" x14ac:dyDescent="0.3">
      <c r="A476" s="64"/>
      <c r="B476" s="64"/>
      <c r="C476" s="73" t="s">
        <v>12</v>
      </c>
      <c r="D476" s="5" t="s">
        <v>49</v>
      </c>
      <c r="E476" s="7" t="s">
        <v>0</v>
      </c>
      <c r="F476" s="5"/>
      <c r="G476" s="23"/>
      <c r="H476" s="10">
        <v>111029</v>
      </c>
      <c r="I476" s="10">
        <v>108531</v>
      </c>
      <c r="J476" s="10">
        <v>104350</v>
      </c>
      <c r="K476" s="10">
        <v>99054</v>
      </c>
      <c r="L476" s="10">
        <v>106593</v>
      </c>
      <c r="M476" s="10">
        <v>6412</v>
      </c>
      <c r="N476" s="9" cm="1">
        <f t="array" ref="N476">SUM((H476:L476)/5)</f>
        <v>105911.4</v>
      </c>
      <c r="O476" s="10">
        <v>105500</v>
      </c>
      <c r="P476" s="23"/>
      <c r="Q476" s="30">
        <v>132.286</v>
      </c>
      <c r="R476" s="30">
        <v>303.38200000000001</v>
      </c>
      <c r="S476" s="30">
        <v>0.441</v>
      </c>
      <c r="T476" s="30">
        <v>0.441</v>
      </c>
      <c r="U476" s="30">
        <f t="shared" si="67"/>
        <v>42200</v>
      </c>
      <c r="V476" s="30">
        <f t="shared" si="68"/>
        <v>63300</v>
      </c>
      <c r="W476" s="23"/>
      <c r="X476" s="30" t="s">
        <v>354</v>
      </c>
      <c r="Y476" s="30" t="s">
        <v>371</v>
      </c>
      <c r="Z476" s="53">
        <f>SUM(26.74796+25.11685)/2</f>
        <v>25.932404999999999</v>
      </c>
      <c r="AA476" s="54">
        <f t="shared" si="69"/>
        <v>42.788468250000001</v>
      </c>
      <c r="AB476" s="23"/>
      <c r="AC476" s="4">
        <v>365</v>
      </c>
      <c r="AD476" s="32">
        <f t="shared" si="70"/>
        <v>555.18910000000005</v>
      </c>
      <c r="AE476" s="32">
        <f t="shared" si="71"/>
        <v>607.37080000000003</v>
      </c>
      <c r="AF476" s="32">
        <f t="shared" si="72"/>
        <v>10943.47</v>
      </c>
      <c r="AG476" s="32">
        <f t="shared" si="72"/>
        <v>27085.1</v>
      </c>
      <c r="AH476" s="78"/>
      <c r="AI476" s="78"/>
      <c r="AJ476" s="55">
        <f t="shared" si="73"/>
        <v>39191.1299</v>
      </c>
      <c r="AK476" s="32"/>
      <c r="AL476" s="33"/>
      <c r="AM476" s="23"/>
    </row>
    <row r="477" spans="1:39" ht="45" x14ac:dyDescent="0.3">
      <c r="A477" s="64"/>
      <c r="B477" s="64"/>
      <c r="C477" s="73" t="s">
        <v>29</v>
      </c>
      <c r="D477" s="5" t="s">
        <v>49</v>
      </c>
      <c r="E477" s="7" t="s">
        <v>0</v>
      </c>
      <c r="F477" s="5"/>
      <c r="G477" s="23"/>
      <c r="H477" s="10">
        <v>220192</v>
      </c>
      <c r="I477" s="10">
        <v>180272</v>
      </c>
      <c r="J477" s="10">
        <v>156596</v>
      </c>
      <c r="K477" s="10">
        <v>154463</v>
      </c>
      <c r="L477" s="10">
        <v>132662</v>
      </c>
      <c r="M477" s="10">
        <v>101373</v>
      </c>
      <c r="N477" s="9" cm="1">
        <f t="array" ref="N477">SUM((H477:L477)/5)</f>
        <v>168837</v>
      </c>
      <c r="O477" s="10">
        <v>165000</v>
      </c>
      <c r="P477" s="23"/>
      <c r="Q477" s="30">
        <v>132.286</v>
      </c>
      <c r="R477" s="30">
        <v>303.38200000000001</v>
      </c>
      <c r="S477" s="30">
        <v>0.441</v>
      </c>
      <c r="T477" s="30">
        <v>0.441</v>
      </c>
      <c r="U477" s="30">
        <f t="shared" si="67"/>
        <v>66000</v>
      </c>
      <c r="V477" s="30">
        <f t="shared" si="68"/>
        <v>99000</v>
      </c>
      <c r="W477" s="23"/>
      <c r="X477" s="30" t="s">
        <v>350</v>
      </c>
      <c r="Y477" s="30" t="s">
        <v>372</v>
      </c>
      <c r="Z477" s="53">
        <f>SUM(27.46951+25.04706+25.41245)/3</f>
        <v>25.976340000000004</v>
      </c>
      <c r="AA477" s="54">
        <f t="shared" si="69"/>
        <v>42.860961000000003</v>
      </c>
      <c r="AB477" s="23"/>
      <c r="AC477" s="4">
        <v>365</v>
      </c>
      <c r="AD477" s="32">
        <f t="shared" si="70"/>
        <v>555.18910000000005</v>
      </c>
      <c r="AE477" s="32">
        <f t="shared" si="71"/>
        <v>607.37080000000003</v>
      </c>
      <c r="AF477" s="32">
        <f t="shared" si="72"/>
        <v>17144.38</v>
      </c>
      <c r="AG477" s="32">
        <f t="shared" si="72"/>
        <v>42432.35</v>
      </c>
      <c r="AH477" s="78"/>
      <c r="AI477" s="78"/>
      <c r="AJ477" s="55">
        <f t="shared" si="73"/>
        <v>60739.289900000003</v>
      </c>
      <c r="AK477" s="32"/>
      <c r="AL477" s="33"/>
      <c r="AM477" s="23"/>
    </row>
    <row r="478" spans="1:39" ht="30" x14ac:dyDescent="0.3">
      <c r="A478" s="64"/>
      <c r="B478" s="64"/>
      <c r="C478" s="73" t="s">
        <v>112</v>
      </c>
      <c r="D478" s="5" t="s">
        <v>49</v>
      </c>
      <c r="E478" s="7" t="s">
        <v>0</v>
      </c>
      <c r="F478" s="5"/>
      <c r="G478" s="23"/>
      <c r="H478" s="10">
        <v>60086</v>
      </c>
      <c r="I478" s="10">
        <v>56859</v>
      </c>
      <c r="J478" s="10">
        <v>59862</v>
      </c>
      <c r="K478" s="10">
        <v>63947</v>
      </c>
      <c r="L478" s="10">
        <v>54321</v>
      </c>
      <c r="M478" s="10">
        <v>32056</v>
      </c>
      <c r="N478" s="9" cm="1">
        <f t="array" ref="N478">SUM((H478:L478)/5)</f>
        <v>59015</v>
      </c>
      <c r="O478" s="10">
        <v>59000</v>
      </c>
      <c r="P478" s="23"/>
      <c r="Q478" s="30">
        <v>132.286</v>
      </c>
      <c r="R478" s="30">
        <v>303.38200000000001</v>
      </c>
      <c r="S478" s="30">
        <v>0.441</v>
      </c>
      <c r="T478" s="30">
        <v>0.441</v>
      </c>
      <c r="U478" s="30">
        <f t="shared" si="67"/>
        <v>23600</v>
      </c>
      <c r="V478" s="30">
        <f t="shared" si="68"/>
        <v>35400</v>
      </c>
      <c r="W478" s="23"/>
      <c r="X478" s="30" t="s">
        <v>354</v>
      </c>
      <c r="Y478" s="30" t="s">
        <v>373</v>
      </c>
      <c r="Z478" s="53">
        <f>SUM(26.75968+25.12857)/2</f>
        <v>25.944125</v>
      </c>
      <c r="AA478" s="54">
        <f t="shared" si="69"/>
        <v>42.807806249999999</v>
      </c>
      <c r="AB478" s="23"/>
      <c r="AC478" s="4">
        <v>365</v>
      </c>
      <c r="AD478" s="32">
        <f t="shared" si="70"/>
        <v>555.18910000000005</v>
      </c>
      <c r="AE478" s="32">
        <f t="shared" si="71"/>
        <v>607.37080000000003</v>
      </c>
      <c r="AF478" s="32">
        <f t="shared" si="72"/>
        <v>6122.81</v>
      </c>
      <c r="AG478" s="32">
        <f t="shared" si="72"/>
        <v>15153.96</v>
      </c>
      <c r="AH478" s="78"/>
      <c r="AI478" s="78"/>
      <c r="AJ478" s="55">
        <f t="shared" si="73"/>
        <v>22439.329900000001</v>
      </c>
      <c r="AK478" s="32"/>
      <c r="AL478" s="33"/>
      <c r="AM478" s="23"/>
    </row>
    <row r="479" spans="1:39" ht="30" x14ac:dyDescent="0.3">
      <c r="A479" s="64"/>
      <c r="B479" s="64"/>
      <c r="C479" s="73" t="s">
        <v>18</v>
      </c>
      <c r="D479" s="5" t="s">
        <v>49</v>
      </c>
      <c r="E479" s="7" t="s">
        <v>0</v>
      </c>
      <c r="F479" s="5"/>
      <c r="G479" s="23"/>
      <c r="H479" s="10">
        <v>92168</v>
      </c>
      <c r="I479" s="10">
        <v>91379</v>
      </c>
      <c r="J479" s="10">
        <v>86978</v>
      </c>
      <c r="K479" s="10">
        <v>87177</v>
      </c>
      <c r="L479" s="10">
        <v>81754</v>
      </c>
      <c r="M479" s="10">
        <v>43581</v>
      </c>
      <c r="N479" s="9" cm="1">
        <f t="array" ref="N479">SUM((H479:L479)/5)</f>
        <v>87891.199999999997</v>
      </c>
      <c r="O479" s="10">
        <v>87900</v>
      </c>
      <c r="P479" s="23"/>
      <c r="Q479" s="30">
        <v>208.905</v>
      </c>
      <c r="R479" s="30">
        <v>374.858</v>
      </c>
      <c r="S479" s="30">
        <v>0.441</v>
      </c>
      <c r="T479" s="30">
        <v>0.441</v>
      </c>
      <c r="U479" s="30">
        <f t="shared" si="67"/>
        <v>35160</v>
      </c>
      <c r="V479" s="30">
        <f t="shared" si="68"/>
        <v>52740</v>
      </c>
      <c r="W479" s="23"/>
      <c r="X479" s="30" t="s">
        <v>374</v>
      </c>
      <c r="Y479" s="30" t="s">
        <v>375</v>
      </c>
      <c r="Z479" s="53">
        <f>SUM(26.87951+25.26936)/2</f>
        <v>26.074435000000001</v>
      </c>
      <c r="AA479" s="54">
        <f t="shared" si="69"/>
        <v>43.022817750000002</v>
      </c>
      <c r="AB479" s="23"/>
      <c r="AC479" s="4">
        <v>365</v>
      </c>
      <c r="AD479" s="32">
        <f t="shared" si="70"/>
        <v>685.99009999999998</v>
      </c>
      <c r="AE479" s="32">
        <f t="shared" si="71"/>
        <v>750.46570000000008</v>
      </c>
      <c r="AF479" s="32">
        <f t="shared" si="72"/>
        <v>9167.77</v>
      </c>
      <c r="AG479" s="32">
        <f t="shared" si="72"/>
        <v>22690.23</v>
      </c>
      <c r="AH479" s="78"/>
      <c r="AI479" s="78"/>
      <c r="AJ479" s="55">
        <f t="shared" si="73"/>
        <v>33294.455799999996</v>
      </c>
      <c r="AK479" s="32"/>
      <c r="AL479" s="33"/>
      <c r="AM479" s="23"/>
    </row>
    <row r="480" spans="1:39" ht="30" x14ac:dyDescent="0.3">
      <c r="A480" s="64"/>
      <c r="B480" s="64"/>
      <c r="C480" s="73" t="s">
        <v>20</v>
      </c>
      <c r="D480" s="5" t="s">
        <v>49</v>
      </c>
      <c r="E480" s="7" t="s">
        <v>0</v>
      </c>
      <c r="F480" s="5"/>
      <c r="G480" s="23"/>
      <c r="H480" s="10">
        <v>6007</v>
      </c>
      <c r="I480" s="10">
        <v>6111</v>
      </c>
      <c r="J480" s="10">
        <v>5551</v>
      </c>
      <c r="K480" s="10">
        <v>4988</v>
      </c>
      <c r="L480" s="10">
        <v>3573</v>
      </c>
      <c r="M480" s="10">
        <v>2674</v>
      </c>
      <c r="N480" s="9" cm="1">
        <f t="array" ref="N480">SUM((H480:L480)/5)</f>
        <v>5246.0000000000009</v>
      </c>
      <c r="O480" s="10">
        <v>5250</v>
      </c>
      <c r="P480" s="23"/>
      <c r="Q480" s="30">
        <v>59.098999999999997</v>
      </c>
      <c r="R480" s="30">
        <v>88.853999999999999</v>
      </c>
      <c r="S480" s="30">
        <v>0.441</v>
      </c>
      <c r="T480" s="30">
        <v>0.441</v>
      </c>
      <c r="U480" s="30">
        <f t="shared" si="67"/>
        <v>2100</v>
      </c>
      <c r="V480" s="30">
        <f t="shared" si="68"/>
        <v>3150</v>
      </c>
      <c r="W480" s="23"/>
      <c r="X480" s="30" t="s">
        <v>354</v>
      </c>
      <c r="Y480" s="30" t="s">
        <v>376</v>
      </c>
      <c r="Z480" s="53">
        <f>SUM(26.71503+25.08394)/2</f>
        <v>25.899484999999999</v>
      </c>
      <c r="AA480" s="54">
        <f t="shared" si="69"/>
        <v>42.734150249999999</v>
      </c>
      <c r="AB480" s="23"/>
      <c r="AC480" s="4">
        <v>365</v>
      </c>
      <c r="AD480" s="32">
        <f t="shared" si="70"/>
        <v>162.6028</v>
      </c>
      <c r="AE480" s="32">
        <f t="shared" si="71"/>
        <v>177.88569999999999</v>
      </c>
      <c r="AF480" s="32">
        <f t="shared" si="72"/>
        <v>543.89</v>
      </c>
      <c r="AG480" s="32">
        <f t="shared" si="72"/>
        <v>1346.13</v>
      </c>
      <c r="AH480" s="78"/>
      <c r="AI480" s="78"/>
      <c r="AJ480" s="55">
        <f t="shared" si="73"/>
        <v>2230.5084999999999</v>
      </c>
      <c r="AK480" s="32"/>
      <c r="AL480" s="33"/>
      <c r="AM480" s="23"/>
    </row>
    <row r="481" spans="1:39" ht="30" x14ac:dyDescent="0.3">
      <c r="A481" s="64"/>
      <c r="B481" s="64"/>
      <c r="C481" s="73" t="s">
        <v>20</v>
      </c>
      <c r="D481" s="5" t="s">
        <v>49</v>
      </c>
      <c r="E481" s="7" t="s">
        <v>0</v>
      </c>
      <c r="F481" s="5"/>
      <c r="G481" s="23"/>
      <c r="H481" s="10">
        <v>1872</v>
      </c>
      <c r="I481" s="10">
        <v>1796</v>
      </c>
      <c r="J481" s="10">
        <v>1704</v>
      </c>
      <c r="K481" s="10">
        <v>1754</v>
      </c>
      <c r="L481" s="10">
        <v>1801</v>
      </c>
      <c r="M481" s="10">
        <v>1221</v>
      </c>
      <c r="N481" s="9" cm="1">
        <f t="array" ref="N481">SUM((H481:L481)/5)</f>
        <v>1785.3999999999999</v>
      </c>
      <c r="O481" s="10">
        <v>1790</v>
      </c>
      <c r="P481" s="23"/>
      <c r="Q481" s="30">
        <v>49.325000000000003</v>
      </c>
      <c r="R481" s="30">
        <v>72.016000000000005</v>
      </c>
      <c r="S481" s="30">
        <v>0.441</v>
      </c>
      <c r="T481" s="30">
        <v>0.441</v>
      </c>
      <c r="U481" s="30">
        <f t="shared" si="67"/>
        <v>716</v>
      </c>
      <c r="V481" s="30">
        <f t="shared" si="68"/>
        <v>1074</v>
      </c>
      <c r="W481" s="23"/>
      <c r="X481" s="30" t="s">
        <v>307</v>
      </c>
      <c r="Y481" s="30" t="s">
        <v>377</v>
      </c>
      <c r="Z481" s="53">
        <f>SUM(27.22889+25.1057)/2</f>
        <v>26.167294999999999</v>
      </c>
      <c r="AA481" s="54">
        <f t="shared" si="69"/>
        <v>43.176036749999994</v>
      </c>
      <c r="AB481" s="23"/>
      <c r="AC481" s="4">
        <v>365</v>
      </c>
      <c r="AD481" s="32">
        <f t="shared" si="70"/>
        <v>131.7893</v>
      </c>
      <c r="AE481" s="32">
        <f t="shared" si="71"/>
        <v>144.17600000000002</v>
      </c>
      <c r="AF481" s="32">
        <f t="shared" si="72"/>
        <v>187.36</v>
      </c>
      <c r="AG481" s="32">
        <f t="shared" si="72"/>
        <v>463.71</v>
      </c>
      <c r="AH481" s="78"/>
      <c r="AI481" s="78"/>
      <c r="AJ481" s="55">
        <f t="shared" si="73"/>
        <v>927.03530000000001</v>
      </c>
      <c r="AK481" s="32"/>
      <c r="AL481" s="33"/>
      <c r="AM481" s="23"/>
    </row>
    <row r="482" spans="1:39" ht="45" x14ac:dyDescent="0.3">
      <c r="A482" s="64"/>
      <c r="B482" s="64"/>
      <c r="C482" s="73" t="s">
        <v>14</v>
      </c>
      <c r="D482" s="5" t="s">
        <v>49</v>
      </c>
      <c r="E482" s="7" t="s">
        <v>0</v>
      </c>
      <c r="F482" s="5"/>
      <c r="G482" s="23"/>
      <c r="H482" s="10">
        <v>110426</v>
      </c>
      <c r="I482" s="10">
        <v>103075</v>
      </c>
      <c r="J482" s="10">
        <v>97378</v>
      </c>
      <c r="K482" s="10">
        <v>97359</v>
      </c>
      <c r="L482" s="10">
        <v>96767</v>
      </c>
      <c r="M482" s="10">
        <v>65618</v>
      </c>
      <c r="N482" s="9" cm="1">
        <f t="array" ref="N482">SUM((H482:L482)/5)</f>
        <v>101001</v>
      </c>
      <c r="O482" s="10">
        <v>101000</v>
      </c>
      <c r="P482" s="23"/>
      <c r="Q482" s="30">
        <v>132.286</v>
      </c>
      <c r="R482" s="30">
        <v>303.38200000000001</v>
      </c>
      <c r="S482" s="30">
        <v>0.441</v>
      </c>
      <c r="T482" s="30">
        <v>0.441</v>
      </c>
      <c r="U482" s="30">
        <f t="shared" si="67"/>
        <v>40400</v>
      </c>
      <c r="V482" s="30">
        <f t="shared" si="68"/>
        <v>60600</v>
      </c>
      <c r="W482" s="23"/>
      <c r="X482" s="30" t="s">
        <v>350</v>
      </c>
      <c r="Y482" s="30" t="s">
        <v>378</v>
      </c>
      <c r="Z482" s="53">
        <f>SUM(27.51323+25.09078+25.45619)/3</f>
        <v>26.020066666666668</v>
      </c>
      <c r="AA482" s="54">
        <f t="shared" si="69"/>
        <v>42.933109999999999</v>
      </c>
      <c r="AB482" s="23"/>
      <c r="AC482" s="4">
        <v>365</v>
      </c>
      <c r="AD482" s="32">
        <f t="shared" si="70"/>
        <v>555.18910000000005</v>
      </c>
      <c r="AE482" s="32">
        <f t="shared" si="71"/>
        <v>607.37080000000003</v>
      </c>
      <c r="AF482" s="32">
        <f t="shared" si="72"/>
        <v>10512.11</v>
      </c>
      <c r="AG482" s="32">
        <f t="shared" si="72"/>
        <v>26017.46</v>
      </c>
      <c r="AH482" s="78"/>
      <c r="AI482" s="78"/>
      <c r="AJ482" s="55">
        <f t="shared" si="73"/>
        <v>37692.1299</v>
      </c>
      <c r="AK482" s="32"/>
      <c r="AL482" s="33"/>
      <c r="AM482" s="23"/>
    </row>
    <row r="483" spans="1:39" ht="45" x14ac:dyDescent="0.3">
      <c r="A483" s="64"/>
      <c r="B483" s="64"/>
      <c r="C483" s="73" t="s">
        <v>22</v>
      </c>
      <c r="D483" s="5" t="s">
        <v>49</v>
      </c>
      <c r="E483" s="7" t="s">
        <v>0</v>
      </c>
      <c r="F483" s="5"/>
      <c r="G483" s="23"/>
      <c r="H483" s="10">
        <v>35960</v>
      </c>
      <c r="I483" s="10">
        <v>31080</v>
      </c>
      <c r="J483" s="10">
        <v>29889</v>
      </c>
      <c r="K483" s="10">
        <v>36419</v>
      </c>
      <c r="L483" s="10">
        <v>42607</v>
      </c>
      <c r="M483" s="10">
        <v>29058</v>
      </c>
      <c r="N483" s="9" cm="1">
        <f t="array" ref="N483">SUM((H483:L483)/5)</f>
        <v>35191</v>
      </c>
      <c r="O483" s="10">
        <v>35200</v>
      </c>
      <c r="P483" s="23"/>
      <c r="Q483" s="30">
        <v>132.286</v>
      </c>
      <c r="R483" s="30">
        <v>303.38200000000001</v>
      </c>
      <c r="S483" s="30">
        <v>0.441</v>
      </c>
      <c r="T483" s="30">
        <v>0.441</v>
      </c>
      <c r="U483" s="30">
        <f t="shared" si="67"/>
        <v>14080</v>
      </c>
      <c r="V483" s="30">
        <f t="shared" si="68"/>
        <v>21120</v>
      </c>
      <c r="W483" s="23"/>
      <c r="X483" s="30" t="s">
        <v>315</v>
      </c>
      <c r="Y483" s="30" t="s">
        <v>379</v>
      </c>
      <c r="Z483" s="53">
        <f>SUM(27.50698+25.07745+25.39657)/3</f>
        <v>25.993666666666666</v>
      </c>
      <c r="AA483" s="54">
        <f t="shared" si="69"/>
        <v>42.88955</v>
      </c>
      <c r="AB483" s="23"/>
      <c r="AC483" s="4">
        <v>365</v>
      </c>
      <c r="AD483" s="32">
        <f t="shared" si="70"/>
        <v>555.18910000000005</v>
      </c>
      <c r="AE483" s="32">
        <f t="shared" si="71"/>
        <v>607.37080000000003</v>
      </c>
      <c r="AF483" s="32">
        <f t="shared" si="72"/>
        <v>3659.91</v>
      </c>
      <c r="AG483" s="32">
        <f t="shared" si="72"/>
        <v>9058.27</v>
      </c>
      <c r="AH483" s="78"/>
      <c r="AI483" s="78"/>
      <c r="AJ483" s="55">
        <f t="shared" si="73"/>
        <v>13880.7399</v>
      </c>
      <c r="AK483" s="32"/>
      <c r="AL483" s="33"/>
      <c r="AM483" s="23"/>
    </row>
    <row r="484" spans="1:39" ht="30" x14ac:dyDescent="0.3">
      <c r="A484" s="64"/>
      <c r="B484" s="64"/>
      <c r="C484" s="73" t="s">
        <v>23</v>
      </c>
      <c r="D484" s="5" t="s">
        <v>49</v>
      </c>
      <c r="E484" s="7" t="s">
        <v>0</v>
      </c>
      <c r="F484" s="5"/>
      <c r="G484" s="23"/>
      <c r="H484" s="10">
        <v>103083</v>
      </c>
      <c r="I484" s="10">
        <v>96690</v>
      </c>
      <c r="J484" s="10">
        <v>94106</v>
      </c>
      <c r="K484" s="10">
        <v>91675</v>
      </c>
      <c r="L484" s="10">
        <v>85554</v>
      </c>
      <c r="M484" s="10">
        <v>51844</v>
      </c>
      <c r="N484" s="9" cm="1">
        <f t="array" ref="N484">SUM((H484:L484)/5)</f>
        <v>94221.6</v>
      </c>
      <c r="O484" s="10">
        <v>94200</v>
      </c>
      <c r="P484" s="23"/>
      <c r="Q484" s="30">
        <v>208.905</v>
      </c>
      <c r="R484" s="30">
        <v>374.858</v>
      </c>
      <c r="S484" s="30">
        <v>0.441</v>
      </c>
      <c r="T484" s="30">
        <v>0.441</v>
      </c>
      <c r="U484" s="30">
        <f t="shared" si="67"/>
        <v>37680</v>
      </c>
      <c r="V484" s="30">
        <f t="shared" si="68"/>
        <v>56520</v>
      </c>
      <c r="W484" s="23"/>
      <c r="X484" s="30" t="s">
        <v>380</v>
      </c>
      <c r="Y484" s="30" t="s">
        <v>381</v>
      </c>
      <c r="Z484" s="53">
        <f>SUM(26.72811+25.24854)/2</f>
        <v>25.988325</v>
      </c>
      <c r="AA484" s="54">
        <f t="shared" si="69"/>
        <v>42.880736249999998</v>
      </c>
      <c r="AB484" s="23"/>
      <c r="AC484" s="4">
        <v>365</v>
      </c>
      <c r="AD484" s="32">
        <f t="shared" si="70"/>
        <v>685.99009999999998</v>
      </c>
      <c r="AE484" s="32">
        <f t="shared" si="71"/>
        <v>750.46570000000008</v>
      </c>
      <c r="AF484" s="32">
        <f t="shared" si="72"/>
        <v>9792.4</v>
      </c>
      <c r="AG484" s="32">
        <f t="shared" si="72"/>
        <v>24236.19</v>
      </c>
      <c r="AH484" s="78"/>
      <c r="AI484" s="78"/>
      <c r="AJ484" s="55">
        <f t="shared" si="73"/>
        <v>35465.0458</v>
      </c>
      <c r="AK484" s="32"/>
      <c r="AL484" s="33"/>
      <c r="AM484" s="23"/>
    </row>
    <row r="485" spans="1:39" ht="45" x14ac:dyDescent="0.3">
      <c r="A485" s="64"/>
      <c r="B485" s="64"/>
      <c r="C485" s="73" t="s">
        <v>27</v>
      </c>
      <c r="D485" s="5" t="s">
        <v>49</v>
      </c>
      <c r="E485" s="7" t="s">
        <v>0</v>
      </c>
      <c r="F485" s="5"/>
      <c r="G485" s="23"/>
      <c r="H485" s="10">
        <v>85358</v>
      </c>
      <c r="I485" s="10">
        <v>108549</v>
      </c>
      <c r="J485" s="10">
        <v>105131</v>
      </c>
      <c r="K485" s="10">
        <v>98137</v>
      </c>
      <c r="L485" s="10">
        <v>97060</v>
      </c>
      <c r="M485" s="10">
        <v>61771</v>
      </c>
      <c r="N485" s="9" cm="1">
        <f t="array" ref="N485">SUM((H485:L485)/5)</f>
        <v>98847</v>
      </c>
      <c r="O485" s="10">
        <v>99000</v>
      </c>
      <c r="P485" s="23"/>
      <c r="Q485" s="30">
        <v>132.286</v>
      </c>
      <c r="R485" s="30">
        <v>303.38200000000001</v>
      </c>
      <c r="S485" s="30">
        <v>0.441</v>
      </c>
      <c r="T485" s="30">
        <v>0.441</v>
      </c>
      <c r="U485" s="30">
        <f t="shared" si="67"/>
        <v>39600</v>
      </c>
      <c r="V485" s="30">
        <f t="shared" si="68"/>
        <v>59400</v>
      </c>
      <c r="W485" s="23"/>
      <c r="X485" s="30" t="s">
        <v>350</v>
      </c>
      <c r="Y485" s="30" t="s">
        <v>382</v>
      </c>
      <c r="Z485" s="53">
        <f>SUM(27.50191+25.07947+25.44489)/3</f>
        <v>26.008756666666667</v>
      </c>
      <c r="AA485" s="54">
        <f t="shared" si="69"/>
        <v>42.914448500000006</v>
      </c>
      <c r="AB485" s="23"/>
      <c r="AC485" s="4">
        <v>365</v>
      </c>
      <c r="AD485" s="32">
        <f t="shared" si="70"/>
        <v>555.18910000000005</v>
      </c>
      <c r="AE485" s="32">
        <f t="shared" si="71"/>
        <v>607.37080000000003</v>
      </c>
      <c r="AF485" s="32">
        <f t="shared" si="72"/>
        <v>10299.469999999999</v>
      </c>
      <c r="AG485" s="32">
        <f t="shared" si="72"/>
        <v>25491.18</v>
      </c>
      <c r="AH485" s="78"/>
      <c r="AI485" s="78"/>
      <c r="AJ485" s="55">
        <f t="shared" si="73"/>
        <v>36953.209900000002</v>
      </c>
      <c r="AK485" s="32"/>
      <c r="AL485" s="33"/>
      <c r="AM485" s="23"/>
    </row>
    <row r="486" spans="1:39" ht="15.6" x14ac:dyDescent="0.3">
      <c r="A486" s="64"/>
      <c r="B486" s="64"/>
      <c r="C486" s="73" t="s">
        <v>30</v>
      </c>
      <c r="D486" s="5" t="s">
        <v>49</v>
      </c>
      <c r="E486" s="7" t="s">
        <v>0</v>
      </c>
      <c r="F486" s="5"/>
      <c r="G486" s="23"/>
      <c r="H486" s="10">
        <v>1257</v>
      </c>
      <c r="I486" s="10">
        <v>435</v>
      </c>
      <c r="J486" s="10">
        <v>1094</v>
      </c>
      <c r="K486" s="10">
        <v>889</v>
      </c>
      <c r="L486" s="10">
        <v>1531</v>
      </c>
      <c r="M486" s="10">
        <v>748</v>
      </c>
      <c r="N486" s="9" cm="1">
        <f t="array" ref="N486">SUM((H486:L486)/5)</f>
        <v>1041.2</v>
      </c>
      <c r="O486" s="10">
        <v>1040</v>
      </c>
      <c r="P486" s="23"/>
      <c r="Q486" s="30">
        <v>49.308</v>
      </c>
      <c r="R486" s="30">
        <v>72.016000000000005</v>
      </c>
      <c r="S486" s="30">
        <v>0.441</v>
      </c>
      <c r="T486" s="30">
        <v>0.441</v>
      </c>
      <c r="U486" s="30">
        <f t="shared" si="67"/>
        <v>416</v>
      </c>
      <c r="V486" s="30">
        <f t="shared" si="68"/>
        <v>624</v>
      </c>
      <c r="W486" s="23"/>
      <c r="X486" s="30">
        <v>15.868</v>
      </c>
      <c r="Y486" s="30">
        <v>27.08315</v>
      </c>
      <c r="Z486" s="53">
        <v>27.08315</v>
      </c>
      <c r="AA486" s="54">
        <f t="shared" si="69"/>
        <v>44.687197499999996</v>
      </c>
      <c r="AB486" s="23"/>
      <c r="AC486" s="4">
        <v>365</v>
      </c>
      <c r="AD486" s="32">
        <f t="shared" si="70"/>
        <v>131.7893</v>
      </c>
      <c r="AE486" s="32">
        <f t="shared" si="71"/>
        <v>144.17600000000002</v>
      </c>
      <c r="AF486" s="32">
        <f t="shared" si="72"/>
        <v>112.67</v>
      </c>
      <c r="AG486" s="32">
        <f t="shared" si="72"/>
        <v>278.85000000000002</v>
      </c>
      <c r="AH486" s="78"/>
      <c r="AI486" s="78"/>
      <c r="AJ486" s="55">
        <f t="shared" si="73"/>
        <v>667.48530000000005</v>
      </c>
      <c r="AK486" s="32"/>
      <c r="AL486" s="33"/>
      <c r="AM486" s="23"/>
    </row>
    <row r="487" spans="1:39" ht="45" x14ac:dyDescent="0.3">
      <c r="A487" s="64"/>
      <c r="B487" s="64"/>
      <c r="C487" s="73" t="s">
        <v>30</v>
      </c>
      <c r="D487" s="5" t="s">
        <v>49</v>
      </c>
      <c r="E487" s="7" t="s">
        <v>0</v>
      </c>
      <c r="F487" s="5"/>
      <c r="G487" s="23"/>
      <c r="H487" s="10">
        <v>38928</v>
      </c>
      <c r="I487" s="10">
        <v>40319</v>
      </c>
      <c r="J487" s="10">
        <v>40263</v>
      </c>
      <c r="K487" s="10">
        <v>37535</v>
      </c>
      <c r="L487" s="10">
        <v>29860</v>
      </c>
      <c r="M487" s="10">
        <v>24325</v>
      </c>
      <c r="N487" s="9" cm="1">
        <f t="array" ref="N487">SUM((H487:L487)/5)</f>
        <v>37381</v>
      </c>
      <c r="O487" s="10">
        <v>37300</v>
      </c>
      <c r="P487" s="23"/>
      <c r="Q487" s="30">
        <v>132.286</v>
      </c>
      <c r="R487" s="30">
        <v>303.38200000000001</v>
      </c>
      <c r="S487" s="30">
        <v>0.441</v>
      </c>
      <c r="T487" s="30">
        <v>0.441</v>
      </c>
      <c r="U487" s="30">
        <f t="shared" si="67"/>
        <v>14920</v>
      </c>
      <c r="V487" s="30">
        <f t="shared" si="68"/>
        <v>22380</v>
      </c>
      <c r="W487" s="23"/>
      <c r="X487" s="30" t="s">
        <v>313</v>
      </c>
      <c r="Y487" s="30" t="s">
        <v>383</v>
      </c>
      <c r="Z487" s="53">
        <f>SUM(27.49877+25.06919+25.38831)/3</f>
        <v>25.985423333333333</v>
      </c>
      <c r="AA487" s="54">
        <f t="shared" si="69"/>
        <v>42.8759485</v>
      </c>
      <c r="AB487" s="23"/>
      <c r="AC487" s="4">
        <v>365</v>
      </c>
      <c r="AD487" s="32">
        <f t="shared" si="70"/>
        <v>555.18910000000005</v>
      </c>
      <c r="AE487" s="32">
        <f t="shared" si="71"/>
        <v>607.37080000000003</v>
      </c>
      <c r="AF487" s="32">
        <f t="shared" si="72"/>
        <v>3877.03</v>
      </c>
      <c r="AG487" s="32">
        <f t="shared" si="72"/>
        <v>9595.64</v>
      </c>
      <c r="AH487" s="78"/>
      <c r="AI487" s="78"/>
      <c r="AJ487" s="55">
        <f t="shared" si="73"/>
        <v>14635.2299</v>
      </c>
      <c r="AK487" s="32"/>
      <c r="AL487" s="33"/>
      <c r="AM487" s="23"/>
    </row>
    <row r="488" spans="1:39" ht="15.6" x14ac:dyDescent="0.3">
      <c r="A488" s="64"/>
      <c r="B488" s="71"/>
      <c r="C488" s="73"/>
      <c r="D488" s="5"/>
      <c r="E488" s="7"/>
      <c r="F488" s="5"/>
      <c r="G488" s="23"/>
      <c r="H488" s="10"/>
      <c r="I488" s="10"/>
      <c r="J488" s="10"/>
      <c r="K488" s="10"/>
      <c r="L488" s="10"/>
      <c r="M488" s="10"/>
      <c r="N488" s="9"/>
      <c r="O488" s="10"/>
      <c r="P488" s="23"/>
      <c r="Q488" s="56"/>
      <c r="R488" s="56"/>
      <c r="S488" s="56"/>
      <c r="T488" s="56"/>
      <c r="U488" s="30"/>
      <c r="V488" s="30"/>
      <c r="W488" s="23"/>
      <c r="X488" s="56"/>
      <c r="Y488" s="56"/>
      <c r="Z488" s="57"/>
      <c r="AA488" s="54"/>
      <c r="AB488" s="23"/>
      <c r="AC488" s="4"/>
      <c r="AD488" s="32"/>
      <c r="AE488" s="32"/>
      <c r="AF488" s="32"/>
      <c r="AG488" s="32"/>
      <c r="AH488" s="78"/>
      <c r="AI488" s="78"/>
      <c r="AJ488" s="55"/>
      <c r="AK488" s="32"/>
      <c r="AL488" s="33"/>
      <c r="AM488" s="23"/>
    </row>
    <row r="489" spans="1:39" ht="45" x14ac:dyDescent="0.3">
      <c r="A489" s="64"/>
      <c r="B489" s="64"/>
      <c r="C489" s="73" t="s">
        <v>570</v>
      </c>
      <c r="D489" s="5" t="s">
        <v>49</v>
      </c>
      <c r="E489" s="7" t="s">
        <v>0</v>
      </c>
      <c r="F489" s="5"/>
      <c r="G489" s="23"/>
      <c r="H489" s="10">
        <v>89380</v>
      </c>
      <c r="I489" s="10">
        <v>86711</v>
      </c>
      <c r="J489" s="10">
        <v>84885</v>
      </c>
      <c r="K489" s="10">
        <v>82459</v>
      </c>
      <c r="L489" s="10">
        <v>80974</v>
      </c>
      <c r="M489" s="10">
        <v>51783</v>
      </c>
      <c r="N489" s="9" cm="1">
        <f t="array" ref="N489">SUM((H489:L489)/5)</f>
        <v>84881.8</v>
      </c>
      <c r="O489" s="10">
        <v>84890</v>
      </c>
      <c r="P489" s="23"/>
      <c r="Q489" s="30">
        <v>132.286</v>
      </c>
      <c r="R489" s="30">
        <v>303.38200000000001</v>
      </c>
      <c r="S489" s="30">
        <v>0.441</v>
      </c>
      <c r="T489" s="30">
        <v>0.441</v>
      </c>
      <c r="U489" s="30">
        <f t="shared" ref="U489:U491" si="74">IF(E489="Gas",O489*R484,O489*$R$4)</f>
        <v>33956</v>
      </c>
      <c r="V489" s="30">
        <f t="shared" ref="V489:V491" si="75">IF(E489="Gas",O489*T484,O489*$T$4)</f>
        <v>50934</v>
      </c>
      <c r="W489" s="23"/>
      <c r="X489" s="30" t="s">
        <v>350</v>
      </c>
      <c r="Y489" s="30" t="s">
        <v>384</v>
      </c>
      <c r="Z489" s="53">
        <f>SUM(27.51772+25.09529+25.4607)/3</f>
        <v>26.024570000000001</v>
      </c>
      <c r="AA489" s="54">
        <f t="shared" ref="AA489:AA491" si="76">SUM(Z489+Z489*$AA$4)</f>
        <v>42.940540499999997</v>
      </c>
      <c r="AB489" s="23"/>
      <c r="AC489" s="4">
        <v>365</v>
      </c>
      <c r="AD489" s="32">
        <f t="shared" ref="AD489:AD491" si="77">ROUND(R489*183,2)/100</f>
        <v>555.18910000000005</v>
      </c>
      <c r="AE489" s="32">
        <f t="shared" ref="AE489:AE491" si="78">ROUND((R489+R489*$AE$4)*(365-183),2)/100</f>
        <v>607.37080000000003</v>
      </c>
      <c r="AF489" s="32">
        <f t="shared" ref="AF489:AG491" si="79">ROUND((U489*Z489)/100,2)</f>
        <v>8836.9</v>
      </c>
      <c r="AG489" s="32">
        <f t="shared" si="79"/>
        <v>21871.33</v>
      </c>
      <c r="AH489" s="78"/>
      <c r="AI489" s="78"/>
      <c r="AJ489" s="55">
        <f t="shared" ref="AJ489:AJ491" si="80">SUM(AD489:AG489)</f>
        <v>31870.789900000003</v>
      </c>
      <c r="AK489" s="32"/>
      <c r="AL489" s="33"/>
      <c r="AM489" s="23"/>
    </row>
    <row r="490" spans="1:39" ht="45" x14ac:dyDescent="0.3">
      <c r="A490" s="64"/>
      <c r="B490" s="64"/>
      <c r="C490" s="73" t="s">
        <v>26</v>
      </c>
      <c r="D490" s="5" t="s">
        <v>49</v>
      </c>
      <c r="E490" s="7" t="s">
        <v>0</v>
      </c>
      <c r="F490" s="5"/>
      <c r="G490" s="23"/>
      <c r="H490" s="10">
        <v>29468</v>
      </c>
      <c r="I490" s="10">
        <v>28503</v>
      </c>
      <c r="J490" s="10">
        <v>25910</v>
      </c>
      <c r="K490" s="10">
        <v>28829</v>
      </c>
      <c r="L490" s="10">
        <v>27362</v>
      </c>
      <c r="M490" s="10">
        <v>19572</v>
      </c>
      <c r="N490" s="9" cm="1">
        <f t="array" ref="N490">SUM((H490:L490)/5)</f>
        <v>28014.400000000001</v>
      </c>
      <c r="O490" s="10">
        <v>28010</v>
      </c>
      <c r="P490" s="23"/>
      <c r="Q490" s="30">
        <v>132.286</v>
      </c>
      <c r="R490" s="30">
        <v>303.38200000000001</v>
      </c>
      <c r="S490" s="30">
        <v>0.441</v>
      </c>
      <c r="T490" s="30">
        <v>0.441</v>
      </c>
      <c r="U490" s="30">
        <f t="shared" si="74"/>
        <v>11204</v>
      </c>
      <c r="V490" s="30">
        <f t="shared" si="75"/>
        <v>16806</v>
      </c>
      <c r="W490" s="23"/>
      <c r="X490" s="30" t="s">
        <v>315</v>
      </c>
      <c r="Y490" s="30" t="s">
        <v>385</v>
      </c>
      <c r="Z490" s="53">
        <f>SUM(27.51899+25.08939+25.40856)/3</f>
        <v>26.005646666666667</v>
      </c>
      <c r="AA490" s="54">
        <f t="shared" si="76"/>
        <v>42.909317000000001</v>
      </c>
      <c r="AB490" s="23"/>
      <c r="AC490" s="4">
        <v>365</v>
      </c>
      <c r="AD490" s="32">
        <f t="shared" si="77"/>
        <v>555.18910000000005</v>
      </c>
      <c r="AE490" s="32">
        <f t="shared" si="78"/>
        <v>607.37080000000003</v>
      </c>
      <c r="AF490" s="32">
        <f t="shared" si="79"/>
        <v>2913.67</v>
      </c>
      <c r="AG490" s="32">
        <f t="shared" si="79"/>
        <v>7211.34</v>
      </c>
      <c r="AH490" s="78"/>
      <c r="AI490" s="78"/>
      <c r="AJ490" s="55">
        <f t="shared" si="80"/>
        <v>11287.5699</v>
      </c>
      <c r="AK490" s="32"/>
      <c r="AL490" s="33"/>
      <c r="AM490" s="23"/>
    </row>
    <row r="491" spans="1:39" ht="30" x14ac:dyDescent="0.3">
      <c r="A491" s="64"/>
      <c r="B491" s="64"/>
      <c r="C491" s="73" t="s">
        <v>8</v>
      </c>
      <c r="D491" s="5" t="s">
        <v>49</v>
      </c>
      <c r="E491" s="7" t="s">
        <v>0</v>
      </c>
      <c r="F491" s="5"/>
      <c r="G491" s="23"/>
      <c r="H491" s="10">
        <v>71586</v>
      </c>
      <c r="I491" s="10">
        <v>86181</v>
      </c>
      <c r="J491" s="10">
        <v>87918</v>
      </c>
      <c r="K491" s="10">
        <v>88300</v>
      </c>
      <c r="L491" s="10">
        <v>89000</v>
      </c>
      <c r="M491" s="10">
        <v>53746</v>
      </c>
      <c r="N491" s="9" cm="1">
        <f t="array" ref="N491">SUM((H491:L491)/5)</f>
        <v>84597</v>
      </c>
      <c r="O491" s="10">
        <v>88500</v>
      </c>
      <c r="P491" s="23"/>
      <c r="Q491" s="30">
        <v>132.286</v>
      </c>
      <c r="R491" s="30">
        <v>303.38200000000001</v>
      </c>
      <c r="S491" s="30">
        <v>0.441</v>
      </c>
      <c r="T491" s="30">
        <v>0.441</v>
      </c>
      <c r="U491" s="30">
        <f t="shared" si="74"/>
        <v>35400</v>
      </c>
      <c r="V491" s="30">
        <f t="shared" si="75"/>
        <v>53100</v>
      </c>
      <c r="W491" s="23"/>
      <c r="X491" s="30" t="s">
        <v>354</v>
      </c>
      <c r="Y491" s="30" t="s">
        <v>386</v>
      </c>
      <c r="Z491" s="53">
        <f>SUM(26.75954+25.12843)/2</f>
        <v>25.943985000000001</v>
      </c>
      <c r="AA491" s="54">
        <f t="shared" si="76"/>
        <v>42.807575249999999</v>
      </c>
      <c r="AB491" s="23"/>
      <c r="AC491" s="4">
        <v>365</v>
      </c>
      <c r="AD491" s="32">
        <f t="shared" si="77"/>
        <v>555.18910000000005</v>
      </c>
      <c r="AE491" s="32">
        <f t="shared" si="78"/>
        <v>607.37080000000003</v>
      </c>
      <c r="AF491" s="32">
        <f t="shared" si="79"/>
        <v>9184.17</v>
      </c>
      <c r="AG491" s="32">
        <f t="shared" si="79"/>
        <v>22730.82</v>
      </c>
      <c r="AH491" s="78"/>
      <c r="AI491" s="78"/>
      <c r="AJ491" s="55">
        <f t="shared" si="80"/>
        <v>33077.549899999998</v>
      </c>
      <c r="AK491" s="32"/>
      <c r="AL491" s="33"/>
      <c r="AM491" s="23"/>
    </row>
  </sheetData>
  <sheetProtection algorithmName="SHA-512" hashValue="XpszugbD8Sd2clVrPvkS+hzya9FsE04rehoeBtNR1EA893OnROxuVd0eNXzLecSZqcoF7+RS5hSrl8c10HJPsA==" saltValue="ipuG4yS8YKFoX+M6Cczg/Q==" spinCount="100000" sheet="1" objects="1" scenarios="1" formatColumns="0" autoFilter="0"/>
  <mergeCells count="39">
    <mergeCell ref="X1:AA1"/>
    <mergeCell ref="AC1:AL1"/>
    <mergeCell ref="H2:O3"/>
    <mergeCell ref="R2:S2"/>
    <mergeCell ref="T2:U2"/>
    <mergeCell ref="X2:AA2"/>
    <mergeCell ref="R3:S3"/>
    <mergeCell ref="T3:U3"/>
    <mergeCell ref="X3:Y3"/>
    <mergeCell ref="AC3:AE3"/>
    <mergeCell ref="AF3:AG4"/>
    <mergeCell ref="R4:S4"/>
    <mergeCell ref="T4:U4"/>
    <mergeCell ref="O6:O7"/>
    <mergeCell ref="Q6:R6"/>
    <mergeCell ref="S6:T6"/>
    <mergeCell ref="U6:V6"/>
    <mergeCell ref="Q1:V1"/>
    <mergeCell ref="A6:A7"/>
    <mergeCell ref="B6:B7"/>
    <mergeCell ref="C6:C7"/>
    <mergeCell ref="D6:D7"/>
    <mergeCell ref="E6:E7"/>
    <mergeCell ref="C2:E3"/>
    <mergeCell ref="AK6:AK7"/>
    <mergeCell ref="AL6:AL7"/>
    <mergeCell ref="X6:X7"/>
    <mergeCell ref="Y6:Y7"/>
    <mergeCell ref="AA6:AA7"/>
    <mergeCell ref="AC6:AC7"/>
    <mergeCell ref="AD6:AD7"/>
    <mergeCell ref="AE6:AE7"/>
    <mergeCell ref="AF6:AF7"/>
    <mergeCell ref="AH6:AH7"/>
    <mergeCell ref="AI6:AI7"/>
    <mergeCell ref="AJ6:AJ7"/>
    <mergeCell ref="F6:F7"/>
    <mergeCell ref="N6:N7"/>
    <mergeCell ref="AG6:AG7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A9CA5-A6D3-4CDA-8EF9-C9FF86D238D5}">
  <sheetPr>
    <tabColor rgb="FF00FF00"/>
  </sheetPr>
  <dimension ref="A1:AL102"/>
  <sheetViews>
    <sheetView topLeftCell="C1" zoomScaleNormal="100" workbookViewId="0">
      <pane ySplit="7" topLeftCell="A8" activePane="bottomLeft" state="frozen"/>
      <selection pane="bottomLeft" activeCell="C6" sqref="C6:C7"/>
    </sheetView>
  </sheetViews>
  <sheetFormatPr defaultColWidth="7.08984375" defaultRowHeight="15.6" x14ac:dyDescent="0.3"/>
  <cols>
    <col min="1" max="2" width="11.54296875" style="5" hidden="1" customWidth="1"/>
    <col min="3" max="3" width="49.1796875" style="5" customWidth="1"/>
    <col min="4" max="4" width="16.453125" style="5" bestFit="1" customWidth="1"/>
    <col min="5" max="5" width="16.453125" style="5" customWidth="1"/>
    <col min="6" max="6" width="12.81640625" style="5" hidden="1" customWidth="1"/>
    <col min="7" max="7" width="1.90625" style="5" customWidth="1"/>
    <col min="8" max="12" width="12.1796875" style="7" customWidth="1"/>
    <col min="13" max="13" width="12.1796875" style="8" customWidth="1"/>
    <col min="14" max="14" width="12.1796875" style="9" customWidth="1"/>
    <col min="15" max="15" width="12.1796875" style="10" customWidth="1"/>
    <col min="16" max="16" width="1.90625" style="5" customWidth="1"/>
    <col min="17" max="17" width="15" style="5" customWidth="1"/>
    <col min="18" max="18" width="14.6328125" style="5" bestFit="1" customWidth="1"/>
    <col min="19" max="19" width="13.6328125" style="5" bestFit="1" customWidth="1"/>
    <col min="20" max="20" width="14.6328125" style="5" bestFit="1" customWidth="1"/>
    <col min="21" max="22" width="12.1796875" style="5" customWidth="1"/>
    <col min="23" max="23" width="2.36328125" style="5" customWidth="1"/>
    <col min="24" max="24" width="13.453125" style="5" customWidth="1"/>
    <col min="25" max="25" width="14.08984375" style="5" customWidth="1"/>
    <col min="26" max="26" width="13.08984375" style="5" customWidth="1"/>
    <col min="27" max="27" width="2.54296875" style="5" customWidth="1"/>
    <col min="28" max="30" width="12.1796875" style="5" customWidth="1"/>
    <col min="31" max="32" width="12.1796875" style="12" customWidth="1"/>
    <col min="33" max="34" width="12.1796875" style="5" hidden="1" customWidth="1"/>
    <col min="35" max="35" width="14.1796875" style="1" customWidth="1"/>
    <col min="36" max="37" width="12.1796875" style="5" hidden="1" customWidth="1"/>
    <col min="38" max="38" width="1.90625" style="5" customWidth="1"/>
    <col min="39" max="16384" width="7.08984375" style="5"/>
  </cols>
  <sheetData>
    <row r="1" spans="1:38" ht="15.75" customHeight="1" x14ac:dyDescent="0.3">
      <c r="G1" s="6"/>
      <c r="P1" s="6"/>
      <c r="Q1" s="254" t="s">
        <v>55</v>
      </c>
      <c r="R1" s="254"/>
      <c r="S1" s="254"/>
      <c r="T1" s="254"/>
      <c r="U1" s="254"/>
      <c r="V1" s="254"/>
      <c r="W1" s="6"/>
      <c r="X1" s="255" t="s">
        <v>56</v>
      </c>
      <c r="Y1" s="255"/>
      <c r="Z1" s="255"/>
      <c r="AA1" s="6"/>
      <c r="AB1" s="256" t="s">
        <v>57</v>
      </c>
      <c r="AC1" s="256"/>
      <c r="AD1" s="256"/>
      <c r="AE1" s="256"/>
      <c r="AF1" s="256"/>
      <c r="AG1" s="256"/>
      <c r="AH1" s="256"/>
      <c r="AI1" s="256"/>
      <c r="AJ1" s="256"/>
      <c r="AK1" s="256"/>
      <c r="AL1" s="6"/>
    </row>
    <row r="2" spans="1:38" ht="18" customHeight="1" x14ac:dyDescent="0.3">
      <c r="C2" s="11" t="s">
        <v>58</v>
      </c>
      <c r="G2" s="6"/>
      <c r="H2" s="257" t="s">
        <v>59</v>
      </c>
      <c r="I2" s="257"/>
      <c r="J2" s="257"/>
      <c r="K2" s="257"/>
      <c r="L2" s="257"/>
      <c r="M2" s="257"/>
      <c r="N2" s="257"/>
      <c r="O2" s="257"/>
      <c r="P2" s="6"/>
      <c r="Q2" s="11" t="s">
        <v>60</v>
      </c>
      <c r="R2" s="258" t="s">
        <v>61</v>
      </c>
      <c r="S2" s="258"/>
      <c r="T2" s="258" t="s">
        <v>62</v>
      </c>
      <c r="U2" s="258"/>
      <c r="W2" s="6"/>
      <c r="X2" s="263" t="s">
        <v>63</v>
      </c>
      <c r="Y2" s="263"/>
      <c r="Z2" s="263"/>
      <c r="AA2" s="6"/>
      <c r="AH2" s="79" t="s">
        <v>120</v>
      </c>
      <c r="AI2" s="47">
        <f>SUMIF($D$8:$D$1000,AH2,$AI$8:$AI$1000)</f>
        <v>956194.62000000011</v>
      </c>
      <c r="AL2" s="6"/>
    </row>
    <row r="3" spans="1:38" ht="18" customHeight="1" x14ac:dyDescent="0.3">
      <c r="C3" s="11"/>
      <c r="G3" s="6"/>
      <c r="H3" s="257"/>
      <c r="I3" s="257"/>
      <c r="J3" s="257"/>
      <c r="K3" s="257"/>
      <c r="L3" s="257"/>
      <c r="M3" s="257"/>
      <c r="N3" s="257"/>
      <c r="O3" s="257"/>
      <c r="P3" s="6"/>
      <c r="Q3" s="1" t="s">
        <v>1</v>
      </c>
      <c r="R3" s="262">
        <v>0.3</v>
      </c>
      <c r="S3" s="262"/>
      <c r="T3" s="262">
        <v>0.7</v>
      </c>
      <c r="U3" s="262"/>
      <c r="W3" s="6"/>
      <c r="X3" s="261" t="s">
        <v>64</v>
      </c>
      <c r="Y3" s="261"/>
      <c r="Z3" s="46">
        <v>0.55000000000000004</v>
      </c>
      <c r="AA3" s="6"/>
      <c r="AB3" s="256" t="s">
        <v>65</v>
      </c>
      <c r="AC3" s="256"/>
      <c r="AD3" s="256"/>
      <c r="AE3" s="256" t="s">
        <v>66</v>
      </c>
      <c r="AF3" s="256"/>
      <c r="AG3" s="80"/>
      <c r="AH3" s="79" t="s">
        <v>49</v>
      </c>
      <c r="AI3" s="47">
        <f>SUMIF($D$8:$D$1000,AH3,$AI$8:$AI$1000)</f>
        <v>1533469.5700000003</v>
      </c>
      <c r="AL3" s="6"/>
    </row>
    <row r="4" spans="1:38" ht="17.399999999999999" x14ac:dyDescent="0.3">
      <c r="A4" s="13"/>
      <c r="C4" s="11"/>
      <c r="G4" s="6"/>
      <c r="H4" s="14"/>
      <c r="I4" s="14"/>
      <c r="J4" s="14"/>
      <c r="K4" s="14"/>
      <c r="L4" s="14"/>
      <c r="M4" s="15"/>
      <c r="N4" s="16"/>
      <c r="O4" s="16"/>
      <c r="P4" s="6"/>
      <c r="Q4" s="1" t="s">
        <v>0</v>
      </c>
      <c r="R4" s="262">
        <v>0.4</v>
      </c>
      <c r="S4" s="262"/>
      <c r="T4" s="262">
        <v>0.6</v>
      </c>
      <c r="U4" s="262"/>
      <c r="W4" s="6"/>
      <c r="X4" s="1" t="s">
        <v>67</v>
      </c>
      <c r="Z4" s="17"/>
      <c r="AA4" s="6"/>
      <c r="AB4" s="1" t="s">
        <v>68</v>
      </c>
      <c r="AC4" s="1"/>
      <c r="AD4" s="46">
        <v>7.0000000000000007E-2</v>
      </c>
      <c r="AI4" s="47">
        <f>SUBTOTAL(9,AI8:AI99)</f>
        <v>2489664.1900000004</v>
      </c>
      <c r="AL4" s="6"/>
    </row>
    <row r="5" spans="1:38" s="1" customFormat="1" ht="17.399999999999999" x14ac:dyDescent="0.3">
      <c r="A5" s="13"/>
      <c r="G5" s="20"/>
      <c r="H5" s="2"/>
      <c r="I5" s="2"/>
      <c r="J5" s="2"/>
      <c r="K5" s="2"/>
      <c r="L5" s="2"/>
      <c r="M5" s="21"/>
      <c r="N5" s="9"/>
      <c r="O5" s="9"/>
      <c r="P5" s="20"/>
      <c r="W5" s="20"/>
      <c r="X5" s="18" t="s">
        <v>716</v>
      </c>
      <c r="AA5" s="20"/>
      <c r="AE5" s="22"/>
      <c r="AF5" s="22"/>
      <c r="AG5" s="49"/>
      <c r="AH5" s="49"/>
      <c r="AI5" s="50"/>
      <c r="AL5" s="20"/>
    </row>
    <row r="6" spans="1:38" s="4" customFormat="1" ht="31.5" customHeight="1" x14ac:dyDescent="0.25">
      <c r="A6" s="249" t="s">
        <v>69</v>
      </c>
      <c r="B6" s="249" t="s">
        <v>70</v>
      </c>
      <c r="C6" s="249" t="s">
        <v>738</v>
      </c>
      <c r="D6" s="249" t="s">
        <v>71</v>
      </c>
      <c r="E6" s="249" t="s">
        <v>72</v>
      </c>
      <c r="F6" s="249" t="s">
        <v>73</v>
      </c>
      <c r="G6" s="23"/>
      <c r="H6" s="60" t="s">
        <v>74</v>
      </c>
      <c r="I6" s="60" t="s">
        <v>75</v>
      </c>
      <c r="J6" s="60" t="s">
        <v>76</v>
      </c>
      <c r="K6" s="60" t="s">
        <v>77</v>
      </c>
      <c r="L6" s="60" t="s">
        <v>78</v>
      </c>
      <c r="M6" s="58" t="s">
        <v>79</v>
      </c>
      <c r="N6" s="264" t="s">
        <v>80</v>
      </c>
      <c r="O6" s="264" t="s">
        <v>81</v>
      </c>
      <c r="P6" s="23"/>
      <c r="Q6" s="253" t="s">
        <v>82</v>
      </c>
      <c r="R6" s="253"/>
      <c r="S6" s="253" t="s">
        <v>83</v>
      </c>
      <c r="T6" s="253"/>
      <c r="U6" s="253" t="s">
        <v>66</v>
      </c>
      <c r="V6" s="253"/>
      <c r="W6" s="23"/>
      <c r="X6" s="246" t="s">
        <v>84</v>
      </c>
      <c r="Y6" s="246" t="s">
        <v>85</v>
      </c>
      <c r="Z6" s="246" t="s">
        <v>86</v>
      </c>
      <c r="AA6" s="23"/>
      <c r="AB6" s="245" t="s">
        <v>87</v>
      </c>
      <c r="AC6" s="245" t="s">
        <v>88</v>
      </c>
      <c r="AD6" s="245" t="s">
        <v>89</v>
      </c>
      <c r="AE6" s="265" t="s">
        <v>90</v>
      </c>
      <c r="AF6" s="265" t="s">
        <v>91</v>
      </c>
      <c r="AG6" s="245"/>
      <c r="AH6" s="245"/>
      <c r="AI6" s="245" t="s">
        <v>92</v>
      </c>
      <c r="AJ6" s="245"/>
      <c r="AK6" s="245"/>
      <c r="AL6" s="23"/>
    </row>
    <row r="7" spans="1:38" s="4" customFormat="1" ht="15.75" customHeight="1" x14ac:dyDescent="0.25">
      <c r="A7" s="250"/>
      <c r="B7" s="250"/>
      <c r="C7" s="250"/>
      <c r="D7" s="250"/>
      <c r="E7" s="249"/>
      <c r="F7" s="249"/>
      <c r="G7" s="23"/>
      <c r="H7" s="60" t="s">
        <v>93</v>
      </c>
      <c r="I7" s="60" t="s">
        <v>94</v>
      </c>
      <c r="J7" s="60" t="s">
        <v>95</v>
      </c>
      <c r="K7" s="60" t="s">
        <v>96</v>
      </c>
      <c r="L7" s="60" t="s">
        <v>97</v>
      </c>
      <c r="M7" s="58" t="s">
        <v>98</v>
      </c>
      <c r="N7" s="264"/>
      <c r="O7" s="264"/>
      <c r="P7" s="23"/>
      <c r="Q7" s="24" t="s">
        <v>99</v>
      </c>
      <c r="R7" s="59" t="s">
        <v>100</v>
      </c>
      <c r="S7" s="24" t="s">
        <v>99</v>
      </c>
      <c r="T7" s="59" t="s">
        <v>100</v>
      </c>
      <c r="U7" s="59" t="s">
        <v>101</v>
      </c>
      <c r="V7" s="59" t="s">
        <v>102</v>
      </c>
      <c r="W7" s="23"/>
      <c r="X7" s="246"/>
      <c r="Y7" s="246"/>
      <c r="Z7" s="246"/>
      <c r="AA7" s="23"/>
      <c r="AB7" s="245"/>
      <c r="AC7" s="245"/>
      <c r="AD7" s="245"/>
      <c r="AE7" s="265"/>
      <c r="AF7" s="265"/>
      <c r="AG7" s="245"/>
      <c r="AH7" s="245"/>
      <c r="AI7" s="245"/>
      <c r="AJ7" s="245"/>
      <c r="AK7" s="245"/>
      <c r="AL7" s="23"/>
    </row>
    <row r="8" spans="1:38" x14ac:dyDescent="0.3">
      <c r="A8" s="64"/>
      <c r="B8" s="65"/>
      <c r="C8" s="74" t="s">
        <v>486</v>
      </c>
      <c r="D8" s="25" t="s">
        <v>54</v>
      </c>
      <c r="E8" s="7" t="s">
        <v>1</v>
      </c>
      <c r="F8" s="26"/>
      <c r="G8" s="27"/>
      <c r="H8" s="10">
        <v>1048786</v>
      </c>
      <c r="I8" s="10">
        <v>1080767</v>
      </c>
      <c r="J8" s="10">
        <v>947448</v>
      </c>
      <c r="K8" s="10">
        <v>1022592</v>
      </c>
      <c r="L8" s="10">
        <v>1001185</v>
      </c>
      <c r="M8" s="61">
        <v>435736</v>
      </c>
      <c r="N8" s="9" cm="1">
        <f t="array" ref="N8">SUM((H8:L8)/5)</f>
        <v>1020155.6</v>
      </c>
      <c r="O8" s="10">
        <v>1020200</v>
      </c>
      <c r="P8" s="27"/>
      <c r="Q8" s="28">
        <v>16.3</v>
      </c>
      <c r="R8" s="28">
        <v>32.58</v>
      </c>
      <c r="S8" s="29">
        <v>0</v>
      </c>
      <c r="T8" s="29">
        <v>0</v>
      </c>
      <c r="U8" s="30">
        <f>IF(E8="Gas",O8*$R$3,O8*$R$4)</f>
        <v>306060</v>
      </c>
      <c r="V8" s="30">
        <f>IF(E8="Gas",O8*$T$3,O8*$T$4)</f>
        <v>714140</v>
      </c>
      <c r="W8" s="23"/>
      <c r="X8" s="30">
        <v>2.1030000000000002</v>
      </c>
      <c r="Y8" s="30">
        <v>8.5950000000000006</v>
      </c>
      <c r="Z8" s="31">
        <f>IF(E8="Gas",(Y8+Y8*$Z$3),(Y8+Y8*$Z$4))</f>
        <v>13.32225</v>
      </c>
      <c r="AA8" s="27"/>
      <c r="AB8" s="30">
        <v>365</v>
      </c>
      <c r="AC8" s="32">
        <f>ROUND(R8*183,2)</f>
        <v>5962.14</v>
      </c>
      <c r="AD8" s="32">
        <f>ROUND((R8+R8*$AD$4)*(365-183),2)</f>
        <v>6344.63</v>
      </c>
      <c r="AE8" s="32">
        <f>ROUND(U8*(Y8/100),2)</f>
        <v>26305.86</v>
      </c>
      <c r="AF8" s="32">
        <f>ROUND(V8*(Z8/100),2)</f>
        <v>95139.520000000004</v>
      </c>
      <c r="AG8" s="32"/>
      <c r="AH8" s="32"/>
      <c r="AI8" s="33">
        <f>SUM(AC8:AF8)</f>
        <v>133752.15000000002</v>
      </c>
      <c r="AJ8" s="32"/>
      <c r="AK8" s="33"/>
      <c r="AL8" s="27"/>
    </row>
    <row r="9" spans="1:38" x14ac:dyDescent="0.3">
      <c r="A9" s="64"/>
      <c r="B9" s="65"/>
      <c r="C9" s="74" t="s">
        <v>486</v>
      </c>
      <c r="D9" s="25" t="s">
        <v>54</v>
      </c>
      <c r="E9" s="7" t="s">
        <v>1</v>
      </c>
      <c r="G9" s="23"/>
      <c r="H9" s="10">
        <v>1210967</v>
      </c>
      <c r="I9" s="10">
        <v>1061247</v>
      </c>
      <c r="J9" s="10">
        <v>968022</v>
      </c>
      <c r="K9" s="10">
        <v>1218998</v>
      </c>
      <c r="L9" s="10">
        <v>1018826</v>
      </c>
      <c r="M9" s="10">
        <v>36429</v>
      </c>
      <c r="N9" s="9" cm="1">
        <f t="array" ref="N9">SUM((H9:L9)/5)</f>
        <v>1095612</v>
      </c>
      <c r="O9" s="10">
        <v>1100000</v>
      </c>
      <c r="P9" s="23"/>
      <c r="Q9" s="28">
        <v>19.57</v>
      </c>
      <c r="R9" s="28">
        <v>44.86</v>
      </c>
      <c r="S9" s="29">
        <v>0</v>
      </c>
      <c r="T9" s="29">
        <v>0</v>
      </c>
      <c r="U9" s="30">
        <f t="shared" ref="U9:U70" si="0">IF(E9="Gas",O9*$R$3,O9*$R$4)</f>
        <v>330000</v>
      </c>
      <c r="V9" s="30">
        <f t="shared" ref="V9:V70" si="1">IF(E9="Gas",O9*$T$3,O9*$T$4)</f>
        <v>770000</v>
      </c>
      <c r="W9" s="23"/>
      <c r="X9" s="30">
        <v>2.101</v>
      </c>
      <c r="Y9" s="30">
        <v>8.5920000000000005</v>
      </c>
      <c r="Z9" s="31">
        <f t="shared" ref="Z9:Z70" si="2">IF(E9="Gas",(Y9+Y9*$Z$3),(Y9+Y9*$Z$4))</f>
        <v>13.317600000000002</v>
      </c>
      <c r="AA9" s="23"/>
      <c r="AB9" s="30">
        <v>365</v>
      </c>
      <c r="AC9" s="32">
        <f t="shared" ref="AC9:AC70" si="3">ROUND(R9*183,2)</f>
        <v>8209.3799999999992</v>
      </c>
      <c r="AD9" s="32">
        <f t="shared" ref="AD9:AD70" si="4">ROUND((R9+R9*$AD$4)*(365-183),2)</f>
        <v>8736.0400000000009</v>
      </c>
      <c r="AE9" s="32">
        <f t="shared" ref="AE9:AF70" si="5">ROUND(U9*(Y9/100),2)</f>
        <v>28353.599999999999</v>
      </c>
      <c r="AF9" s="32">
        <f t="shared" si="5"/>
        <v>102545.52</v>
      </c>
      <c r="AG9" s="32"/>
      <c r="AH9" s="32"/>
      <c r="AI9" s="33">
        <f t="shared" ref="AI9:AI70" si="6">SUM(AC9:AF9)</f>
        <v>147844.54</v>
      </c>
      <c r="AJ9" s="32"/>
      <c r="AK9" s="33"/>
      <c r="AL9" s="23"/>
    </row>
    <row r="10" spans="1:38" x14ac:dyDescent="0.3">
      <c r="A10" s="64"/>
      <c r="B10" s="65"/>
      <c r="C10" s="74" t="s">
        <v>707</v>
      </c>
      <c r="D10" s="25" t="s">
        <v>54</v>
      </c>
      <c r="E10" s="7" t="s">
        <v>1</v>
      </c>
      <c r="G10" s="23"/>
      <c r="H10" s="10">
        <v>121951</v>
      </c>
      <c r="I10" s="10">
        <v>113058</v>
      </c>
      <c r="J10" s="10">
        <v>108719</v>
      </c>
      <c r="K10" s="10">
        <v>89867</v>
      </c>
      <c r="L10" s="10">
        <v>82426</v>
      </c>
      <c r="M10" s="10">
        <v>26533</v>
      </c>
      <c r="N10" s="9" cm="1">
        <f t="array" ref="N10">SUM((H10:L10)/5)</f>
        <v>103204.2</v>
      </c>
      <c r="O10" s="10">
        <v>103200</v>
      </c>
      <c r="P10" s="23"/>
      <c r="Q10" s="28">
        <v>2.2799999999999998</v>
      </c>
      <c r="R10" s="28">
        <v>3.67</v>
      </c>
      <c r="S10" s="29">
        <v>0</v>
      </c>
      <c r="T10" s="29">
        <v>0</v>
      </c>
      <c r="U10" s="30">
        <f t="shared" si="0"/>
        <v>30960</v>
      </c>
      <c r="V10" s="30">
        <f t="shared" si="1"/>
        <v>72240</v>
      </c>
      <c r="W10" s="23"/>
      <c r="X10" s="30">
        <v>2.1040000000000001</v>
      </c>
      <c r="Y10" s="30">
        <v>8.5960000000000001</v>
      </c>
      <c r="Z10" s="31">
        <f t="shared" si="2"/>
        <v>13.3238</v>
      </c>
      <c r="AA10" s="23"/>
      <c r="AB10" s="30">
        <v>365</v>
      </c>
      <c r="AC10" s="32">
        <f t="shared" si="3"/>
        <v>671.61</v>
      </c>
      <c r="AD10" s="32">
        <f t="shared" si="4"/>
        <v>714.7</v>
      </c>
      <c r="AE10" s="32">
        <f t="shared" si="5"/>
        <v>2661.32</v>
      </c>
      <c r="AF10" s="32">
        <f t="shared" si="5"/>
        <v>9625.11</v>
      </c>
      <c r="AG10" s="32"/>
      <c r="AH10" s="32"/>
      <c r="AI10" s="33">
        <f t="shared" si="6"/>
        <v>13672.740000000002</v>
      </c>
      <c r="AJ10" s="32"/>
      <c r="AK10" s="33"/>
      <c r="AL10" s="23"/>
    </row>
    <row r="11" spans="1:38" x14ac:dyDescent="0.3">
      <c r="A11" s="64"/>
      <c r="B11" s="65"/>
      <c r="C11" s="74" t="s">
        <v>663</v>
      </c>
      <c r="D11" s="25" t="s">
        <v>54</v>
      </c>
      <c r="E11" s="7" t="s">
        <v>1</v>
      </c>
      <c r="G11" s="23"/>
      <c r="H11" s="10">
        <v>126035</v>
      </c>
      <c r="I11" s="10">
        <v>80336</v>
      </c>
      <c r="J11" s="10">
        <v>103188</v>
      </c>
      <c r="K11" s="10">
        <v>71452</v>
      </c>
      <c r="L11" s="10">
        <v>71600</v>
      </c>
      <c r="M11" s="10">
        <v>13211</v>
      </c>
      <c r="N11" s="9" cm="1">
        <f t="array" ref="N11">SUM((H11:L11)/5)</f>
        <v>90522.2</v>
      </c>
      <c r="O11" s="10">
        <v>90500</v>
      </c>
      <c r="P11" s="23"/>
      <c r="Q11" s="28">
        <v>2.62</v>
      </c>
      <c r="R11" s="28">
        <v>4.7</v>
      </c>
      <c r="S11" s="29">
        <v>0</v>
      </c>
      <c r="T11" s="29">
        <v>0</v>
      </c>
      <c r="U11" s="30">
        <f t="shared" si="0"/>
        <v>27150</v>
      </c>
      <c r="V11" s="30">
        <f t="shared" si="1"/>
        <v>63349.999999999993</v>
      </c>
      <c r="W11" s="23"/>
      <c r="X11" s="30">
        <v>2.1110000000000002</v>
      </c>
      <c r="Y11" s="30">
        <v>8.6029999999999998</v>
      </c>
      <c r="Z11" s="31">
        <f t="shared" si="2"/>
        <v>13.33465</v>
      </c>
      <c r="AA11" s="23"/>
      <c r="AB11" s="30">
        <v>365</v>
      </c>
      <c r="AC11" s="32">
        <f t="shared" si="3"/>
        <v>860.1</v>
      </c>
      <c r="AD11" s="32">
        <f t="shared" si="4"/>
        <v>915.28</v>
      </c>
      <c r="AE11" s="32">
        <f t="shared" si="5"/>
        <v>2335.71</v>
      </c>
      <c r="AF11" s="32">
        <f t="shared" si="5"/>
        <v>8447.5</v>
      </c>
      <c r="AG11" s="32"/>
      <c r="AH11" s="32"/>
      <c r="AI11" s="33">
        <f t="shared" si="6"/>
        <v>12558.59</v>
      </c>
      <c r="AJ11" s="32"/>
      <c r="AK11" s="33"/>
      <c r="AL11" s="23"/>
    </row>
    <row r="12" spans="1:38" x14ac:dyDescent="0.3">
      <c r="A12" s="64"/>
      <c r="B12" s="65"/>
      <c r="C12" s="74" t="s">
        <v>662</v>
      </c>
      <c r="D12" s="25" t="s">
        <v>54</v>
      </c>
      <c r="E12" s="7" t="s">
        <v>1</v>
      </c>
      <c r="G12" s="23"/>
      <c r="H12" s="10">
        <v>113320</v>
      </c>
      <c r="I12" s="10">
        <v>96831</v>
      </c>
      <c r="J12" s="10">
        <v>118618</v>
      </c>
      <c r="K12" s="10">
        <v>134735</v>
      </c>
      <c r="L12" s="10">
        <v>134840</v>
      </c>
      <c r="M12" s="10">
        <v>42668</v>
      </c>
      <c r="N12" s="9" cm="1">
        <f t="array" ref="N12">SUM((H12:L12)/5)</f>
        <v>119668.79999999999</v>
      </c>
      <c r="O12" s="10">
        <v>132000</v>
      </c>
      <c r="P12" s="23"/>
      <c r="Q12" s="28">
        <v>2.94</v>
      </c>
      <c r="R12" s="28">
        <v>6.37</v>
      </c>
      <c r="S12" s="29">
        <v>0</v>
      </c>
      <c r="T12" s="29">
        <v>0</v>
      </c>
      <c r="U12" s="30">
        <f t="shared" si="0"/>
        <v>39600</v>
      </c>
      <c r="V12" s="30">
        <f t="shared" si="1"/>
        <v>92400</v>
      </c>
      <c r="W12" s="23"/>
      <c r="X12" s="30">
        <v>2.1040000000000001</v>
      </c>
      <c r="Y12" s="30">
        <v>8.5960000000000001</v>
      </c>
      <c r="Z12" s="31">
        <f t="shared" si="2"/>
        <v>13.3238</v>
      </c>
      <c r="AA12" s="23"/>
      <c r="AB12" s="30">
        <v>365</v>
      </c>
      <c r="AC12" s="32">
        <f t="shared" si="3"/>
        <v>1165.71</v>
      </c>
      <c r="AD12" s="32">
        <f t="shared" si="4"/>
        <v>1240.49</v>
      </c>
      <c r="AE12" s="32">
        <f t="shared" si="5"/>
        <v>3404.02</v>
      </c>
      <c r="AF12" s="32">
        <f t="shared" si="5"/>
        <v>12311.19</v>
      </c>
      <c r="AG12" s="32"/>
      <c r="AH12" s="32"/>
      <c r="AI12" s="33">
        <f t="shared" si="6"/>
        <v>18121.41</v>
      </c>
      <c r="AJ12" s="32"/>
      <c r="AK12" s="33"/>
      <c r="AL12" s="23"/>
    </row>
    <row r="13" spans="1:38" x14ac:dyDescent="0.3">
      <c r="A13" s="64"/>
      <c r="B13" s="65"/>
      <c r="C13" s="74" t="s">
        <v>683</v>
      </c>
      <c r="D13" s="25" t="s">
        <v>54</v>
      </c>
      <c r="E13" s="7" t="s">
        <v>1</v>
      </c>
      <c r="G13" s="23"/>
      <c r="H13" s="10">
        <v>138055</v>
      </c>
      <c r="I13" s="10">
        <v>230540</v>
      </c>
      <c r="J13" s="10">
        <v>261332</v>
      </c>
      <c r="K13" s="10">
        <v>262559</v>
      </c>
      <c r="L13" s="10">
        <v>272815</v>
      </c>
      <c r="M13" s="10">
        <v>72714</v>
      </c>
      <c r="N13" s="9" cm="1">
        <f t="array" ref="N13">SUM((H13:L13)/5)</f>
        <v>233060.2</v>
      </c>
      <c r="O13" s="10">
        <v>270000</v>
      </c>
      <c r="P13" s="23"/>
      <c r="Q13" s="28">
        <v>5.32</v>
      </c>
      <c r="R13" s="28">
        <v>12</v>
      </c>
      <c r="S13" s="29">
        <v>0</v>
      </c>
      <c r="T13" s="29">
        <v>0</v>
      </c>
      <c r="U13" s="30">
        <f t="shared" si="0"/>
        <v>81000</v>
      </c>
      <c r="V13" s="30">
        <f t="shared" si="1"/>
        <v>189000</v>
      </c>
      <c r="W13" s="23"/>
      <c r="X13" s="30">
        <v>2.1040000000000001</v>
      </c>
      <c r="Y13" s="30">
        <v>8.5960000000000001</v>
      </c>
      <c r="Z13" s="31">
        <f t="shared" si="2"/>
        <v>13.3238</v>
      </c>
      <c r="AA13" s="23"/>
      <c r="AB13" s="30">
        <v>365</v>
      </c>
      <c r="AC13" s="32">
        <f t="shared" si="3"/>
        <v>2196</v>
      </c>
      <c r="AD13" s="32">
        <f t="shared" si="4"/>
        <v>2336.88</v>
      </c>
      <c r="AE13" s="32">
        <f t="shared" si="5"/>
        <v>6962.76</v>
      </c>
      <c r="AF13" s="32">
        <f t="shared" si="5"/>
        <v>25181.98</v>
      </c>
      <c r="AG13" s="32"/>
      <c r="AH13" s="32"/>
      <c r="AI13" s="33">
        <f t="shared" si="6"/>
        <v>36677.619999999995</v>
      </c>
      <c r="AJ13" s="32"/>
      <c r="AK13" s="33"/>
      <c r="AL13" s="23"/>
    </row>
    <row r="14" spans="1:38" x14ac:dyDescent="0.3">
      <c r="A14" s="64"/>
      <c r="B14" s="65"/>
      <c r="C14" s="74" t="s">
        <v>663</v>
      </c>
      <c r="D14" s="25" t="s">
        <v>54</v>
      </c>
      <c r="E14" s="7" t="s">
        <v>1</v>
      </c>
      <c r="G14" s="23"/>
      <c r="H14" s="10">
        <v>1044</v>
      </c>
      <c r="I14" s="10">
        <v>69124</v>
      </c>
      <c r="J14" s="10">
        <v>189995</v>
      </c>
      <c r="K14" s="10">
        <v>153549</v>
      </c>
      <c r="L14" s="10">
        <v>147311</v>
      </c>
      <c r="M14" s="10">
        <v>69386</v>
      </c>
      <c r="N14" s="9" cm="1">
        <f t="array" ref="N14">SUM((H14:L14)/5)</f>
        <v>112204.59999999999</v>
      </c>
      <c r="O14" s="10">
        <v>151000</v>
      </c>
      <c r="P14" s="23"/>
      <c r="Q14" s="28">
        <v>3</v>
      </c>
      <c r="R14" s="28">
        <v>5.66</v>
      </c>
      <c r="S14" s="29">
        <v>0</v>
      </c>
      <c r="T14" s="29">
        <v>0</v>
      </c>
      <c r="U14" s="30">
        <f t="shared" si="0"/>
        <v>45300</v>
      </c>
      <c r="V14" s="30">
        <f t="shared" si="1"/>
        <v>105700</v>
      </c>
      <c r="W14" s="23"/>
      <c r="X14" s="30">
        <v>2.1040000000000001</v>
      </c>
      <c r="Y14" s="30">
        <v>8.5960000000000001</v>
      </c>
      <c r="Z14" s="31">
        <f t="shared" si="2"/>
        <v>13.3238</v>
      </c>
      <c r="AA14" s="23"/>
      <c r="AB14" s="30">
        <v>365</v>
      </c>
      <c r="AC14" s="32">
        <f t="shared" si="3"/>
        <v>1035.78</v>
      </c>
      <c r="AD14" s="32">
        <f t="shared" si="4"/>
        <v>1102.23</v>
      </c>
      <c r="AE14" s="32">
        <f t="shared" si="5"/>
        <v>3893.99</v>
      </c>
      <c r="AF14" s="32">
        <f t="shared" si="5"/>
        <v>14083.26</v>
      </c>
      <c r="AG14" s="32"/>
      <c r="AH14" s="32"/>
      <c r="AI14" s="33">
        <f t="shared" si="6"/>
        <v>20115.260000000002</v>
      </c>
      <c r="AJ14" s="32"/>
      <c r="AK14" s="33"/>
      <c r="AL14" s="23"/>
    </row>
    <row r="15" spans="1:38" x14ac:dyDescent="0.3">
      <c r="A15" s="64"/>
      <c r="B15" s="65"/>
      <c r="C15" s="74" t="s">
        <v>683</v>
      </c>
      <c r="D15" s="25" t="s">
        <v>54</v>
      </c>
      <c r="E15" s="7" t="s">
        <v>1</v>
      </c>
      <c r="G15" s="23"/>
      <c r="H15" s="10">
        <v>97509</v>
      </c>
      <c r="I15" s="10">
        <v>108435</v>
      </c>
      <c r="J15" s="10">
        <v>97725</v>
      </c>
      <c r="K15" s="10">
        <v>98556</v>
      </c>
      <c r="L15" s="10">
        <v>91366</v>
      </c>
      <c r="M15" s="10">
        <v>33375</v>
      </c>
      <c r="N15" s="9" cm="1">
        <f t="array" ref="N15">SUM((H15:L15)/5)</f>
        <v>98718.2</v>
      </c>
      <c r="O15" s="10">
        <v>98700</v>
      </c>
      <c r="P15" s="23"/>
      <c r="Q15" s="28">
        <v>2.33</v>
      </c>
      <c r="R15" s="28">
        <v>3.88</v>
      </c>
      <c r="S15" s="29">
        <v>0</v>
      </c>
      <c r="T15" s="29">
        <v>0</v>
      </c>
      <c r="U15" s="30">
        <f t="shared" si="0"/>
        <v>29610</v>
      </c>
      <c r="V15" s="30">
        <f t="shared" si="1"/>
        <v>69090</v>
      </c>
      <c r="W15" s="23"/>
      <c r="X15" s="30">
        <v>2.1040000000000001</v>
      </c>
      <c r="Y15" s="30">
        <v>8.5960000000000001</v>
      </c>
      <c r="Z15" s="31">
        <f t="shared" si="2"/>
        <v>13.3238</v>
      </c>
      <c r="AA15" s="23"/>
      <c r="AB15" s="30">
        <v>365</v>
      </c>
      <c r="AC15" s="32">
        <f t="shared" si="3"/>
        <v>710.04</v>
      </c>
      <c r="AD15" s="32">
        <f t="shared" si="4"/>
        <v>755.59</v>
      </c>
      <c r="AE15" s="32">
        <f t="shared" si="5"/>
        <v>2545.2800000000002</v>
      </c>
      <c r="AF15" s="32">
        <f t="shared" si="5"/>
        <v>9205.41</v>
      </c>
      <c r="AG15" s="32"/>
      <c r="AH15" s="32"/>
      <c r="AI15" s="33">
        <f t="shared" si="6"/>
        <v>13216.32</v>
      </c>
      <c r="AJ15" s="32"/>
      <c r="AK15" s="33"/>
      <c r="AL15" s="23"/>
    </row>
    <row r="16" spans="1:38" x14ac:dyDescent="0.3">
      <c r="A16" s="64"/>
      <c r="B16" s="65"/>
      <c r="C16" s="74" t="s">
        <v>691</v>
      </c>
      <c r="D16" s="25" t="s">
        <v>54</v>
      </c>
      <c r="E16" s="7" t="s">
        <v>1</v>
      </c>
      <c r="G16" s="23"/>
      <c r="H16" s="10">
        <v>167082</v>
      </c>
      <c r="I16" s="10">
        <v>165761</v>
      </c>
      <c r="J16" s="10">
        <v>171067</v>
      </c>
      <c r="K16" s="10">
        <v>182122</v>
      </c>
      <c r="L16" s="10">
        <v>189323</v>
      </c>
      <c r="M16" s="10">
        <v>50454</v>
      </c>
      <c r="N16" s="9" cm="1">
        <f t="array" ref="N16">SUM((H16:L16)/5)</f>
        <v>175071</v>
      </c>
      <c r="O16" s="10">
        <v>184500</v>
      </c>
      <c r="P16" s="23"/>
      <c r="Q16" s="28">
        <v>3.92</v>
      </c>
      <c r="R16" s="28">
        <v>8.59</v>
      </c>
      <c r="S16" s="29">
        <v>0</v>
      </c>
      <c r="T16" s="29">
        <v>0</v>
      </c>
      <c r="U16" s="30">
        <f t="shared" si="0"/>
        <v>55350</v>
      </c>
      <c r="V16" s="30">
        <f t="shared" si="1"/>
        <v>129149.99999999999</v>
      </c>
      <c r="W16" s="23"/>
      <c r="X16" s="30">
        <v>2.1040000000000001</v>
      </c>
      <c r="Y16" s="30">
        <v>8.5960000000000001</v>
      </c>
      <c r="Z16" s="31">
        <f t="shared" si="2"/>
        <v>13.3238</v>
      </c>
      <c r="AA16" s="23"/>
      <c r="AB16" s="30">
        <v>365</v>
      </c>
      <c r="AC16" s="32">
        <f t="shared" si="3"/>
        <v>1571.97</v>
      </c>
      <c r="AD16" s="32">
        <f t="shared" si="4"/>
        <v>1672.82</v>
      </c>
      <c r="AE16" s="32">
        <f t="shared" si="5"/>
        <v>4757.8900000000003</v>
      </c>
      <c r="AF16" s="32">
        <f t="shared" si="5"/>
        <v>17207.689999999999</v>
      </c>
      <c r="AG16" s="32"/>
      <c r="AH16" s="32"/>
      <c r="AI16" s="33">
        <f t="shared" si="6"/>
        <v>25210.37</v>
      </c>
      <c r="AJ16" s="32"/>
      <c r="AK16" s="33"/>
      <c r="AL16" s="23"/>
    </row>
    <row r="17" spans="1:38" x14ac:dyDescent="0.3">
      <c r="A17" s="64"/>
      <c r="B17" s="65"/>
      <c r="C17" s="74" t="s">
        <v>692</v>
      </c>
      <c r="D17" s="25" t="s">
        <v>54</v>
      </c>
      <c r="E17" s="7" t="s">
        <v>1</v>
      </c>
      <c r="G17" s="23"/>
      <c r="H17" s="10">
        <v>59369</v>
      </c>
      <c r="I17" s="10">
        <v>76377</v>
      </c>
      <c r="J17" s="10">
        <v>79668</v>
      </c>
      <c r="K17" s="10">
        <v>74349</v>
      </c>
      <c r="L17" s="10">
        <v>66885</v>
      </c>
      <c r="M17" s="10">
        <v>22917</v>
      </c>
      <c r="N17" s="9" cm="1">
        <f t="array" ref="N17">SUM((H17:L17)/5)</f>
        <v>71329.599999999991</v>
      </c>
      <c r="O17" s="10">
        <v>73000</v>
      </c>
      <c r="P17" s="23"/>
      <c r="Q17" s="28">
        <v>1.98</v>
      </c>
      <c r="R17" s="28">
        <v>3.9</v>
      </c>
      <c r="S17" s="29">
        <v>0</v>
      </c>
      <c r="T17" s="29">
        <v>0</v>
      </c>
      <c r="U17" s="30">
        <f t="shared" si="0"/>
        <v>21900</v>
      </c>
      <c r="V17" s="30">
        <f t="shared" si="1"/>
        <v>51100</v>
      </c>
      <c r="W17" s="23"/>
      <c r="X17" s="30">
        <v>2.1040000000000001</v>
      </c>
      <c r="Y17" s="30">
        <v>8.6029999999999998</v>
      </c>
      <c r="Z17" s="31">
        <f t="shared" si="2"/>
        <v>13.33465</v>
      </c>
      <c r="AA17" s="23"/>
      <c r="AB17" s="30">
        <v>365</v>
      </c>
      <c r="AC17" s="32">
        <f t="shared" si="3"/>
        <v>713.7</v>
      </c>
      <c r="AD17" s="32">
        <f t="shared" si="4"/>
        <v>759.49</v>
      </c>
      <c r="AE17" s="32">
        <f t="shared" si="5"/>
        <v>1884.06</v>
      </c>
      <c r="AF17" s="32">
        <f t="shared" si="5"/>
        <v>6814.01</v>
      </c>
      <c r="AG17" s="32"/>
      <c r="AH17" s="32"/>
      <c r="AI17" s="33">
        <f t="shared" si="6"/>
        <v>10171.26</v>
      </c>
      <c r="AJ17" s="32"/>
      <c r="AK17" s="33"/>
      <c r="AL17" s="23"/>
    </row>
    <row r="18" spans="1:38" x14ac:dyDescent="0.3">
      <c r="A18" s="64"/>
      <c r="B18" s="65"/>
      <c r="C18" s="74" t="s">
        <v>630</v>
      </c>
      <c r="D18" s="25" t="s">
        <v>54</v>
      </c>
      <c r="E18" s="7" t="s">
        <v>1</v>
      </c>
      <c r="G18" s="23"/>
      <c r="H18" s="10">
        <v>117313</v>
      </c>
      <c r="I18" s="10">
        <v>108889</v>
      </c>
      <c r="J18" s="10">
        <v>116409</v>
      </c>
      <c r="K18" s="10">
        <v>118612</v>
      </c>
      <c r="L18" s="10">
        <v>114426</v>
      </c>
      <c r="M18" s="10">
        <v>27499</v>
      </c>
      <c r="N18" s="9" cm="1">
        <f t="array" ref="N18">SUM((H18:L18)/5)</f>
        <v>115129.8</v>
      </c>
      <c r="O18" s="10">
        <v>116000</v>
      </c>
      <c r="P18" s="23"/>
      <c r="Q18" s="28">
        <v>2.65</v>
      </c>
      <c r="R18" s="28">
        <v>4.67</v>
      </c>
      <c r="S18" s="29">
        <v>0</v>
      </c>
      <c r="T18" s="29">
        <v>0</v>
      </c>
      <c r="U18" s="30">
        <f t="shared" si="0"/>
        <v>34800</v>
      </c>
      <c r="V18" s="30">
        <f t="shared" si="1"/>
        <v>81200</v>
      </c>
      <c r="W18" s="23"/>
      <c r="X18" s="30">
        <v>2.1040000000000001</v>
      </c>
      <c r="Y18" s="30">
        <v>8.5960000000000001</v>
      </c>
      <c r="Z18" s="31">
        <f t="shared" si="2"/>
        <v>13.3238</v>
      </c>
      <c r="AA18" s="23"/>
      <c r="AB18" s="30">
        <v>365</v>
      </c>
      <c r="AC18" s="32">
        <f t="shared" si="3"/>
        <v>854.61</v>
      </c>
      <c r="AD18" s="32">
        <f t="shared" si="4"/>
        <v>909.44</v>
      </c>
      <c r="AE18" s="32">
        <f t="shared" si="5"/>
        <v>2991.41</v>
      </c>
      <c r="AF18" s="32">
        <f t="shared" si="5"/>
        <v>10818.93</v>
      </c>
      <c r="AG18" s="32"/>
      <c r="AH18" s="32"/>
      <c r="AI18" s="33">
        <f t="shared" si="6"/>
        <v>15574.39</v>
      </c>
      <c r="AJ18" s="32"/>
      <c r="AK18" s="33"/>
      <c r="AL18" s="23"/>
    </row>
    <row r="19" spans="1:38" x14ac:dyDescent="0.3">
      <c r="A19" s="64"/>
      <c r="B19" s="65"/>
      <c r="C19" s="74" t="s">
        <v>630</v>
      </c>
      <c r="D19" s="25" t="s">
        <v>54</v>
      </c>
      <c r="E19" s="7" t="s">
        <v>1</v>
      </c>
      <c r="G19" s="23"/>
      <c r="H19" s="10">
        <v>84266</v>
      </c>
      <c r="I19" s="10">
        <v>84670</v>
      </c>
      <c r="J19" s="10">
        <v>94166</v>
      </c>
      <c r="K19" s="10">
        <v>83614</v>
      </c>
      <c r="L19" s="10">
        <v>77753</v>
      </c>
      <c r="M19" s="10">
        <v>23999</v>
      </c>
      <c r="N19" s="9" cm="1">
        <f t="array" ref="N19">SUM((H19:L19)/5)</f>
        <v>84893.8</v>
      </c>
      <c r="O19" s="10">
        <v>84500</v>
      </c>
      <c r="P19" s="23"/>
      <c r="Q19" s="28">
        <v>2.11</v>
      </c>
      <c r="R19" s="28">
        <v>3.43</v>
      </c>
      <c r="S19" s="29">
        <v>0</v>
      </c>
      <c r="T19" s="29">
        <v>0</v>
      </c>
      <c r="U19" s="30">
        <f t="shared" si="0"/>
        <v>25350</v>
      </c>
      <c r="V19" s="30">
        <f t="shared" si="1"/>
        <v>59149.999999999993</v>
      </c>
      <c r="W19" s="23"/>
      <c r="X19" s="30">
        <v>2.1040000000000001</v>
      </c>
      <c r="Y19" s="30">
        <v>8.5960000000000001</v>
      </c>
      <c r="Z19" s="31">
        <f t="shared" si="2"/>
        <v>13.3238</v>
      </c>
      <c r="AA19" s="23"/>
      <c r="AB19" s="30">
        <v>365</v>
      </c>
      <c r="AC19" s="32">
        <f t="shared" si="3"/>
        <v>627.69000000000005</v>
      </c>
      <c r="AD19" s="32">
        <f t="shared" si="4"/>
        <v>667.96</v>
      </c>
      <c r="AE19" s="32">
        <f t="shared" si="5"/>
        <v>2179.09</v>
      </c>
      <c r="AF19" s="32">
        <f t="shared" si="5"/>
        <v>7881.03</v>
      </c>
      <c r="AG19" s="32"/>
      <c r="AH19" s="32"/>
      <c r="AI19" s="33">
        <f t="shared" si="6"/>
        <v>11355.77</v>
      </c>
      <c r="AJ19" s="32"/>
      <c r="AK19" s="33"/>
      <c r="AL19" s="23"/>
    </row>
    <row r="20" spans="1:38" x14ac:dyDescent="0.3">
      <c r="A20" s="64"/>
      <c r="B20" s="65"/>
      <c r="C20" s="74" t="s">
        <v>631</v>
      </c>
      <c r="D20" s="25" t="s">
        <v>54</v>
      </c>
      <c r="E20" s="7" t="s">
        <v>1</v>
      </c>
      <c r="G20" s="23"/>
      <c r="H20" s="10">
        <v>84605</v>
      </c>
      <c r="I20" s="10">
        <v>73013</v>
      </c>
      <c r="J20" s="10">
        <v>121475</v>
      </c>
      <c r="K20" s="10">
        <v>87277</v>
      </c>
      <c r="L20" s="10">
        <v>107418</v>
      </c>
      <c r="M20" s="10">
        <v>28632</v>
      </c>
      <c r="N20" s="9" cm="1">
        <f t="array" ref="N20">SUM((H20:L20)/5)</f>
        <v>94757.6</v>
      </c>
      <c r="O20" s="10">
        <v>94750</v>
      </c>
      <c r="P20" s="23"/>
      <c r="Q20" s="28">
        <v>2.4700000000000002</v>
      </c>
      <c r="R20" s="28">
        <v>5.16</v>
      </c>
      <c r="S20" s="29">
        <v>0</v>
      </c>
      <c r="T20" s="29">
        <v>0</v>
      </c>
      <c r="U20" s="30">
        <f t="shared" si="0"/>
        <v>28425</v>
      </c>
      <c r="V20" s="30">
        <f t="shared" si="1"/>
        <v>66325</v>
      </c>
      <c r="W20" s="23"/>
      <c r="X20" s="30">
        <v>2.1040000000000001</v>
      </c>
      <c r="Y20" s="30">
        <v>8.5960000000000001</v>
      </c>
      <c r="Z20" s="31">
        <f t="shared" si="2"/>
        <v>13.3238</v>
      </c>
      <c r="AA20" s="23"/>
      <c r="AB20" s="30">
        <v>365</v>
      </c>
      <c r="AC20" s="32">
        <f t="shared" si="3"/>
        <v>944.28</v>
      </c>
      <c r="AD20" s="32">
        <f t="shared" si="4"/>
        <v>1004.86</v>
      </c>
      <c r="AE20" s="32">
        <f t="shared" si="5"/>
        <v>2443.41</v>
      </c>
      <c r="AF20" s="32">
        <f t="shared" si="5"/>
        <v>8837.01</v>
      </c>
      <c r="AG20" s="32"/>
      <c r="AH20" s="32"/>
      <c r="AI20" s="33">
        <f t="shared" si="6"/>
        <v>13229.56</v>
      </c>
      <c r="AJ20" s="32"/>
      <c r="AK20" s="33"/>
      <c r="AL20" s="23"/>
    </row>
    <row r="21" spans="1:38" x14ac:dyDescent="0.3">
      <c r="A21" s="64"/>
      <c r="B21" s="65"/>
      <c r="C21" s="74" t="s">
        <v>631</v>
      </c>
      <c r="D21" s="25" t="s">
        <v>54</v>
      </c>
      <c r="E21" s="7" t="s">
        <v>1</v>
      </c>
      <c r="G21" s="23"/>
      <c r="H21" s="10">
        <v>103621</v>
      </c>
      <c r="I21" s="10">
        <v>100938</v>
      </c>
      <c r="J21" s="10">
        <v>96684</v>
      </c>
      <c r="K21" s="10">
        <v>96131</v>
      </c>
      <c r="L21" s="10">
        <v>93243</v>
      </c>
      <c r="M21" s="10">
        <v>31023</v>
      </c>
      <c r="N21" s="9" cm="1">
        <f t="array" ref="N21">SUM((H21:L21)/5)</f>
        <v>98123.4</v>
      </c>
      <c r="O21" s="10">
        <v>98000</v>
      </c>
      <c r="P21" s="23"/>
      <c r="Q21" s="28">
        <v>2.27</v>
      </c>
      <c r="R21" s="28">
        <v>3.91</v>
      </c>
      <c r="S21" s="29">
        <v>0</v>
      </c>
      <c r="T21" s="29">
        <v>0</v>
      </c>
      <c r="U21" s="30">
        <f t="shared" si="0"/>
        <v>29400</v>
      </c>
      <c r="V21" s="30">
        <f t="shared" si="1"/>
        <v>68600</v>
      </c>
      <c r="W21" s="23"/>
      <c r="X21" s="30">
        <v>2.1040000000000001</v>
      </c>
      <c r="Y21" s="30">
        <v>8.5960000000000001</v>
      </c>
      <c r="Z21" s="31">
        <f t="shared" si="2"/>
        <v>13.3238</v>
      </c>
      <c r="AA21" s="23"/>
      <c r="AB21" s="30">
        <v>365</v>
      </c>
      <c r="AC21" s="32">
        <f t="shared" si="3"/>
        <v>715.53</v>
      </c>
      <c r="AD21" s="32">
        <f t="shared" si="4"/>
        <v>761.43</v>
      </c>
      <c r="AE21" s="32">
        <f t="shared" si="5"/>
        <v>2527.2199999999998</v>
      </c>
      <c r="AF21" s="32">
        <f t="shared" si="5"/>
        <v>9140.1299999999992</v>
      </c>
      <c r="AG21" s="32"/>
      <c r="AH21" s="32"/>
      <c r="AI21" s="33">
        <f t="shared" si="6"/>
        <v>13144.31</v>
      </c>
      <c r="AJ21" s="32"/>
      <c r="AK21" s="33"/>
      <c r="AL21" s="23"/>
    </row>
    <row r="22" spans="1:38" x14ac:dyDescent="0.3">
      <c r="A22" s="64"/>
      <c r="B22" s="65"/>
      <c r="C22" s="74" t="s">
        <v>631</v>
      </c>
      <c r="D22" s="25" t="s">
        <v>54</v>
      </c>
      <c r="E22" s="7" t="s">
        <v>1</v>
      </c>
      <c r="G22" s="23"/>
      <c r="H22" s="10">
        <v>131448</v>
      </c>
      <c r="I22" s="10">
        <v>132775</v>
      </c>
      <c r="J22" s="10">
        <v>120414</v>
      </c>
      <c r="K22" s="10">
        <v>137818</v>
      </c>
      <c r="L22" s="10">
        <v>145434</v>
      </c>
      <c r="M22" s="10">
        <v>38768</v>
      </c>
      <c r="N22" s="9" cm="1">
        <f t="array" ref="N22">SUM((H22:L22)/5)</f>
        <v>133577.79999999999</v>
      </c>
      <c r="O22" s="10">
        <v>142000</v>
      </c>
      <c r="P22" s="23"/>
      <c r="Q22" s="28">
        <v>3.12</v>
      </c>
      <c r="R22" s="28">
        <v>6.72</v>
      </c>
      <c r="S22" s="29">
        <v>0</v>
      </c>
      <c r="T22" s="29">
        <v>0</v>
      </c>
      <c r="U22" s="30">
        <f t="shared" si="0"/>
        <v>42600</v>
      </c>
      <c r="V22" s="30">
        <f t="shared" si="1"/>
        <v>99400</v>
      </c>
      <c r="W22" s="23"/>
      <c r="X22" s="30">
        <v>2.1040000000000001</v>
      </c>
      <c r="Y22" s="30">
        <v>8.5960000000000001</v>
      </c>
      <c r="Z22" s="31">
        <f t="shared" si="2"/>
        <v>13.3238</v>
      </c>
      <c r="AA22" s="23"/>
      <c r="AB22" s="30">
        <v>365</v>
      </c>
      <c r="AC22" s="32">
        <f t="shared" si="3"/>
        <v>1229.76</v>
      </c>
      <c r="AD22" s="32">
        <f t="shared" si="4"/>
        <v>1308.6500000000001</v>
      </c>
      <c r="AE22" s="32">
        <f t="shared" si="5"/>
        <v>3661.9</v>
      </c>
      <c r="AF22" s="32">
        <f t="shared" si="5"/>
        <v>13243.86</v>
      </c>
      <c r="AG22" s="32"/>
      <c r="AH22" s="32"/>
      <c r="AI22" s="33">
        <f t="shared" si="6"/>
        <v>19444.169999999998</v>
      </c>
      <c r="AJ22" s="32"/>
      <c r="AK22" s="33"/>
      <c r="AL22" s="23"/>
    </row>
    <row r="23" spans="1:38" x14ac:dyDescent="0.3">
      <c r="A23" s="64"/>
      <c r="B23" s="65"/>
      <c r="C23" s="74" t="s">
        <v>487</v>
      </c>
      <c r="D23" s="25" t="s">
        <v>54</v>
      </c>
      <c r="E23" s="7" t="s">
        <v>1</v>
      </c>
      <c r="G23" s="23"/>
      <c r="H23" s="10">
        <v>23138</v>
      </c>
      <c r="I23" s="10">
        <v>206836</v>
      </c>
      <c r="J23" s="10">
        <v>208252</v>
      </c>
      <c r="K23" s="10">
        <v>198046</v>
      </c>
      <c r="L23" s="10">
        <v>228162</v>
      </c>
      <c r="M23" s="10">
        <v>29068</v>
      </c>
      <c r="N23" s="9" cm="1">
        <f t="array" ref="N23">SUM((H23:L23)/5)</f>
        <v>172886.8</v>
      </c>
      <c r="O23" s="10">
        <v>213000</v>
      </c>
      <c r="P23" s="23"/>
      <c r="Q23" s="28">
        <v>4.13</v>
      </c>
      <c r="R23" s="28">
        <v>8.57</v>
      </c>
      <c r="S23" s="29">
        <v>0</v>
      </c>
      <c r="T23" s="29">
        <v>0</v>
      </c>
      <c r="U23" s="30">
        <f t="shared" si="0"/>
        <v>63900</v>
      </c>
      <c r="V23" s="30">
        <f t="shared" si="1"/>
        <v>149100</v>
      </c>
      <c r="W23" s="23"/>
      <c r="X23" s="30">
        <v>2.1040000000000001</v>
      </c>
      <c r="Y23" s="30">
        <v>8.5960000000000001</v>
      </c>
      <c r="Z23" s="31">
        <f t="shared" si="2"/>
        <v>13.3238</v>
      </c>
      <c r="AA23" s="23"/>
      <c r="AB23" s="30">
        <v>365</v>
      </c>
      <c r="AC23" s="32">
        <f t="shared" si="3"/>
        <v>1568.31</v>
      </c>
      <c r="AD23" s="32">
        <f t="shared" si="4"/>
        <v>1668.92</v>
      </c>
      <c r="AE23" s="32">
        <f t="shared" si="5"/>
        <v>5492.84</v>
      </c>
      <c r="AF23" s="32">
        <f t="shared" si="5"/>
        <v>19865.79</v>
      </c>
      <c r="AG23" s="32"/>
      <c r="AH23" s="32"/>
      <c r="AI23" s="33">
        <f t="shared" si="6"/>
        <v>28595.86</v>
      </c>
      <c r="AJ23" s="32"/>
      <c r="AK23" s="33"/>
      <c r="AL23" s="23"/>
    </row>
    <row r="24" spans="1:38" x14ac:dyDescent="0.3">
      <c r="A24" s="64"/>
      <c r="B24" s="65"/>
      <c r="C24" s="74" t="s">
        <v>487</v>
      </c>
      <c r="D24" s="25" t="s">
        <v>54</v>
      </c>
      <c r="E24" s="7" t="s">
        <v>1</v>
      </c>
      <c r="G24" s="23"/>
      <c r="H24" s="10">
        <v>273496</v>
      </c>
      <c r="I24" s="10">
        <v>69738</v>
      </c>
      <c r="J24" s="10">
        <v>132012</v>
      </c>
      <c r="K24" s="10">
        <v>141834</v>
      </c>
      <c r="L24" s="10">
        <v>155896</v>
      </c>
      <c r="M24" s="10">
        <v>41554</v>
      </c>
      <c r="N24" s="9" cm="1">
        <f t="array" ref="N24">SUM((H24:L24)/5)</f>
        <v>154595.20000000001</v>
      </c>
      <c r="O24" s="10">
        <v>154500</v>
      </c>
      <c r="P24" s="23"/>
      <c r="Q24" s="28">
        <v>3.36</v>
      </c>
      <c r="R24" s="28">
        <v>7.22</v>
      </c>
      <c r="S24" s="29">
        <v>0</v>
      </c>
      <c r="T24" s="29">
        <v>0</v>
      </c>
      <c r="U24" s="30">
        <f t="shared" si="0"/>
        <v>46350</v>
      </c>
      <c r="V24" s="30">
        <f t="shared" si="1"/>
        <v>108150</v>
      </c>
      <c r="W24" s="23"/>
      <c r="X24" s="30">
        <v>2.1040000000000001</v>
      </c>
      <c r="Y24" s="30">
        <v>8.5960000000000001</v>
      </c>
      <c r="Z24" s="31">
        <f t="shared" si="2"/>
        <v>13.3238</v>
      </c>
      <c r="AA24" s="23"/>
      <c r="AB24" s="30">
        <v>365</v>
      </c>
      <c r="AC24" s="32">
        <f t="shared" si="3"/>
        <v>1321.26</v>
      </c>
      <c r="AD24" s="32">
        <f t="shared" si="4"/>
        <v>1406.02</v>
      </c>
      <c r="AE24" s="32">
        <f t="shared" si="5"/>
        <v>3984.25</v>
      </c>
      <c r="AF24" s="32">
        <f t="shared" si="5"/>
        <v>14409.69</v>
      </c>
      <c r="AG24" s="32"/>
      <c r="AH24" s="32"/>
      <c r="AI24" s="33">
        <f t="shared" si="6"/>
        <v>21121.22</v>
      </c>
      <c r="AJ24" s="32"/>
      <c r="AK24" s="33"/>
      <c r="AL24" s="23"/>
    </row>
    <row r="25" spans="1:38" x14ac:dyDescent="0.3">
      <c r="A25" s="64"/>
      <c r="B25" s="65"/>
      <c r="C25" s="74" t="s">
        <v>487</v>
      </c>
      <c r="D25" s="25" t="s">
        <v>54</v>
      </c>
      <c r="E25" s="7" t="s">
        <v>1</v>
      </c>
      <c r="G25" s="23"/>
      <c r="H25" s="10">
        <v>237537</v>
      </c>
      <c r="I25" s="10">
        <v>311765</v>
      </c>
      <c r="J25" s="10">
        <v>207166</v>
      </c>
      <c r="K25" s="10">
        <v>229356</v>
      </c>
      <c r="L25" s="10">
        <v>235714</v>
      </c>
      <c r="M25" s="10">
        <v>37324</v>
      </c>
      <c r="N25" s="9" cm="1">
        <f t="array" ref="N25">SUM((H25:L25)/5)</f>
        <v>244307.59999999998</v>
      </c>
      <c r="O25" s="10">
        <v>240000</v>
      </c>
      <c r="P25" s="23"/>
      <c r="Q25" s="28">
        <v>4.72</v>
      </c>
      <c r="R25" s="28">
        <v>9.83</v>
      </c>
      <c r="S25" s="29">
        <v>0</v>
      </c>
      <c r="T25" s="29">
        <v>0</v>
      </c>
      <c r="U25" s="30">
        <f t="shared" si="0"/>
        <v>72000</v>
      </c>
      <c r="V25" s="30">
        <f t="shared" si="1"/>
        <v>168000</v>
      </c>
      <c r="W25" s="23"/>
      <c r="X25" s="30">
        <v>2.1040000000000001</v>
      </c>
      <c r="Y25" s="30">
        <v>8.5960000000000001</v>
      </c>
      <c r="Z25" s="31">
        <f t="shared" si="2"/>
        <v>13.3238</v>
      </c>
      <c r="AA25" s="23"/>
      <c r="AB25" s="30">
        <v>365</v>
      </c>
      <c r="AC25" s="32">
        <f t="shared" si="3"/>
        <v>1798.89</v>
      </c>
      <c r="AD25" s="32">
        <f t="shared" si="4"/>
        <v>1914.29</v>
      </c>
      <c r="AE25" s="32">
        <f t="shared" si="5"/>
        <v>6189.12</v>
      </c>
      <c r="AF25" s="32">
        <f t="shared" si="5"/>
        <v>22383.98</v>
      </c>
      <c r="AG25" s="32"/>
      <c r="AH25" s="32"/>
      <c r="AI25" s="33">
        <f t="shared" si="6"/>
        <v>32286.28</v>
      </c>
      <c r="AJ25" s="32"/>
      <c r="AK25" s="33"/>
      <c r="AL25" s="23"/>
    </row>
    <row r="26" spans="1:38" x14ac:dyDescent="0.3">
      <c r="A26" s="64"/>
      <c r="B26" s="65"/>
      <c r="C26" s="74" t="s">
        <v>487</v>
      </c>
      <c r="D26" s="25" t="s">
        <v>54</v>
      </c>
      <c r="E26" s="7" t="s">
        <v>1</v>
      </c>
      <c r="G26" s="23"/>
      <c r="H26" s="10">
        <v>278797</v>
      </c>
      <c r="I26" s="10">
        <v>266378</v>
      </c>
      <c r="J26" s="10">
        <v>275039</v>
      </c>
      <c r="K26" s="10">
        <v>265224</v>
      </c>
      <c r="L26" s="10">
        <v>275416</v>
      </c>
      <c r="M26" s="10">
        <v>734</v>
      </c>
      <c r="N26" s="9" cm="1">
        <f t="array" ref="N26">SUM((H26:L26)/5)</f>
        <v>272170.8</v>
      </c>
      <c r="O26" s="10">
        <v>272100</v>
      </c>
      <c r="P26" s="23"/>
      <c r="Q26" s="28">
        <v>5.37</v>
      </c>
      <c r="R26" s="28">
        <v>12.11</v>
      </c>
      <c r="S26" s="29">
        <v>0</v>
      </c>
      <c r="T26" s="29">
        <v>0</v>
      </c>
      <c r="U26" s="30">
        <f t="shared" si="0"/>
        <v>81630</v>
      </c>
      <c r="V26" s="30">
        <f t="shared" si="1"/>
        <v>190470</v>
      </c>
      <c r="W26" s="23"/>
      <c r="X26" s="30">
        <v>2.1040000000000001</v>
      </c>
      <c r="Y26" s="30">
        <v>8.5960000000000001</v>
      </c>
      <c r="Z26" s="31">
        <f t="shared" si="2"/>
        <v>13.3238</v>
      </c>
      <c r="AA26" s="23"/>
      <c r="AB26" s="30">
        <v>365</v>
      </c>
      <c r="AC26" s="32">
        <f t="shared" si="3"/>
        <v>2216.13</v>
      </c>
      <c r="AD26" s="32">
        <f t="shared" si="4"/>
        <v>2358.3000000000002</v>
      </c>
      <c r="AE26" s="32">
        <f t="shared" si="5"/>
        <v>7016.91</v>
      </c>
      <c r="AF26" s="32">
        <f t="shared" si="5"/>
        <v>25377.84</v>
      </c>
      <c r="AG26" s="32"/>
      <c r="AH26" s="32"/>
      <c r="AI26" s="33">
        <f t="shared" si="6"/>
        <v>36969.18</v>
      </c>
      <c r="AJ26" s="32"/>
      <c r="AK26" s="33"/>
      <c r="AL26" s="23"/>
    </row>
    <row r="27" spans="1:38" x14ac:dyDescent="0.3">
      <c r="A27" s="64"/>
      <c r="B27" s="65"/>
      <c r="C27" s="74" t="s">
        <v>487</v>
      </c>
      <c r="D27" s="25" t="s">
        <v>54</v>
      </c>
      <c r="E27" s="7" t="s">
        <v>1</v>
      </c>
      <c r="G27" s="23"/>
      <c r="H27" s="10">
        <v>291371</v>
      </c>
      <c r="I27" s="10">
        <v>312671</v>
      </c>
      <c r="J27" s="10">
        <v>272100</v>
      </c>
      <c r="K27" s="10">
        <v>263611</v>
      </c>
      <c r="L27" s="10">
        <v>290511</v>
      </c>
      <c r="M27" s="10">
        <v>77423</v>
      </c>
      <c r="N27" s="9" cm="1">
        <f t="array" ref="N27">SUM((H27:L27)/5)</f>
        <v>286052.8</v>
      </c>
      <c r="O27" s="10">
        <v>286000</v>
      </c>
      <c r="P27" s="23"/>
      <c r="Q27" s="28">
        <v>5.62</v>
      </c>
      <c r="R27" s="28">
        <v>12.72</v>
      </c>
      <c r="S27" s="29">
        <v>0</v>
      </c>
      <c r="T27" s="29">
        <v>0</v>
      </c>
      <c r="U27" s="30">
        <f t="shared" si="0"/>
        <v>85800</v>
      </c>
      <c r="V27" s="30">
        <f t="shared" si="1"/>
        <v>200200</v>
      </c>
      <c r="W27" s="23"/>
      <c r="X27" s="30">
        <v>2.1040000000000001</v>
      </c>
      <c r="Y27" s="30">
        <v>8.5960000000000001</v>
      </c>
      <c r="Z27" s="31">
        <f t="shared" si="2"/>
        <v>13.3238</v>
      </c>
      <c r="AA27" s="23"/>
      <c r="AB27" s="30">
        <v>365</v>
      </c>
      <c r="AC27" s="32">
        <f t="shared" si="3"/>
        <v>2327.7600000000002</v>
      </c>
      <c r="AD27" s="32">
        <f t="shared" si="4"/>
        <v>2477.09</v>
      </c>
      <c r="AE27" s="32">
        <f t="shared" si="5"/>
        <v>7375.37</v>
      </c>
      <c r="AF27" s="32">
        <f t="shared" si="5"/>
        <v>26674.25</v>
      </c>
      <c r="AG27" s="32"/>
      <c r="AH27" s="32"/>
      <c r="AI27" s="33">
        <f t="shared" si="6"/>
        <v>38854.47</v>
      </c>
      <c r="AJ27" s="32"/>
      <c r="AK27" s="33"/>
      <c r="AL27" s="23"/>
    </row>
    <row r="28" spans="1:38" x14ac:dyDescent="0.3">
      <c r="A28" s="64"/>
      <c r="B28" s="65"/>
      <c r="C28" s="74" t="s">
        <v>487</v>
      </c>
      <c r="D28" s="25" t="s">
        <v>54</v>
      </c>
      <c r="E28" s="7" t="s">
        <v>1</v>
      </c>
      <c r="G28" s="23"/>
      <c r="H28" s="10">
        <v>249171</v>
      </c>
      <c r="I28" s="10">
        <v>209590</v>
      </c>
      <c r="J28" s="10">
        <v>191983</v>
      </c>
      <c r="K28" s="10">
        <v>199627</v>
      </c>
      <c r="L28" s="10">
        <v>200244</v>
      </c>
      <c r="M28" s="10">
        <v>51825</v>
      </c>
      <c r="N28" s="9" cm="1">
        <f t="array" ref="N28">SUM((H28:L28)/5)</f>
        <v>210123</v>
      </c>
      <c r="O28" s="10">
        <v>210000</v>
      </c>
      <c r="P28" s="23"/>
      <c r="Q28" s="28">
        <v>4.4400000000000004</v>
      </c>
      <c r="R28" s="28">
        <v>8.74</v>
      </c>
      <c r="S28" s="29">
        <v>0</v>
      </c>
      <c r="T28" s="29">
        <v>0</v>
      </c>
      <c r="U28" s="30">
        <f t="shared" si="0"/>
        <v>63000</v>
      </c>
      <c r="V28" s="30">
        <f t="shared" si="1"/>
        <v>147000</v>
      </c>
      <c r="W28" s="23"/>
      <c r="X28" s="30">
        <v>2.1040000000000001</v>
      </c>
      <c r="Y28" s="30">
        <v>8.5960000000000001</v>
      </c>
      <c r="Z28" s="31">
        <f t="shared" si="2"/>
        <v>13.3238</v>
      </c>
      <c r="AA28" s="23"/>
      <c r="AB28" s="30">
        <v>365</v>
      </c>
      <c r="AC28" s="32">
        <f t="shared" si="3"/>
        <v>1599.42</v>
      </c>
      <c r="AD28" s="32">
        <f t="shared" si="4"/>
        <v>1702.03</v>
      </c>
      <c r="AE28" s="32">
        <f t="shared" si="5"/>
        <v>5415.48</v>
      </c>
      <c r="AF28" s="32">
        <f t="shared" si="5"/>
        <v>19585.990000000002</v>
      </c>
      <c r="AG28" s="32"/>
      <c r="AH28" s="32"/>
      <c r="AI28" s="33">
        <f t="shared" si="6"/>
        <v>28302.920000000002</v>
      </c>
      <c r="AJ28" s="32"/>
      <c r="AK28" s="33"/>
      <c r="AL28" s="23"/>
    </row>
    <row r="29" spans="1:38" x14ac:dyDescent="0.3">
      <c r="A29" s="64"/>
      <c r="B29" s="65"/>
      <c r="C29" s="74" t="s">
        <v>487</v>
      </c>
      <c r="D29" s="25" t="s">
        <v>54</v>
      </c>
      <c r="E29" s="7" t="s">
        <v>1</v>
      </c>
      <c r="G29" s="23"/>
      <c r="H29" s="10">
        <v>139638</v>
      </c>
      <c r="I29" s="10">
        <v>62916</v>
      </c>
      <c r="J29" s="10">
        <v>23275</v>
      </c>
      <c r="K29" s="10">
        <v>22731</v>
      </c>
      <c r="L29" s="10">
        <v>23298</v>
      </c>
      <c r="M29" s="10">
        <v>4319</v>
      </c>
      <c r="N29" s="9" cm="1">
        <f t="array" ref="N29">SUM((H29:L29)/5)</f>
        <v>54371.6</v>
      </c>
      <c r="O29" s="10">
        <v>25000</v>
      </c>
      <c r="P29" s="23"/>
      <c r="Q29" s="28">
        <v>1.18</v>
      </c>
      <c r="R29" s="28">
        <v>1.88</v>
      </c>
      <c r="S29" s="29">
        <v>0</v>
      </c>
      <c r="T29" s="29">
        <v>0</v>
      </c>
      <c r="U29" s="30">
        <f t="shared" si="0"/>
        <v>7500</v>
      </c>
      <c r="V29" s="30">
        <f t="shared" si="1"/>
        <v>17500</v>
      </c>
      <c r="W29" s="23"/>
      <c r="X29" s="30">
        <v>2.1110000000000002</v>
      </c>
      <c r="Y29" s="30">
        <v>8.6029999999999998</v>
      </c>
      <c r="Z29" s="31">
        <f t="shared" si="2"/>
        <v>13.33465</v>
      </c>
      <c r="AA29" s="23"/>
      <c r="AB29" s="30">
        <v>365</v>
      </c>
      <c r="AC29" s="32">
        <f t="shared" si="3"/>
        <v>344.04</v>
      </c>
      <c r="AD29" s="32">
        <f t="shared" si="4"/>
        <v>366.11</v>
      </c>
      <c r="AE29" s="32">
        <f t="shared" si="5"/>
        <v>645.23</v>
      </c>
      <c r="AF29" s="32">
        <f t="shared" si="5"/>
        <v>2333.56</v>
      </c>
      <c r="AG29" s="32"/>
      <c r="AH29" s="32"/>
      <c r="AI29" s="33">
        <f t="shared" si="6"/>
        <v>3688.94</v>
      </c>
      <c r="AJ29" s="32"/>
      <c r="AK29" s="33"/>
      <c r="AL29" s="23"/>
    </row>
    <row r="30" spans="1:38" x14ac:dyDescent="0.3">
      <c r="A30" s="64"/>
      <c r="B30" s="65"/>
      <c r="C30" s="74" t="s">
        <v>487</v>
      </c>
      <c r="D30" s="25" t="s">
        <v>54</v>
      </c>
      <c r="E30" s="7" t="s">
        <v>1</v>
      </c>
      <c r="G30" s="23"/>
      <c r="H30" s="10">
        <v>286262</v>
      </c>
      <c r="I30" s="10">
        <v>298474</v>
      </c>
      <c r="J30" s="10">
        <v>236296</v>
      </c>
      <c r="K30" s="10">
        <v>247250</v>
      </c>
      <c r="L30" s="10">
        <v>272480</v>
      </c>
      <c r="M30" s="10">
        <v>42718</v>
      </c>
      <c r="N30" s="9" cm="1">
        <f t="array" ref="N30">SUM((H30:L30)/5)</f>
        <v>268152.40000000002</v>
      </c>
      <c r="O30" s="10">
        <v>268000</v>
      </c>
      <c r="P30" s="23"/>
      <c r="Q30" s="28">
        <v>5.32</v>
      </c>
      <c r="R30" s="28">
        <v>11.19</v>
      </c>
      <c r="S30" s="29">
        <v>0</v>
      </c>
      <c r="T30" s="29">
        <v>0</v>
      </c>
      <c r="U30" s="30">
        <f t="shared" si="0"/>
        <v>80400</v>
      </c>
      <c r="V30" s="30">
        <f t="shared" si="1"/>
        <v>187600</v>
      </c>
      <c r="W30" s="23"/>
      <c r="X30" s="30">
        <v>2.1040000000000001</v>
      </c>
      <c r="Y30" s="30">
        <v>8.5960000000000001</v>
      </c>
      <c r="Z30" s="31">
        <f t="shared" si="2"/>
        <v>13.3238</v>
      </c>
      <c r="AA30" s="23"/>
      <c r="AB30" s="30">
        <v>365</v>
      </c>
      <c r="AC30" s="32">
        <f t="shared" si="3"/>
        <v>2047.77</v>
      </c>
      <c r="AD30" s="32">
        <f t="shared" si="4"/>
        <v>2179.14</v>
      </c>
      <c r="AE30" s="32">
        <f t="shared" si="5"/>
        <v>6911.18</v>
      </c>
      <c r="AF30" s="32">
        <f t="shared" si="5"/>
        <v>24995.45</v>
      </c>
      <c r="AG30" s="32"/>
      <c r="AH30" s="32"/>
      <c r="AI30" s="33">
        <f t="shared" si="6"/>
        <v>36133.54</v>
      </c>
      <c r="AJ30" s="32"/>
      <c r="AK30" s="33"/>
      <c r="AL30" s="23"/>
    </row>
    <row r="31" spans="1:38" x14ac:dyDescent="0.3">
      <c r="A31" s="64"/>
      <c r="B31" s="65"/>
      <c r="C31" s="74" t="s">
        <v>487</v>
      </c>
      <c r="D31" s="25" t="s">
        <v>54</v>
      </c>
      <c r="E31" s="7" t="s">
        <v>1</v>
      </c>
      <c r="G31" s="23"/>
      <c r="H31" s="10">
        <v>169451</v>
      </c>
      <c r="I31" s="10">
        <v>153999</v>
      </c>
      <c r="J31" s="10">
        <v>160000</v>
      </c>
      <c r="K31" s="10">
        <v>156997</v>
      </c>
      <c r="L31" s="10">
        <v>163157</v>
      </c>
      <c r="M31" s="10">
        <v>42689</v>
      </c>
      <c r="N31" s="9" cm="1">
        <f t="array" ref="N31">SUM((H31:L31)/5)</f>
        <v>160720.79999999999</v>
      </c>
      <c r="O31" s="10">
        <v>160500</v>
      </c>
      <c r="P31" s="23"/>
      <c r="Q31" s="28">
        <v>3.49</v>
      </c>
      <c r="R31" s="28">
        <v>7.39</v>
      </c>
      <c r="S31" s="29">
        <v>0</v>
      </c>
      <c r="T31" s="29">
        <v>0</v>
      </c>
      <c r="U31" s="30">
        <f t="shared" si="0"/>
        <v>48150</v>
      </c>
      <c r="V31" s="30">
        <f t="shared" si="1"/>
        <v>112350</v>
      </c>
      <c r="W31" s="23"/>
      <c r="X31" s="30">
        <v>2.1040000000000001</v>
      </c>
      <c r="Y31" s="30">
        <v>8.5960000000000001</v>
      </c>
      <c r="Z31" s="31">
        <f t="shared" si="2"/>
        <v>13.3238</v>
      </c>
      <c r="AA31" s="23"/>
      <c r="AB31" s="30">
        <v>365</v>
      </c>
      <c r="AC31" s="32">
        <f t="shared" si="3"/>
        <v>1352.37</v>
      </c>
      <c r="AD31" s="32">
        <f t="shared" si="4"/>
        <v>1439.13</v>
      </c>
      <c r="AE31" s="32">
        <f t="shared" si="5"/>
        <v>4138.97</v>
      </c>
      <c r="AF31" s="32">
        <f t="shared" si="5"/>
        <v>14969.29</v>
      </c>
      <c r="AG31" s="32"/>
      <c r="AH31" s="32"/>
      <c r="AI31" s="33">
        <f t="shared" si="6"/>
        <v>21899.760000000002</v>
      </c>
      <c r="AJ31" s="32"/>
      <c r="AK31" s="33"/>
      <c r="AL31" s="23"/>
    </row>
    <row r="32" spans="1:38" x14ac:dyDescent="0.3">
      <c r="A32" s="64"/>
      <c r="B32" s="65"/>
      <c r="C32" s="74" t="s">
        <v>487</v>
      </c>
      <c r="D32" s="25" t="s">
        <v>54</v>
      </c>
      <c r="E32" s="7" t="s">
        <v>1</v>
      </c>
      <c r="G32" s="23"/>
      <c r="H32" s="10">
        <v>216012</v>
      </c>
      <c r="I32" s="10">
        <v>215057</v>
      </c>
      <c r="J32" s="10">
        <v>193221</v>
      </c>
      <c r="K32" s="10">
        <v>203060</v>
      </c>
      <c r="L32" s="10">
        <v>221168</v>
      </c>
      <c r="M32" s="10">
        <v>56095</v>
      </c>
      <c r="N32" s="9" cm="1">
        <f t="array" ref="N32">SUM((H32:L32)/5)</f>
        <v>209703.6</v>
      </c>
      <c r="O32" s="10">
        <v>210000</v>
      </c>
      <c r="P32" s="23"/>
      <c r="Q32" s="28">
        <v>4.3</v>
      </c>
      <c r="R32" s="28">
        <v>9.4499999999999993</v>
      </c>
      <c r="S32" s="29">
        <v>0</v>
      </c>
      <c r="T32" s="29">
        <v>0</v>
      </c>
      <c r="U32" s="30">
        <f t="shared" si="0"/>
        <v>63000</v>
      </c>
      <c r="V32" s="30">
        <f t="shared" si="1"/>
        <v>147000</v>
      </c>
      <c r="W32" s="23"/>
      <c r="X32" s="30">
        <v>2.1040000000000001</v>
      </c>
      <c r="Y32" s="30">
        <v>8.5960000000000001</v>
      </c>
      <c r="Z32" s="31">
        <f t="shared" si="2"/>
        <v>13.3238</v>
      </c>
      <c r="AA32" s="23"/>
      <c r="AB32" s="30">
        <v>365</v>
      </c>
      <c r="AC32" s="32">
        <f t="shared" si="3"/>
        <v>1729.35</v>
      </c>
      <c r="AD32" s="32">
        <f t="shared" si="4"/>
        <v>1840.29</v>
      </c>
      <c r="AE32" s="32">
        <f t="shared" si="5"/>
        <v>5415.48</v>
      </c>
      <c r="AF32" s="32">
        <f t="shared" si="5"/>
        <v>19585.990000000002</v>
      </c>
      <c r="AG32" s="32"/>
      <c r="AH32" s="32"/>
      <c r="AI32" s="33">
        <f t="shared" si="6"/>
        <v>28571.11</v>
      </c>
      <c r="AJ32" s="32"/>
      <c r="AK32" s="33"/>
      <c r="AL32" s="23"/>
    </row>
    <row r="33" spans="1:38" x14ac:dyDescent="0.3">
      <c r="A33" s="64"/>
      <c r="B33" s="65"/>
      <c r="C33" s="74" t="s">
        <v>487</v>
      </c>
      <c r="D33" s="25" t="s">
        <v>54</v>
      </c>
      <c r="E33" s="7" t="s">
        <v>1</v>
      </c>
      <c r="G33" s="23"/>
      <c r="H33" s="10">
        <v>242018</v>
      </c>
      <c r="I33" s="10">
        <v>283027</v>
      </c>
      <c r="J33" s="10">
        <v>199388</v>
      </c>
      <c r="K33" s="10">
        <v>229943</v>
      </c>
      <c r="L33" s="10">
        <v>253410</v>
      </c>
      <c r="M33" s="10">
        <v>62163</v>
      </c>
      <c r="N33" s="9" cm="1">
        <f t="array" ref="N33">SUM((H33:L33)/5)</f>
        <v>241557.2</v>
      </c>
      <c r="O33" s="10">
        <v>241500</v>
      </c>
      <c r="P33" s="23"/>
      <c r="Q33" s="28">
        <v>5</v>
      </c>
      <c r="R33" s="28">
        <v>10.84</v>
      </c>
      <c r="S33" s="29">
        <v>0</v>
      </c>
      <c r="T33" s="29">
        <v>0</v>
      </c>
      <c r="U33" s="30">
        <f t="shared" si="0"/>
        <v>72450</v>
      </c>
      <c r="V33" s="30">
        <f t="shared" si="1"/>
        <v>169050</v>
      </c>
      <c r="W33" s="23"/>
      <c r="X33" s="30">
        <v>2.1040000000000001</v>
      </c>
      <c r="Y33" s="30">
        <v>8.5960000000000001</v>
      </c>
      <c r="Z33" s="31">
        <f t="shared" si="2"/>
        <v>13.3238</v>
      </c>
      <c r="AA33" s="23"/>
      <c r="AB33" s="30">
        <v>365</v>
      </c>
      <c r="AC33" s="32">
        <f t="shared" si="3"/>
        <v>1983.72</v>
      </c>
      <c r="AD33" s="32">
        <f t="shared" si="4"/>
        <v>2110.98</v>
      </c>
      <c r="AE33" s="32">
        <f t="shared" si="5"/>
        <v>6227.8</v>
      </c>
      <c r="AF33" s="32">
        <f t="shared" si="5"/>
        <v>22523.88</v>
      </c>
      <c r="AG33" s="32"/>
      <c r="AH33" s="32"/>
      <c r="AI33" s="33">
        <f t="shared" si="6"/>
        <v>32846.380000000005</v>
      </c>
      <c r="AJ33" s="32"/>
      <c r="AK33" s="33"/>
      <c r="AL33" s="23"/>
    </row>
    <row r="34" spans="1:38" x14ac:dyDescent="0.3">
      <c r="A34" s="64"/>
      <c r="B34" s="65"/>
      <c r="C34" s="74" t="s">
        <v>649</v>
      </c>
      <c r="D34" s="25" t="s">
        <v>54</v>
      </c>
      <c r="E34" s="7" t="s">
        <v>1</v>
      </c>
      <c r="G34" s="23"/>
      <c r="H34" s="10">
        <v>233698</v>
      </c>
      <c r="I34" s="10">
        <v>242698</v>
      </c>
      <c r="J34" s="10">
        <v>227553</v>
      </c>
      <c r="K34" s="10">
        <v>258679</v>
      </c>
      <c r="L34" s="10">
        <v>272893</v>
      </c>
      <c r="M34" s="10">
        <v>72737</v>
      </c>
      <c r="N34" s="9" cm="1">
        <f t="array" ref="N34">SUM((H34:L34)/5)</f>
        <v>247104.19999999998</v>
      </c>
      <c r="O34" s="10">
        <v>247000</v>
      </c>
      <c r="P34" s="23"/>
      <c r="Q34" s="28">
        <v>5.34</v>
      </c>
      <c r="R34" s="28">
        <v>12.01</v>
      </c>
      <c r="S34" s="29">
        <v>0</v>
      </c>
      <c r="T34" s="29">
        <v>0</v>
      </c>
      <c r="U34" s="30">
        <f t="shared" si="0"/>
        <v>74100</v>
      </c>
      <c r="V34" s="30">
        <f t="shared" si="1"/>
        <v>172900</v>
      </c>
      <c r="W34" s="23"/>
      <c r="X34" s="30">
        <v>2.1040000000000001</v>
      </c>
      <c r="Y34" s="30">
        <v>8.5960000000000001</v>
      </c>
      <c r="Z34" s="31">
        <f t="shared" si="2"/>
        <v>13.3238</v>
      </c>
      <c r="AA34" s="23"/>
      <c r="AB34" s="30">
        <v>365</v>
      </c>
      <c r="AC34" s="32">
        <f t="shared" si="3"/>
        <v>2197.83</v>
      </c>
      <c r="AD34" s="32">
        <f t="shared" si="4"/>
        <v>2338.83</v>
      </c>
      <c r="AE34" s="32">
        <f t="shared" si="5"/>
        <v>6369.64</v>
      </c>
      <c r="AF34" s="32">
        <f t="shared" si="5"/>
        <v>23036.85</v>
      </c>
      <c r="AG34" s="32"/>
      <c r="AH34" s="32"/>
      <c r="AI34" s="33">
        <f t="shared" si="6"/>
        <v>33943.149999999994</v>
      </c>
      <c r="AJ34" s="32"/>
      <c r="AK34" s="33"/>
      <c r="AL34" s="23"/>
    </row>
    <row r="35" spans="1:38" x14ac:dyDescent="0.3">
      <c r="A35" s="64"/>
      <c r="B35" s="65"/>
      <c r="C35" s="74" t="s">
        <v>649</v>
      </c>
      <c r="D35" s="25" t="s">
        <v>54</v>
      </c>
      <c r="E35" s="7" t="s">
        <v>1</v>
      </c>
      <c r="G35" s="23"/>
      <c r="H35" s="10">
        <v>285627</v>
      </c>
      <c r="I35" s="10">
        <v>248371</v>
      </c>
      <c r="J35" s="10">
        <v>216999</v>
      </c>
      <c r="K35" s="10">
        <v>243184</v>
      </c>
      <c r="L35" s="10">
        <v>254281</v>
      </c>
      <c r="M35" s="10">
        <v>6777</v>
      </c>
      <c r="N35" s="9" cm="1">
        <f t="array" ref="N35">SUM((H35:L35)/5)</f>
        <v>249692.40000000002</v>
      </c>
      <c r="O35" s="10">
        <v>249700</v>
      </c>
      <c r="P35" s="23"/>
      <c r="Q35" s="28">
        <v>5.0199999999999996</v>
      </c>
      <c r="R35" s="28">
        <v>11.24</v>
      </c>
      <c r="S35" s="29">
        <v>0</v>
      </c>
      <c r="T35" s="29">
        <v>0</v>
      </c>
      <c r="U35" s="30">
        <f t="shared" si="0"/>
        <v>74910</v>
      </c>
      <c r="V35" s="30">
        <f t="shared" si="1"/>
        <v>174790</v>
      </c>
      <c r="W35" s="23"/>
      <c r="X35" s="30">
        <v>2.1040000000000001</v>
      </c>
      <c r="Y35" s="30">
        <v>8.5960000000000001</v>
      </c>
      <c r="Z35" s="31">
        <f t="shared" si="2"/>
        <v>13.3238</v>
      </c>
      <c r="AA35" s="23"/>
      <c r="AB35" s="30">
        <v>365</v>
      </c>
      <c r="AC35" s="32">
        <f t="shared" si="3"/>
        <v>2056.92</v>
      </c>
      <c r="AD35" s="32">
        <f t="shared" si="4"/>
        <v>2188.88</v>
      </c>
      <c r="AE35" s="32">
        <f t="shared" si="5"/>
        <v>6439.26</v>
      </c>
      <c r="AF35" s="32">
        <f t="shared" si="5"/>
        <v>23288.67</v>
      </c>
      <c r="AG35" s="32"/>
      <c r="AH35" s="32"/>
      <c r="AI35" s="33">
        <f t="shared" si="6"/>
        <v>33973.729999999996</v>
      </c>
      <c r="AJ35" s="32"/>
      <c r="AK35" s="33"/>
      <c r="AL35" s="23"/>
    </row>
    <row r="36" spans="1:38" x14ac:dyDescent="0.3">
      <c r="A36" s="64"/>
      <c r="B36" s="65"/>
      <c r="C36" s="74" t="s">
        <v>649</v>
      </c>
      <c r="D36" s="25" t="s">
        <v>54</v>
      </c>
      <c r="E36" s="7" t="s">
        <v>1</v>
      </c>
      <c r="G36" s="23"/>
      <c r="H36" s="10">
        <v>240515</v>
      </c>
      <c r="I36" s="10">
        <v>239466</v>
      </c>
      <c r="J36" s="10">
        <v>229910</v>
      </c>
      <c r="K36" s="10">
        <v>265469</v>
      </c>
      <c r="L36" s="10">
        <v>281222</v>
      </c>
      <c r="M36" s="10">
        <v>63497</v>
      </c>
      <c r="N36" s="9" cm="1">
        <f t="array" ref="N36">SUM((H36:L36)/5)</f>
        <v>251316.4</v>
      </c>
      <c r="O36" s="10">
        <v>270000</v>
      </c>
      <c r="P36" s="23"/>
      <c r="Q36" s="28">
        <v>5.48</v>
      </c>
      <c r="R36" s="28">
        <v>12.35</v>
      </c>
      <c r="S36" s="29">
        <v>0</v>
      </c>
      <c r="T36" s="29">
        <v>0</v>
      </c>
      <c r="U36" s="30">
        <f t="shared" si="0"/>
        <v>81000</v>
      </c>
      <c r="V36" s="30">
        <f t="shared" si="1"/>
        <v>189000</v>
      </c>
      <c r="W36" s="23"/>
      <c r="X36" s="30">
        <v>2.1040000000000001</v>
      </c>
      <c r="Y36" s="30">
        <v>8.5960000000000001</v>
      </c>
      <c r="Z36" s="31">
        <f t="shared" si="2"/>
        <v>13.3238</v>
      </c>
      <c r="AA36" s="23"/>
      <c r="AB36" s="30">
        <v>365</v>
      </c>
      <c r="AC36" s="32">
        <f t="shared" si="3"/>
        <v>2260.0500000000002</v>
      </c>
      <c r="AD36" s="32">
        <f t="shared" si="4"/>
        <v>2405.04</v>
      </c>
      <c r="AE36" s="32">
        <f t="shared" si="5"/>
        <v>6962.76</v>
      </c>
      <c r="AF36" s="32">
        <f t="shared" si="5"/>
        <v>25181.98</v>
      </c>
      <c r="AG36" s="32"/>
      <c r="AH36" s="32"/>
      <c r="AI36" s="33">
        <f t="shared" si="6"/>
        <v>36809.83</v>
      </c>
      <c r="AJ36" s="32"/>
      <c r="AK36" s="33"/>
      <c r="AL36" s="23"/>
    </row>
    <row r="37" spans="1:38" x14ac:dyDescent="0.3">
      <c r="A37" s="64"/>
      <c r="B37" s="65"/>
      <c r="C37" s="74" t="s">
        <v>649</v>
      </c>
      <c r="D37" s="25" t="s">
        <v>54</v>
      </c>
      <c r="E37" s="7" t="s">
        <v>1</v>
      </c>
      <c r="G37" s="23"/>
      <c r="H37" s="10">
        <v>138628</v>
      </c>
      <c r="I37" s="10">
        <v>153085</v>
      </c>
      <c r="J37" s="10">
        <v>160364</v>
      </c>
      <c r="K37" s="10">
        <v>170132</v>
      </c>
      <c r="L37" s="10">
        <v>178795</v>
      </c>
      <c r="M37" s="10">
        <v>47656</v>
      </c>
      <c r="N37" s="9" cm="1">
        <f t="array" ref="N37">SUM((H37:L37)/5)</f>
        <v>160200.79999999999</v>
      </c>
      <c r="O37" s="10">
        <v>175000</v>
      </c>
      <c r="P37" s="23"/>
      <c r="Q37" s="28">
        <v>3.76</v>
      </c>
      <c r="R37" s="28">
        <v>8.16</v>
      </c>
      <c r="S37" s="29">
        <v>0</v>
      </c>
      <c r="T37" s="29">
        <v>0</v>
      </c>
      <c r="U37" s="30">
        <f t="shared" si="0"/>
        <v>52500</v>
      </c>
      <c r="V37" s="30">
        <f t="shared" si="1"/>
        <v>122499.99999999999</v>
      </c>
      <c r="W37" s="23"/>
      <c r="X37" s="30">
        <v>2.1040000000000001</v>
      </c>
      <c r="Y37" s="30">
        <v>8.5960000000000001</v>
      </c>
      <c r="Z37" s="31">
        <f t="shared" si="2"/>
        <v>13.3238</v>
      </c>
      <c r="AA37" s="23"/>
      <c r="AB37" s="30">
        <v>365</v>
      </c>
      <c r="AC37" s="32">
        <f t="shared" si="3"/>
        <v>1493.28</v>
      </c>
      <c r="AD37" s="32">
        <f t="shared" si="4"/>
        <v>1589.08</v>
      </c>
      <c r="AE37" s="32">
        <f t="shared" si="5"/>
        <v>4512.8999999999996</v>
      </c>
      <c r="AF37" s="32">
        <f t="shared" si="5"/>
        <v>16321.66</v>
      </c>
      <c r="AG37" s="32"/>
      <c r="AH37" s="32"/>
      <c r="AI37" s="33">
        <f t="shared" si="6"/>
        <v>23916.92</v>
      </c>
      <c r="AJ37" s="32"/>
      <c r="AK37" s="33"/>
      <c r="AL37" s="23"/>
    </row>
    <row r="38" spans="1:38" x14ac:dyDescent="0.3">
      <c r="A38" s="64"/>
      <c r="B38" s="65"/>
      <c r="C38" s="74" t="s">
        <v>715</v>
      </c>
      <c r="D38" s="25" t="s">
        <v>54</v>
      </c>
      <c r="E38" s="7" t="s">
        <v>1</v>
      </c>
      <c r="G38" s="23"/>
      <c r="H38" s="10">
        <v>91993</v>
      </c>
      <c r="I38" s="10">
        <v>80455</v>
      </c>
      <c r="J38" s="10">
        <v>110960</v>
      </c>
      <c r="K38" s="10">
        <v>102830</v>
      </c>
      <c r="L38" s="10">
        <v>106354</v>
      </c>
      <c r="M38" s="10">
        <v>28351</v>
      </c>
      <c r="N38" s="9" cm="1">
        <f t="array" ref="N38">SUM((H38:L38)/5)</f>
        <v>98518.400000000009</v>
      </c>
      <c r="O38" s="10">
        <v>103000</v>
      </c>
      <c r="P38" s="23"/>
      <c r="Q38" s="28">
        <v>2.4500000000000002</v>
      </c>
      <c r="R38" s="28">
        <v>5.1100000000000003</v>
      </c>
      <c r="S38" s="29">
        <v>0</v>
      </c>
      <c r="T38" s="29">
        <v>0</v>
      </c>
      <c r="U38" s="30">
        <f t="shared" si="0"/>
        <v>30900</v>
      </c>
      <c r="V38" s="30">
        <f t="shared" si="1"/>
        <v>72100</v>
      </c>
      <c r="W38" s="23"/>
      <c r="X38" s="30">
        <v>2.1040000000000001</v>
      </c>
      <c r="Y38" s="30">
        <v>8.5960000000000001</v>
      </c>
      <c r="Z38" s="31">
        <f t="shared" si="2"/>
        <v>13.3238</v>
      </c>
      <c r="AA38" s="23"/>
      <c r="AB38" s="30">
        <v>365</v>
      </c>
      <c r="AC38" s="32">
        <f t="shared" si="3"/>
        <v>935.13</v>
      </c>
      <c r="AD38" s="32">
        <f t="shared" si="4"/>
        <v>995.12</v>
      </c>
      <c r="AE38" s="32">
        <f t="shared" si="5"/>
        <v>2656.16</v>
      </c>
      <c r="AF38" s="32">
        <f t="shared" si="5"/>
        <v>9606.4599999999991</v>
      </c>
      <c r="AG38" s="32"/>
      <c r="AH38" s="32"/>
      <c r="AI38" s="33">
        <f t="shared" si="6"/>
        <v>14192.869999999999</v>
      </c>
      <c r="AJ38" s="32"/>
      <c r="AK38" s="33"/>
      <c r="AL38" s="23"/>
    </row>
    <row r="39" spans="1:38" x14ac:dyDescent="0.3">
      <c r="A39" s="64"/>
      <c r="B39" s="65"/>
      <c r="C39" s="75"/>
      <c r="D39" s="26"/>
      <c r="E39" s="7"/>
      <c r="G39" s="23"/>
      <c r="H39" s="10"/>
      <c r="I39" s="10"/>
      <c r="J39" s="10"/>
      <c r="K39" s="10"/>
      <c r="L39" s="10"/>
      <c r="M39" s="10"/>
      <c r="P39" s="23"/>
      <c r="Q39" s="28"/>
      <c r="R39" s="28"/>
      <c r="S39" s="29"/>
      <c r="T39" s="29"/>
      <c r="U39" s="30"/>
      <c r="V39" s="30"/>
      <c r="W39" s="23"/>
      <c r="X39" s="30"/>
      <c r="Y39" s="30"/>
      <c r="Z39" s="31"/>
      <c r="AA39" s="23"/>
      <c r="AB39" s="30"/>
      <c r="AC39" s="32"/>
      <c r="AD39" s="32"/>
      <c r="AE39" s="32"/>
      <c r="AF39" s="32"/>
      <c r="AG39" s="32"/>
      <c r="AH39" s="32"/>
      <c r="AI39" s="33"/>
      <c r="AJ39" s="32"/>
      <c r="AK39" s="33"/>
      <c r="AL39" s="23"/>
    </row>
    <row r="40" spans="1:38" x14ac:dyDescent="0.3">
      <c r="A40" s="64"/>
      <c r="B40" s="64"/>
      <c r="C40" s="73" t="s">
        <v>103</v>
      </c>
      <c r="D40" s="26" t="s">
        <v>49</v>
      </c>
      <c r="E40" s="7" t="s">
        <v>1</v>
      </c>
      <c r="G40" s="23"/>
      <c r="H40" s="62">
        <v>673148</v>
      </c>
      <c r="I40" s="62">
        <v>616761</v>
      </c>
      <c r="J40" s="62">
        <v>545813</v>
      </c>
      <c r="K40" s="62">
        <v>601697</v>
      </c>
      <c r="L40" s="62">
        <v>641185</v>
      </c>
      <c r="M40" s="62">
        <v>230196</v>
      </c>
      <c r="N40" s="9" cm="1">
        <f t="array" ref="N40">SUM((H40:L40)/5)</f>
        <v>615720.80000000005</v>
      </c>
      <c r="O40" s="10">
        <v>615000</v>
      </c>
      <c r="P40" s="23"/>
      <c r="Q40" s="28">
        <v>8.81</v>
      </c>
      <c r="R40" s="28">
        <v>21.05</v>
      </c>
      <c r="S40" s="29">
        <v>0</v>
      </c>
      <c r="T40" s="29">
        <v>0</v>
      </c>
      <c r="U40" s="30">
        <f t="shared" si="0"/>
        <v>184500</v>
      </c>
      <c r="V40" s="30">
        <f t="shared" si="1"/>
        <v>430500</v>
      </c>
      <c r="W40" s="23"/>
      <c r="X40" s="30">
        <v>2.105</v>
      </c>
      <c r="Y40" s="30">
        <v>8.5960000000000001</v>
      </c>
      <c r="Z40" s="31">
        <f t="shared" si="2"/>
        <v>13.3238</v>
      </c>
      <c r="AA40" s="23"/>
      <c r="AB40" s="30">
        <v>365</v>
      </c>
      <c r="AC40" s="32">
        <f t="shared" si="3"/>
        <v>3852.15</v>
      </c>
      <c r="AD40" s="32">
        <f t="shared" si="4"/>
        <v>4099.28</v>
      </c>
      <c r="AE40" s="32">
        <f t="shared" si="5"/>
        <v>15859.62</v>
      </c>
      <c r="AF40" s="32">
        <f t="shared" si="5"/>
        <v>57358.96</v>
      </c>
      <c r="AG40" s="32"/>
      <c r="AH40" s="32"/>
      <c r="AI40" s="33">
        <f t="shared" si="6"/>
        <v>81170.010000000009</v>
      </c>
      <c r="AJ40" s="32"/>
      <c r="AK40" s="33"/>
      <c r="AL40" s="23"/>
    </row>
    <row r="41" spans="1:38" x14ac:dyDescent="0.3">
      <c r="A41" s="64"/>
      <c r="B41" s="64"/>
      <c r="C41" s="73" t="s">
        <v>104</v>
      </c>
      <c r="D41" s="26" t="s">
        <v>49</v>
      </c>
      <c r="E41" s="7" t="s">
        <v>1</v>
      </c>
      <c r="G41" s="23"/>
      <c r="H41" s="62">
        <v>75319</v>
      </c>
      <c r="I41" s="62">
        <v>76111</v>
      </c>
      <c r="J41" s="62">
        <v>70765</v>
      </c>
      <c r="K41" s="62">
        <v>76058</v>
      </c>
      <c r="L41" s="62">
        <v>78723</v>
      </c>
      <c r="M41" s="62">
        <v>26128</v>
      </c>
      <c r="N41" s="9" cm="1">
        <f t="array" ref="N41">SUM((H41:L41)/5)</f>
        <v>75395.199999999997</v>
      </c>
      <c r="O41" s="10">
        <v>75900</v>
      </c>
      <c r="P41" s="23"/>
      <c r="Q41" s="28">
        <v>2.08</v>
      </c>
      <c r="R41" s="28">
        <v>4.0599999999999996</v>
      </c>
      <c r="S41" s="29">
        <v>0</v>
      </c>
      <c r="T41" s="29">
        <v>0</v>
      </c>
      <c r="U41" s="30">
        <f t="shared" si="0"/>
        <v>22770</v>
      </c>
      <c r="V41" s="30">
        <f t="shared" si="1"/>
        <v>53130</v>
      </c>
      <c r="W41" s="23"/>
      <c r="X41" s="30">
        <v>2.1040000000000001</v>
      </c>
      <c r="Y41" s="30">
        <v>8.5960000000000001</v>
      </c>
      <c r="Z41" s="31">
        <f t="shared" si="2"/>
        <v>13.3238</v>
      </c>
      <c r="AA41" s="23"/>
      <c r="AB41" s="30">
        <v>365</v>
      </c>
      <c r="AC41" s="32">
        <f t="shared" si="3"/>
        <v>742.98</v>
      </c>
      <c r="AD41" s="32">
        <f t="shared" si="4"/>
        <v>790.64</v>
      </c>
      <c r="AE41" s="32">
        <f t="shared" si="5"/>
        <v>1957.31</v>
      </c>
      <c r="AF41" s="32">
        <f t="shared" si="5"/>
        <v>7078.93</v>
      </c>
      <c r="AG41" s="32"/>
      <c r="AH41" s="32"/>
      <c r="AI41" s="33">
        <f t="shared" si="6"/>
        <v>10569.86</v>
      </c>
      <c r="AJ41" s="32"/>
      <c r="AK41" s="33"/>
      <c r="AL41" s="23"/>
    </row>
    <row r="42" spans="1:38" x14ac:dyDescent="0.3">
      <c r="A42" s="64"/>
      <c r="B42" s="64"/>
      <c r="C42" s="73" t="s">
        <v>105</v>
      </c>
      <c r="D42" s="26" t="s">
        <v>49</v>
      </c>
      <c r="E42" s="7" t="s">
        <v>1</v>
      </c>
      <c r="G42" s="23"/>
      <c r="H42" s="62">
        <v>558868</v>
      </c>
      <c r="I42" s="62">
        <v>619412</v>
      </c>
      <c r="J42" s="62">
        <v>420434</v>
      </c>
      <c r="K42" s="62">
        <v>546813</v>
      </c>
      <c r="L42" s="62">
        <v>347953</v>
      </c>
      <c r="M42" s="62">
        <v>110432</v>
      </c>
      <c r="N42" s="9" cm="1">
        <f t="array" ref="N42">SUM((H42:L42)/5)</f>
        <v>498696</v>
      </c>
      <c r="O42" s="10">
        <v>498000</v>
      </c>
      <c r="P42" s="23"/>
      <c r="Q42" s="28">
        <v>10.17</v>
      </c>
      <c r="R42" s="28">
        <v>19.47</v>
      </c>
      <c r="S42" s="29">
        <v>0</v>
      </c>
      <c r="T42" s="29">
        <v>0</v>
      </c>
      <c r="U42" s="30">
        <f t="shared" si="0"/>
        <v>149400</v>
      </c>
      <c r="V42" s="30">
        <f t="shared" si="1"/>
        <v>348600</v>
      </c>
      <c r="W42" s="23"/>
      <c r="X42" s="30">
        <v>2.1040000000000001</v>
      </c>
      <c r="Y42" s="30">
        <v>8.5960000000000001</v>
      </c>
      <c r="Z42" s="31">
        <f t="shared" si="2"/>
        <v>13.3238</v>
      </c>
      <c r="AA42" s="23"/>
      <c r="AB42" s="30">
        <v>365</v>
      </c>
      <c r="AC42" s="32">
        <f t="shared" si="3"/>
        <v>3563.01</v>
      </c>
      <c r="AD42" s="32">
        <f t="shared" si="4"/>
        <v>3791.59</v>
      </c>
      <c r="AE42" s="32">
        <f t="shared" si="5"/>
        <v>12842.42</v>
      </c>
      <c r="AF42" s="32">
        <f t="shared" si="5"/>
        <v>46446.77</v>
      </c>
      <c r="AG42" s="32"/>
      <c r="AH42" s="32"/>
      <c r="AI42" s="33">
        <f t="shared" si="6"/>
        <v>66643.789999999994</v>
      </c>
      <c r="AJ42" s="32"/>
      <c r="AK42" s="33"/>
      <c r="AL42" s="23"/>
    </row>
    <row r="43" spans="1:38" x14ac:dyDescent="0.3">
      <c r="A43" s="64"/>
      <c r="B43" s="64"/>
      <c r="C43" s="73" t="s">
        <v>106</v>
      </c>
      <c r="D43" s="26" t="s">
        <v>49</v>
      </c>
      <c r="E43" s="7" t="s">
        <v>1</v>
      </c>
      <c r="G43" s="23"/>
      <c r="H43" s="62">
        <v>612184</v>
      </c>
      <c r="I43" s="62">
        <v>510083</v>
      </c>
      <c r="J43" s="62">
        <v>449019</v>
      </c>
      <c r="K43" s="62">
        <v>498070</v>
      </c>
      <c r="L43" s="62">
        <v>486381</v>
      </c>
      <c r="M43" s="62">
        <v>238153</v>
      </c>
      <c r="N43" s="9" cm="1">
        <f t="array" ref="N43">SUM((H43:L43)/5)</f>
        <v>511147.4</v>
      </c>
      <c r="O43" s="10">
        <v>505000</v>
      </c>
      <c r="P43" s="23"/>
      <c r="Q43" s="28">
        <v>10.54</v>
      </c>
      <c r="R43" s="28">
        <v>14.97</v>
      </c>
      <c r="S43" s="29">
        <v>0</v>
      </c>
      <c r="T43" s="29">
        <v>0</v>
      </c>
      <c r="U43" s="30">
        <f t="shared" si="0"/>
        <v>151500</v>
      </c>
      <c r="V43" s="30">
        <f t="shared" si="1"/>
        <v>353500</v>
      </c>
      <c r="W43" s="23"/>
      <c r="X43" s="30">
        <v>2.1040000000000001</v>
      </c>
      <c r="Y43" s="30">
        <v>8.5960000000000001</v>
      </c>
      <c r="Z43" s="31">
        <f t="shared" si="2"/>
        <v>13.3238</v>
      </c>
      <c r="AA43" s="23"/>
      <c r="AB43" s="30">
        <v>365</v>
      </c>
      <c r="AC43" s="32">
        <f t="shared" si="3"/>
        <v>2739.51</v>
      </c>
      <c r="AD43" s="32">
        <f t="shared" si="4"/>
        <v>2915.26</v>
      </c>
      <c r="AE43" s="32">
        <f t="shared" si="5"/>
        <v>13022.94</v>
      </c>
      <c r="AF43" s="32">
        <f t="shared" si="5"/>
        <v>47099.63</v>
      </c>
      <c r="AG43" s="32"/>
      <c r="AH43" s="32"/>
      <c r="AI43" s="33">
        <f t="shared" si="6"/>
        <v>65777.34</v>
      </c>
      <c r="AJ43" s="32"/>
      <c r="AK43" s="33"/>
      <c r="AL43" s="23"/>
    </row>
    <row r="44" spans="1:38" x14ac:dyDescent="0.3">
      <c r="A44" s="64"/>
      <c r="B44" s="64"/>
      <c r="C44" s="73" t="s">
        <v>107</v>
      </c>
      <c r="D44" s="26" t="s">
        <v>49</v>
      </c>
      <c r="E44" s="7" t="s">
        <v>1</v>
      </c>
      <c r="G44" s="23"/>
      <c r="H44" s="62">
        <v>3106</v>
      </c>
      <c r="I44" s="62">
        <v>3011</v>
      </c>
      <c r="J44" s="62">
        <v>2945</v>
      </c>
      <c r="K44" s="62">
        <v>3034</v>
      </c>
      <c r="L44" s="62">
        <v>2782</v>
      </c>
      <c r="M44" s="62">
        <v>957</v>
      </c>
      <c r="N44" s="9" cm="1">
        <f t="array" ref="N44">SUM((H44:L44)/5)</f>
        <v>2975.6</v>
      </c>
      <c r="O44" s="10">
        <v>2950</v>
      </c>
      <c r="P44" s="23"/>
      <c r="Q44" s="28">
        <v>0.46</v>
      </c>
      <c r="R44" s="28">
        <v>0.55000000000000004</v>
      </c>
      <c r="S44" s="29">
        <v>0</v>
      </c>
      <c r="T44" s="29">
        <v>0</v>
      </c>
      <c r="U44" s="30">
        <f t="shared" si="0"/>
        <v>885</v>
      </c>
      <c r="V44" s="30">
        <f t="shared" si="1"/>
        <v>2065</v>
      </c>
      <c r="W44" s="23"/>
      <c r="X44" s="30">
        <v>2.1070000000000002</v>
      </c>
      <c r="Y44" s="30">
        <v>8.5990000000000002</v>
      </c>
      <c r="Z44" s="31">
        <f t="shared" si="2"/>
        <v>13.32845</v>
      </c>
      <c r="AA44" s="23"/>
      <c r="AB44" s="30">
        <v>365</v>
      </c>
      <c r="AC44" s="32">
        <f t="shared" si="3"/>
        <v>100.65</v>
      </c>
      <c r="AD44" s="32">
        <f t="shared" si="4"/>
        <v>107.11</v>
      </c>
      <c r="AE44" s="32">
        <f t="shared" si="5"/>
        <v>76.099999999999994</v>
      </c>
      <c r="AF44" s="32">
        <f t="shared" si="5"/>
        <v>275.23</v>
      </c>
      <c r="AG44" s="32"/>
      <c r="AH44" s="32"/>
      <c r="AI44" s="33">
        <f t="shared" si="6"/>
        <v>559.09</v>
      </c>
      <c r="AJ44" s="32"/>
      <c r="AK44" s="33"/>
      <c r="AL44" s="23"/>
    </row>
    <row r="45" spans="1:38" x14ac:dyDescent="0.3">
      <c r="A45" s="64"/>
      <c r="B45" s="64"/>
      <c r="C45" s="73" t="s">
        <v>107</v>
      </c>
      <c r="D45" s="26" t="s">
        <v>49</v>
      </c>
      <c r="E45" s="7" t="s">
        <v>1</v>
      </c>
      <c r="G45" s="23"/>
      <c r="H45" s="62">
        <v>9613</v>
      </c>
      <c r="I45" s="62">
        <v>11170</v>
      </c>
      <c r="J45" s="62">
        <v>15988</v>
      </c>
      <c r="K45" s="62">
        <v>15421</v>
      </c>
      <c r="L45" s="62">
        <v>13691</v>
      </c>
      <c r="M45" s="62">
        <v>2373</v>
      </c>
      <c r="N45" s="9" cm="1">
        <f t="array" ref="N45">SUM((H45:L45)/5)</f>
        <v>13176.600000000002</v>
      </c>
      <c r="O45" s="10">
        <v>14000</v>
      </c>
      <c r="P45" s="23"/>
      <c r="Q45" s="28">
        <v>0.84</v>
      </c>
      <c r="R45" s="28">
        <v>1.1200000000000001</v>
      </c>
      <c r="S45" s="29">
        <v>0</v>
      </c>
      <c r="T45" s="29">
        <v>0</v>
      </c>
      <c r="U45" s="30">
        <f t="shared" si="0"/>
        <v>4200</v>
      </c>
      <c r="V45" s="30">
        <f t="shared" si="1"/>
        <v>9800</v>
      </c>
      <c r="W45" s="23"/>
      <c r="X45" s="30">
        <v>2.1070000000000002</v>
      </c>
      <c r="Y45" s="30">
        <v>8.5990000000000002</v>
      </c>
      <c r="Z45" s="31">
        <f t="shared" si="2"/>
        <v>13.32845</v>
      </c>
      <c r="AA45" s="23"/>
      <c r="AB45" s="30">
        <v>365</v>
      </c>
      <c r="AC45" s="32">
        <f t="shared" si="3"/>
        <v>204.96</v>
      </c>
      <c r="AD45" s="32">
        <f t="shared" si="4"/>
        <v>218.11</v>
      </c>
      <c r="AE45" s="32">
        <f t="shared" si="5"/>
        <v>361.16</v>
      </c>
      <c r="AF45" s="32">
        <f t="shared" si="5"/>
        <v>1306.19</v>
      </c>
      <c r="AG45" s="32"/>
      <c r="AH45" s="32"/>
      <c r="AI45" s="33">
        <f t="shared" si="6"/>
        <v>2090.42</v>
      </c>
      <c r="AJ45" s="32"/>
      <c r="AK45" s="33"/>
      <c r="AL45" s="23"/>
    </row>
    <row r="46" spans="1:38" x14ac:dyDescent="0.3">
      <c r="A46" s="64"/>
      <c r="B46" s="64"/>
      <c r="C46" s="73" t="s">
        <v>6</v>
      </c>
      <c r="D46" s="26" t="s">
        <v>49</v>
      </c>
      <c r="E46" s="7" t="s">
        <v>1</v>
      </c>
      <c r="G46" s="23"/>
      <c r="H46" s="62">
        <v>399194</v>
      </c>
      <c r="I46" s="62">
        <v>343946</v>
      </c>
      <c r="J46" s="62">
        <v>281382</v>
      </c>
      <c r="K46" s="62">
        <v>309511</v>
      </c>
      <c r="L46" s="62">
        <v>355044</v>
      </c>
      <c r="M46" s="62">
        <v>119752</v>
      </c>
      <c r="N46" s="9" cm="1">
        <f t="array" ref="N46">SUM((H46:L46)/5)</f>
        <v>337815.39999999997</v>
      </c>
      <c r="O46" s="10">
        <v>337800</v>
      </c>
      <c r="P46" s="23"/>
      <c r="Q46" s="28">
        <v>5.54</v>
      </c>
      <c r="R46" s="28">
        <v>52.44</v>
      </c>
      <c r="S46" s="29">
        <v>0</v>
      </c>
      <c r="T46" s="29">
        <v>0</v>
      </c>
      <c r="U46" s="30">
        <f t="shared" si="0"/>
        <v>101340</v>
      </c>
      <c r="V46" s="30">
        <f t="shared" si="1"/>
        <v>236459.99999999997</v>
      </c>
      <c r="W46" s="23"/>
      <c r="X46" s="30">
        <v>2.101</v>
      </c>
      <c r="Y46" s="30">
        <v>8.5920000000000005</v>
      </c>
      <c r="Z46" s="31">
        <f t="shared" si="2"/>
        <v>13.317600000000002</v>
      </c>
      <c r="AA46" s="23"/>
      <c r="AB46" s="30">
        <v>365</v>
      </c>
      <c r="AC46" s="32">
        <f t="shared" si="3"/>
        <v>9596.52</v>
      </c>
      <c r="AD46" s="32">
        <f t="shared" si="4"/>
        <v>10212.17</v>
      </c>
      <c r="AE46" s="32">
        <f t="shared" si="5"/>
        <v>8707.1299999999992</v>
      </c>
      <c r="AF46" s="32">
        <f t="shared" si="5"/>
        <v>31490.799999999999</v>
      </c>
      <c r="AG46" s="32"/>
      <c r="AH46" s="32"/>
      <c r="AI46" s="33">
        <f t="shared" si="6"/>
        <v>60006.619999999995</v>
      </c>
      <c r="AJ46" s="32"/>
      <c r="AK46" s="33"/>
      <c r="AL46" s="23"/>
    </row>
    <row r="47" spans="1:38" x14ac:dyDescent="0.3">
      <c r="A47" s="64"/>
      <c r="B47" s="64"/>
      <c r="C47" s="73" t="s">
        <v>108</v>
      </c>
      <c r="D47" s="26" t="s">
        <v>49</v>
      </c>
      <c r="E47" s="7" t="s">
        <v>1</v>
      </c>
      <c r="G47" s="23"/>
      <c r="H47" s="62">
        <v>408065</v>
      </c>
      <c r="I47" s="62">
        <v>397016</v>
      </c>
      <c r="J47" s="62">
        <v>393632</v>
      </c>
      <c r="K47" s="62">
        <v>433918</v>
      </c>
      <c r="L47" s="62">
        <v>364480</v>
      </c>
      <c r="M47" s="62">
        <v>133205</v>
      </c>
      <c r="N47" s="9" cm="1">
        <f t="array" ref="N47">SUM((H47:L47)/5)</f>
        <v>399422.2</v>
      </c>
      <c r="O47" s="10">
        <v>399000</v>
      </c>
      <c r="P47" s="23"/>
      <c r="Q47" s="28">
        <v>7.97</v>
      </c>
      <c r="R47" s="28">
        <v>17.2</v>
      </c>
      <c r="S47" s="29">
        <v>0</v>
      </c>
      <c r="T47" s="29">
        <v>0</v>
      </c>
      <c r="U47" s="30">
        <f t="shared" si="0"/>
        <v>119700</v>
      </c>
      <c r="V47" s="30">
        <f t="shared" si="1"/>
        <v>279300</v>
      </c>
      <c r="W47" s="23"/>
      <c r="X47" s="30">
        <v>2.1040000000000001</v>
      </c>
      <c r="Y47" s="30">
        <v>8.5960000000000001</v>
      </c>
      <c r="Z47" s="31">
        <f t="shared" si="2"/>
        <v>13.3238</v>
      </c>
      <c r="AA47" s="23"/>
      <c r="AB47" s="30">
        <v>365</v>
      </c>
      <c r="AC47" s="32">
        <f t="shared" si="3"/>
        <v>3147.6</v>
      </c>
      <c r="AD47" s="32">
        <f t="shared" si="4"/>
        <v>3349.53</v>
      </c>
      <c r="AE47" s="32">
        <f t="shared" si="5"/>
        <v>10289.41</v>
      </c>
      <c r="AF47" s="32">
        <f t="shared" si="5"/>
        <v>37213.370000000003</v>
      </c>
      <c r="AG47" s="32"/>
      <c r="AH47" s="32"/>
      <c r="AI47" s="33">
        <f t="shared" si="6"/>
        <v>53999.91</v>
      </c>
      <c r="AJ47" s="32"/>
      <c r="AK47" s="33"/>
      <c r="AL47" s="23"/>
    </row>
    <row r="48" spans="1:38" x14ac:dyDescent="0.3">
      <c r="A48" s="64"/>
      <c r="B48" s="64"/>
      <c r="C48" s="73" t="s">
        <v>21</v>
      </c>
      <c r="D48" s="26" t="s">
        <v>49</v>
      </c>
      <c r="E48" s="7" t="s">
        <v>1</v>
      </c>
      <c r="G48" s="23"/>
      <c r="H48" s="62">
        <v>565493</v>
      </c>
      <c r="I48" s="62">
        <v>504806</v>
      </c>
      <c r="J48" s="62">
        <v>552812</v>
      </c>
      <c r="K48" s="62">
        <v>677096</v>
      </c>
      <c r="L48" s="62">
        <v>393173</v>
      </c>
      <c r="M48" s="62">
        <v>238282</v>
      </c>
      <c r="N48" s="9" cm="1">
        <f t="array" ref="N48">SUM((H48:L48)/5)</f>
        <v>538676</v>
      </c>
      <c r="O48" s="10">
        <v>540000</v>
      </c>
      <c r="P48" s="23"/>
      <c r="Q48" s="28">
        <v>11.33</v>
      </c>
      <c r="R48" s="28">
        <v>23.15</v>
      </c>
      <c r="S48" s="29">
        <v>0</v>
      </c>
      <c r="T48" s="29">
        <v>0</v>
      </c>
      <c r="U48" s="30">
        <f t="shared" si="0"/>
        <v>162000</v>
      </c>
      <c r="V48" s="30">
        <f t="shared" si="1"/>
        <v>378000</v>
      </c>
      <c r="W48" s="23"/>
      <c r="X48" s="30">
        <v>2.1040000000000001</v>
      </c>
      <c r="Y48" s="30">
        <v>8.5960000000000001</v>
      </c>
      <c r="Z48" s="31">
        <f t="shared" si="2"/>
        <v>13.3238</v>
      </c>
      <c r="AA48" s="23"/>
      <c r="AB48" s="30">
        <v>365</v>
      </c>
      <c r="AC48" s="32">
        <f t="shared" si="3"/>
        <v>4236.45</v>
      </c>
      <c r="AD48" s="32">
        <f t="shared" si="4"/>
        <v>4508.2299999999996</v>
      </c>
      <c r="AE48" s="32">
        <f t="shared" si="5"/>
        <v>13925.52</v>
      </c>
      <c r="AF48" s="32">
        <f t="shared" si="5"/>
        <v>50363.96</v>
      </c>
      <c r="AG48" s="32"/>
      <c r="AH48" s="32"/>
      <c r="AI48" s="33">
        <f t="shared" si="6"/>
        <v>73034.16</v>
      </c>
      <c r="AJ48" s="32"/>
      <c r="AK48" s="33"/>
      <c r="AL48" s="23"/>
    </row>
    <row r="49" spans="1:38" x14ac:dyDescent="0.3">
      <c r="A49" s="64"/>
      <c r="B49" s="64"/>
      <c r="C49" s="73" t="s">
        <v>7</v>
      </c>
      <c r="D49" s="26" t="s">
        <v>49</v>
      </c>
      <c r="E49" s="7" t="s">
        <v>1</v>
      </c>
      <c r="G49" s="23"/>
      <c r="H49" s="62">
        <v>3885</v>
      </c>
      <c r="I49" s="62">
        <v>1601</v>
      </c>
      <c r="J49" s="62">
        <v>3153</v>
      </c>
      <c r="K49" s="62">
        <v>3567</v>
      </c>
      <c r="L49" s="62">
        <v>3256</v>
      </c>
      <c r="M49" s="62">
        <v>394</v>
      </c>
      <c r="N49" s="9" cm="1">
        <f t="array" ref="N49">SUM((H49:L49)/5)</f>
        <v>3092.4000000000005</v>
      </c>
      <c r="O49" s="10">
        <v>3350</v>
      </c>
      <c r="P49" s="23"/>
      <c r="Q49" s="28">
        <v>0.45</v>
      </c>
      <c r="R49" s="28">
        <v>0.57999999999999996</v>
      </c>
      <c r="S49" s="29">
        <v>0</v>
      </c>
      <c r="T49" s="29">
        <v>0</v>
      </c>
      <c r="U49" s="30">
        <f t="shared" si="0"/>
        <v>1005</v>
      </c>
      <c r="V49" s="30">
        <f t="shared" si="1"/>
        <v>2345</v>
      </c>
      <c r="W49" s="23"/>
      <c r="X49" s="30">
        <v>2.1070000000000002</v>
      </c>
      <c r="Y49" s="30">
        <v>8.5990000000000002</v>
      </c>
      <c r="Z49" s="31">
        <f t="shared" si="2"/>
        <v>13.32845</v>
      </c>
      <c r="AA49" s="23"/>
      <c r="AB49" s="30">
        <v>365</v>
      </c>
      <c r="AC49" s="32">
        <f t="shared" si="3"/>
        <v>106.14</v>
      </c>
      <c r="AD49" s="32">
        <f t="shared" si="4"/>
        <v>112.95</v>
      </c>
      <c r="AE49" s="32">
        <f t="shared" si="5"/>
        <v>86.42</v>
      </c>
      <c r="AF49" s="32">
        <f t="shared" si="5"/>
        <v>312.55</v>
      </c>
      <c r="AG49" s="32"/>
      <c r="AH49" s="32"/>
      <c r="AI49" s="33">
        <f t="shared" si="6"/>
        <v>618.05999999999995</v>
      </c>
      <c r="AJ49" s="32"/>
      <c r="AK49" s="33"/>
      <c r="AL49" s="23"/>
    </row>
    <row r="50" spans="1:38" x14ac:dyDescent="0.3">
      <c r="A50" s="64"/>
      <c r="B50" s="64"/>
      <c r="C50" s="73" t="s">
        <v>109</v>
      </c>
      <c r="D50" s="26" t="s">
        <v>49</v>
      </c>
      <c r="E50" s="7" t="s">
        <v>1</v>
      </c>
      <c r="G50" s="23"/>
      <c r="H50" s="62">
        <v>32161</v>
      </c>
      <c r="I50" s="62">
        <v>26699</v>
      </c>
      <c r="J50" s="62">
        <v>27460</v>
      </c>
      <c r="K50" s="62">
        <v>27713</v>
      </c>
      <c r="L50" s="62">
        <v>28910</v>
      </c>
      <c r="M50" s="62">
        <v>6780</v>
      </c>
      <c r="N50" s="9" cm="1">
        <f t="array" ref="N50">SUM((H50:L50)/5)</f>
        <v>28588.6</v>
      </c>
      <c r="O50" s="10">
        <v>28500</v>
      </c>
      <c r="P50" s="23"/>
      <c r="Q50" s="28">
        <v>1.1399999999999999</v>
      </c>
      <c r="R50" s="28">
        <v>2.02</v>
      </c>
      <c r="S50" s="29">
        <v>0</v>
      </c>
      <c r="T50" s="29">
        <v>0</v>
      </c>
      <c r="U50" s="30">
        <f t="shared" si="0"/>
        <v>8550</v>
      </c>
      <c r="V50" s="30">
        <f t="shared" si="1"/>
        <v>19950</v>
      </c>
      <c r="W50" s="23"/>
      <c r="X50" s="30">
        <v>2.1070000000000002</v>
      </c>
      <c r="Y50" s="30">
        <v>8.5990000000000002</v>
      </c>
      <c r="Z50" s="31">
        <f t="shared" si="2"/>
        <v>13.32845</v>
      </c>
      <c r="AA50" s="23"/>
      <c r="AB50" s="30">
        <v>365</v>
      </c>
      <c r="AC50" s="32">
        <f t="shared" si="3"/>
        <v>369.66</v>
      </c>
      <c r="AD50" s="32">
        <f t="shared" si="4"/>
        <v>393.37</v>
      </c>
      <c r="AE50" s="32">
        <f t="shared" si="5"/>
        <v>735.21</v>
      </c>
      <c r="AF50" s="32">
        <f t="shared" si="5"/>
        <v>2659.03</v>
      </c>
      <c r="AG50" s="32"/>
      <c r="AH50" s="32"/>
      <c r="AI50" s="33">
        <f t="shared" si="6"/>
        <v>4157.2700000000004</v>
      </c>
      <c r="AJ50" s="32"/>
      <c r="AK50" s="33"/>
      <c r="AL50" s="23"/>
    </row>
    <row r="51" spans="1:38" x14ac:dyDescent="0.3">
      <c r="A51" s="64"/>
      <c r="B51" s="64"/>
      <c r="C51" s="73" t="s">
        <v>10</v>
      </c>
      <c r="D51" s="26" t="s">
        <v>49</v>
      </c>
      <c r="E51" s="7" t="s">
        <v>1</v>
      </c>
      <c r="G51" s="23"/>
      <c r="H51" s="62">
        <v>350912</v>
      </c>
      <c r="I51" s="62">
        <v>336291</v>
      </c>
      <c r="J51" s="62">
        <v>316120</v>
      </c>
      <c r="K51" s="62">
        <v>237415</v>
      </c>
      <c r="L51" s="62">
        <v>550441</v>
      </c>
      <c r="M51" s="62">
        <v>149961</v>
      </c>
      <c r="N51" s="9" cm="1">
        <f t="array" ref="N51">SUM((H51:L51)/5)</f>
        <v>358235.8</v>
      </c>
      <c r="O51" s="10">
        <v>358000</v>
      </c>
      <c r="P51" s="23"/>
      <c r="Q51" s="28">
        <v>8.01</v>
      </c>
      <c r="R51" s="28">
        <v>22.34</v>
      </c>
      <c r="S51" s="29">
        <v>0</v>
      </c>
      <c r="T51" s="29">
        <v>0</v>
      </c>
      <c r="U51" s="30">
        <f t="shared" si="0"/>
        <v>107400</v>
      </c>
      <c r="V51" s="30">
        <f t="shared" si="1"/>
        <v>250599.99999999997</v>
      </c>
      <c r="W51" s="23"/>
      <c r="X51" s="30">
        <v>2.1040000000000001</v>
      </c>
      <c r="Y51" s="30">
        <v>8.5960000000000001</v>
      </c>
      <c r="Z51" s="31">
        <f t="shared" si="2"/>
        <v>13.3238</v>
      </c>
      <c r="AA51" s="23"/>
      <c r="AB51" s="30">
        <v>365</v>
      </c>
      <c r="AC51" s="32">
        <f t="shared" si="3"/>
        <v>4088.22</v>
      </c>
      <c r="AD51" s="32">
        <f t="shared" si="4"/>
        <v>4350.49</v>
      </c>
      <c r="AE51" s="32">
        <f t="shared" si="5"/>
        <v>9232.1</v>
      </c>
      <c r="AF51" s="32">
        <f t="shared" si="5"/>
        <v>33389.440000000002</v>
      </c>
      <c r="AG51" s="32"/>
      <c r="AH51" s="32"/>
      <c r="AI51" s="33">
        <f t="shared" si="6"/>
        <v>51060.25</v>
      </c>
      <c r="AJ51" s="32"/>
      <c r="AK51" s="33"/>
      <c r="AL51" s="23"/>
    </row>
    <row r="52" spans="1:38" x14ac:dyDescent="0.3">
      <c r="A52" s="64"/>
      <c r="B52" s="64"/>
      <c r="C52" s="73" t="s">
        <v>11</v>
      </c>
      <c r="D52" s="26" t="s">
        <v>49</v>
      </c>
      <c r="E52" s="7" t="s">
        <v>1</v>
      </c>
      <c r="G52" s="23"/>
      <c r="H52" s="62">
        <v>844123</v>
      </c>
      <c r="I52" s="62">
        <v>819881</v>
      </c>
      <c r="J52" s="62">
        <v>818319</v>
      </c>
      <c r="K52" s="62">
        <v>832149</v>
      </c>
      <c r="L52" s="62">
        <v>811296</v>
      </c>
      <c r="M52" s="62">
        <v>161088</v>
      </c>
      <c r="N52" s="9" cm="1">
        <f t="array" ref="N52">SUM((H52:L52)/5)</f>
        <v>825153.60000000009</v>
      </c>
      <c r="O52" s="10">
        <v>825000</v>
      </c>
      <c r="P52" s="23"/>
      <c r="Q52" s="28">
        <v>14</v>
      </c>
      <c r="R52" s="28">
        <v>26.37</v>
      </c>
      <c r="S52" s="29">
        <v>0</v>
      </c>
      <c r="T52" s="29">
        <v>0</v>
      </c>
      <c r="U52" s="30">
        <f t="shared" si="0"/>
        <v>247500</v>
      </c>
      <c r="V52" s="30">
        <f t="shared" si="1"/>
        <v>577500</v>
      </c>
      <c r="W52" s="23"/>
      <c r="X52" s="30">
        <v>2.105</v>
      </c>
      <c r="Y52" s="30">
        <v>8.5960000000000001</v>
      </c>
      <c r="Z52" s="31">
        <f t="shared" si="2"/>
        <v>13.3238</v>
      </c>
      <c r="AA52" s="23"/>
      <c r="AB52" s="30">
        <v>365</v>
      </c>
      <c r="AC52" s="32">
        <f t="shared" si="3"/>
        <v>4825.71</v>
      </c>
      <c r="AD52" s="32">
        <f t="shared" si="4"/>
        <v>5135.29</v>
      </c>
      <c r="AE52" s="32">
        <f t="shared" si="5"/>
        <v>21275.1</v>
      </c>
      <c r="AF52" s="32">
        <f t="shared" si="5"/>
        <v>76944.95</v>
      </c>
      <c r="AG52" s="32"/>
      <c r="AH52" s="32"/>
      <c r="AI52" s="33">
        <f t="shared" si="6"/>
        <v>108181.04999999999</v>
      </c>
      <c r="AJ52" s="32"/>
      <c r="AK52" s="33"/>
      <c r="AL52" s="23"/>
    </row>
    <row r="53" spans="1:38" x14ac:dyDescent="0.3">
      <c r="A53" s="64"/>
      <c r="B53" s="64"/>
      <c r="C53" s="73" t="s">
        <v>3</v>
      </c>
      <c r="D53" s="26" t="s">
        <v>49</v>
      </c>
      <c r="E53" s="7" t="s">
        <v>1</v>
      </c>
      <c r="G53" s="23"/>
      <c r="H53" s="62">
        <v>444986</v>
      </c>
      <c r="I53" s="62">
        <v>220463</v>
      </c>
      <c r="J53" s="62">
        <v>600193</v>
      </c>
      <c r="K53" s="62">
        <v>562758</v>
      </c>
      <c r="L53" s="62">
        <v>265837</v>
      </c>
      <c r="M53" s="62">
        <v>72851</v>
      </c>
      <c r="N53" s="9" cm="1">
        <f t="array" ref="N53">SUM((H53:L53)/5)</f>
        <v>418847.4</v>
      </c>
      <c r="O53" s="10">
        <v>418000</v>
      </c>
      <c r="P53" s="23"/>
      <c r="Q53" s="28">
        <v>12.05</v>
      </c>
      <c r="R53" s="28">
        <v>22.86</v>
      </c>
      <c r="S53" s="29">
        <v>0</v>
      </c>
      <c r="T53" s="29">
        <v>0</v>
      </c>
      <c r="U53" s="30">
        <f t="shared" si="0"/>
        <v>125400</v>
      </c>
      <c r="V53" s="30">
        <f t="shared" si="1"/>
        <v>292600</v>
      </c>
      <c r="W53" s="23"/>
      <c r="X53" s="30">
        <v>2.1040000000000001</v>
      </c>
      <c r="Y53" s="30">
        <v>8.5960000000000001</v>
      </c>
      <c r="Z53" s="31">
        <f t="shared" si="2"/>
        <v>13.3238</v>
      </c>
      <c r="AA53" s="23"/>
      <c r="AB53" s="30">
        <v>365</v>
      </c>
      <c r="AC53" s="32">
        <f t="shared" si="3"/>
        <v>4183.38</v>
      </c>
      <c r="AD53" s="32">
        <f t="shared" si="4"/>
        <v>4451.76</v>
      </c>
      <c r="AE53" s="32">
        <f t="shared" si="5"/>
        <v>10779.38</v>
      </c>
      <c r="AF53" s="32">
        <f t="shared" si="5"/>
        <v>38985.440000000002</v>
      </c>
      <c r="AG53" s="32"/>
      <c r="AH53" s="32"/>
      <c r="AI53" s="33">
        <f t="shared" si="6"/>
        <v>58399.96</v>
      </c>
      <c r="AJ53" s="32"/>
      <c r="AK53" s="33"/>
      <c r="AL53" s="23"/>
    </row>
    <row r="54" spans="1:38" x14ac:dyDescent="0.3">
      <c r="A54" s="64"/>
      <c r="B54" s="64"/>
      <c r="C54" s="73" t="s">
        <v>110</v>
      </c>
      <c r="D54" s="26" t="s">
        <v>49</v>
      </c>
      <c r="E54" s="7" t="s">
        <v>1</v>
      </c>
      <c r="G54" s="23"/>
      <c r="H54" s="62">
        <v>279131</v>
      </c>
      <c r="I54" s="62">
        <v>525918</v>
      </c>
      <c r="J54" s="62">
        <v>430037</v>
      </c>
      <c r="K54" s="62">
        <v>417926</v>
      </c>
      <c r="L54" s="62">
        <v>426269</v>
      </c>
      <c r="M54" s="62">
        <v>129353</v>
      </c>
      <c r="N54" s="9" cm="1">
        <f t="array" ref="N54">SUM((H54:L54)/5)</f>
        <v>415856.19999999995</v>
      </c>
      <c r="O54" s="10">
        <v>422000</v>
      </c>
      <c r="P54" s="23"/>
      <c r="Q54" s="28">
        <v>9.19</v>
      </c>
      <c r="R54" s="28">
        <v>19.32</v>
      </c>
      <c r="S54" s="29">
        <v>0</v>
      </c>
      <c r="T54" s="29">
        <v>0</v>
      </c>
      <c r="U54" s="30">
        <f t="shared" si="0"/>
        <v>126600</v>
      </c>
      <c r="V54" s="30">
        <f t="shared" si="1"/>
        <v>295400</v>
      </c>
      <c r="W54" s="23"/>
      <c r="X54" s="30">
        <v>2.1040000000000001</v>
      </c>
      <c r="Y54" s="30">
        <v>8.5960000000000001</v>
      </c>
      <c r="Z54" s="31">
        <f t="shared" si="2"/>
        <v>13.3238</v>
      </c>
      <c r="AA54" s="23"/>
      <c r="AB54" s="30">
        <v>365</v>
      </c>
      <c r="AC54" s="32">
        <f t="shared" si="3"/>
        <v>3535.56</v>
      </c>
      <c r="AD54" s="32">
        <f t="shared" si="4"/>
        <v>3762.38</v>
      </c>
      <c r="AE54" s="32">
        <f t="shared" si="5"/>
        <v>10882.54</v>
      </c>
      <c r="AF54" s="32">
        <f t="shared" si="5"/>
        <v>39358.51</v>
      </c>
      <c r="AG54" s="32"/>
      <c r="AH54" s="32"/>
      <c r="AI54" s="33">
        <f t="shared" si="6"/>
        <v>57538.990000000005</v>
      </c>
      <c r="AJ54" s="32"/>
      <c r="AK54" s="33"/>
      <c r="AL54" s="23"/>
    </row>
    <row r="55" spans="1:38" x14ac:dyDescent="0.3">
      <c r="A55" s="64"/>
      <c r="B55" s="64"/>
      <c r="C55" s="73" t="s">
        <v>16</v>
      </c>
      <c r="D55" s="26" t="s">
        <v>49</v>
      </c>
      <c r="E55" s="7" t="s">
        <v>1</v>
      </c>
      <c r="G55" s="23"/>
      <c r="H55" s="62">
        <v>629458</v>
      </c>
      <c r="I55" s="62">
        <v>380282</v>
      </c>
      <c r="J55" s="62">
        <v>475196</v>
      </c>
      <c r="K55" s="62">
        <v>505746</v>
      </c>
      <c r="L55" s="62">
        <v>464466</v>
      </c>
      <c r="M55" s="62">
        <v>144405</v>
      </c>
      <c r="N55" s="9" cm="1">
        <f t="array" ref="N55">SUM((H55:L55)/5)</f>
        <v>491029.60000000003</v>
      </c>
      <c r="O55" s="10">
        <v>492000</v>
      </c>
      <c r="P55" s="23"/>
      <c r="Q55" s="28">
        <v>9.89</v>
      </c>
      <c r="R55" s="28">
        <v>21.97</v>
      </c>
      <c r="S55" s="29">
        <v>0</v>
      </c>
      <c r="T55" s="29">
        <v>0</v>
      </c>
      <c r="U55" s="30">
        <f t="shared" si="0"/>
        <v>147600</v>
      </c>
      <c r="V55" s="30">
        <f t="shared" si="1"/>
        <v>344400</v>
      </c>
      <c r="W55" s="23"/>
      <c r="X55" s="30">
        <v>2.1040000000000001</v>
      </c>
      <c r="Y55" s="30">
        <v>8.5960000000000001</v>
      </c>
      <c r="Z55" s="31">
        <f t="shared" si="2"/>
        <v>13.3238</v>
      </c>
      <c r="AA55" s="23"/>
      <c r="AB55" s="30">
        <v>365</v>
      </c>
      <c r="AC55" s="32">
        <f t="shared" si="3"/>
        <v>4020.51</v>
      </c>
      <c r="AD55" s="32">
        <f t="shared" si="4"/>
        <v>4278.4399999999996</v>
      </c>
      <c r="AE55" s="32">
        <f t="shared" si="5"/>
        <v>12687.7</v>
      </c>
      <c r="AF55" s="32">
        <f t="shared" si="5"/>
        <v>45887.17</v>
      </c>
      <c r="AG55" s="32"/>
      <c r="AH55" s="32"/>
      <c r="AI55" s="33">
        <f t="shared" si="6"/>
        <v>66873.820000000007</v>
      </c>
      <c r="AJ55" s="32"/>
      <c r="AK55" s="33"/>
      <c r="AL55" s="23"/>
    </row>
    <row r="56" spans="1:38" x14ac:dyDescent="0.3">
      <c r="A56" s="64"/>
      <c r="B56" s="64"/>
      <c r="C56" s="73" t="s">
        <v>111</v>
      </c>
      <c r="D56" s="26" t="s">
        <v>49</v>
      </c>
      <c r="E56" s="7" t="s">
        <v>1</v>
      </c>
      <c r="G56" s="23"/>
      <c r="H56" s="62">
        <v>314522</v>
      </c>
      <c r="I56" s="62">
        <v>262832</v>
      </c>
      <c r="J56" s="62">
        <v>283457</v>
      </c>
      <c r="K56" s="62">
        <v>275952</v>
      </c>
      <c r="L56" s="62">
        <v>286531</v>
      </c>
      <c r="M56" s="62">
        <v>147684</v>
      </c>
      <c r="N56" s="9" cm="1">
        <f t="array" ref="N56">SUM((H56:L56)/5)</f>
        <v>284658.8</v>
      </c>
      <c r="O56" s="10">
        <v>284000</v>
      </c>
      <c r="P56" s="23"/>
      <c r="Q56" s="28">
        <v>5.62</v>
      </c>
      <c r="R56" s="28">
        <v>13.64</v>
      </c>
      <c r="S56" s="29">
        <v>0</v>
      </c>
      <c r="T56" s="29">
        <v>0</v>
      </c>
      <c r="U56" s="30">
        <f t="shared" si="0"/>
        <v>85200</v>
      </c>
      <c r="V56" s="30">
        <f t="shared" si="1"/>
        <v>198800</v>
      </c>
      <c r="W56" s="23"/>
      <c r="X56" s="30">
        <v>2.1040000000000001</v>
      </c>
      <c r="Y56" s="30">
        <v>8.5960000000000001</v>
      </c>
      <c r="Z56" s="31">
        <f t="shared" si="2"/>
        <v>13.3238</v>
      </c>
      <c r="AA56" s="23"/>
      <c r="AB56" s="30">
        <v>365</v>
      </c>
      <c r="AC56" s="32">
        <f t="shared" si="3"/>
        <v>2496.12</v>
      </c>
      <c r="AD56" s="32">
        <f t="shared" si="4"/>
        <v>2656.25</v>
      </c>
      <c r="AE56" s="32">
        <f t="shared" si="5"/>
        <v>7323.79</v>
      </c>
      <c r="AF56" s="32">
        <f t="shared" si="5"/>
        <v>26487.71</v>
      </c>
      <c r="AG56" s="32"/>
      <c r="AH56" s="32"/>
      <c r="AI56" s="33">
        <f t="shared" si="6"/>
        <v>38963.869999999995</v>
      </c>
      <c r="AJ56" s="32"/>
      <c r="AK56" s="33"/>
      <c r="AL56" s="23"/>
    </row>
    <row r="57" spans="1:38" x14ac:dyDescent="0.3">
      <c r="A57" s="64"/>
      <c r="B57" s="64"/>
      <c r="C57" s="73" t="s">
        <v>12</v>
      </c>
      <c r="D57" s="26" t="s">
        <v>49</v>
      </c>
      <c r="E57" s="7" t="s">
        <v>1</v>
      </c>
      <c r="G57" s="23"/>
      <c r="H57" s="62">
        <v>449852</v>
      </c>
      <c r="I57" s="62">
        <v>417991</v>
      </c>
      <c r="J57" s="62">
        <v>427848</v>
      </c>
      <c r="K57" s="62">
        <v>471789</v>
      </c>
      <c r="L57" s="62">
        <v>496075</v>
      </c>
      <c r="M57" s="62">
        <v>186050</v>
      </c>
      <c r="N57" s="9" cm="1">
        <f t="array" ref="N57">SUM((H57:L57)/5)</f>
        <v>452711</v>
      </c>
      <c r="O57" s="10">
        <v>480000</v>
      </c>
      <c r="P57" s="23"/>
      <c r="Q57" s="28">
        <v>8.7200000000000006</v>
      </c>
      <c r="R57" s="28">
        <v>20.13</v>
      </c>
      <c r="S57" s="29">
        <v>0</v>
      </c>
      <c r="T57" s="29">
        <v>0</v>
      </c>
      <c r="U57" s="30">
        <f t="shared" si="0"/>
        <v>144000</v>
      </c>
      <c r="V57" s="30">
        <f t="shared" si="1"/>
        <v>336000</v>
      </c>
      <c r="W57" s="23"/>
      <c r="X57" s="30">
        <v>2.1040000000000001</v>
      </c>
      <c r="Y57" s="30">
        <v>8.5960000000000001</v>
      </c>
      <c r="Z57" s="31">
        <f t="shared" si="2"/>
        <v>13.3238</v>
      </c>
      <c r="AA57" s="23"/>
      <c r="AB57" s="30">
        <v>365</v>
      </c>
      <c r="AC57" s="32">
        <f t="shared" si="3"/>
        <v>3683.79</v>
      </c>
      <c r="AD57" s="32">
        <f t="shared" si="4"/>
        <v>3920.12</v>
      </c>
      <c r="AE57" s="32">
        <f t="shared" si="5"/>
        <v>12378.24</v>
      </c>
      <c r="AF57" s="32">
        <f t="shared" si="5"/>
        <v>44767.97</v>
      </c>
      <c r="AG57" s="32"/>
      <c r="AH57" s="32"/>
      <c r="AI57" s="33">
        <f t="shared" si="6"/>
        <v>64750.12</v>
      </c>
      <c r="AJ57" s="32"/>
      <c r="AK57" s="33"/>
      <c r="AL57" s="23"/>
    </row>
    <row r="58" spans="1:38" x14ac:dyDescent="0.3">
      <c r="A58" s="64"/>
      <c r="B58" s="64"/>
      <c r="C58" s="73" t="s">
        <v>29</v>
      </c>
      <c r="D58" s="26" t="s">
        <v>49</v>
      </c>
      <c r="E58" s="7" t="s">
        <v>1</v>
      </c>
      <c r="G58" s="23"/>
      <c r="H58" s="62">
        <v>388074</v>
      </c>
      <c r="I58" s="62">
        <v>340194</v>
      </c>
      <c r="J58" s="62">
        <v>620111</v>
      </c>
      <c r="K58" s="62">
        <v>282988</v>
      </c>
      <c r="L58" s="62">
        <v>750354</v>
      </c>
      <c r="M58" s="62">
        <v>294822</v>
      </c>
      <c r="N58" s="9" cm="1">
        <f t="array" ref="N58">SUM((H58:L58)/5)</f>
        <v>476344.19999999995</v>
      </c>
      <c r="O58" s="10">
        <v>477000</v>
      </c>
      <c r="P58" s="23"/>
      <c r="Q58" s="28">
        <v>6.56</v>
      </c>
      <c r="R58" s="28">
        <v>25.53</v>
      </c>
      <c r="S58" s="29">
        <v>0</v>
      </c>
      <c r="T58" s="29">
        <v>0</v>
      </c>
      <c r="U58" s="30">
        <f t="shared" si="0"/>
        <v>143100</v>
      </c>
      <c r="V58" s="30">
        <f t="shared" si="1"/>
        <v>333900</v>
      </c>
      <c r="W58" s="23"/>
      <c r="X58" s="30">
        <v>2.1040000000000001</v>
      </c>
      <c r="Y58" s="30">
        <v>8.5960000000000001</v>
      </c>
      <c r="Z58" s="31">
        <f t="shared" si="2"/>
        <v>13.3238</v>
      </c>
      <c r="AA58" s="23"/>
      <c r="AB58" s="30">
        <v>365</v>
      </c>
      <c r="AC58" s="32">
        <f t="shared" si="3"/>
        <v>4671.99</v>
      </c>
      <c r="AD58" s="32">
        <f t="shared" si="4"/>
        <v>4971.71</v>
      </c>
      <c r="AE58" s="32">
        <f t="shared" si="5"/>
        <v>12300.88</v>
      </c>
      <c r="AF58" s="32">
        <f t="shared" si="5"/>
        <v>44488.17</v>
      </c>
      <c r="AG58" s="32"/>
      <c r="AH58" s="32"/>
      <c r="AI58" s="33">
        <f t="shared" si="6"/>
        <v>66432.75</v>
      </c>
      <c r="AJ58" s="32"/>
      <c r="AK58" s="33"/>
      <c r="AL58" s="23"/>
    </row>
    <row r="59" spans="1:38" x14ac:dyDescent="0.3">
      <c r="A59" s="64"/>
      <c r="B59" s="64"/>
      <c r="C59" s="73" t="s">
        <v>112</v>
      </c>
      <c r="D59" s="26" t="s">
        <v>49</v>
      </c>
      <c r="E59" s="7" t="s">
        <v>1</v>
      </c>
      <c r="G59" s="23"/>
      <c r="H59" s="62">
        <v>404197</v>
      </c>
      <c r="I59" s="62">
        <v>357585</v>
      </c>
      <c r="J59" s="62">
        <v>414850</v>
      </c>
      <c r="K59" s="62">
        <v>412104</v>
      </c>
      <c r="L59" s="62">
        <v>366281</v>
      </c>
      <c r="M59" s="62">
        <v>146112</v>
      </c>
      <c r="N59" s="9" cm="1">
        <f t="array" ref="N59">SUM((H59:L59)/5)</f>
        <v>391003.4</v>
      </c>
      <c r="O59" s="10">
        <v>391000</v>
      </c>
      <c r="P59" s="23"/>
      <c r="Q59" s="28">
        <v>6.15</v>
      </c>
      <c r="R59" s="28">
        <v>11.63</v>
      </c>
      <c r="S59" s="29">
        <v>0</v>
      </c>
      <c r="T59" s="29">
        <v>0</v>
      </c>
      <c r="U59" s="30">
        <f t="shared" si="0"/>
        <v>117300</v>
      </c>
      <c r="V59" s="30">
        <f t="shared" si="1"/>
        <v>273700</v>
      </c>
      <c r="W59" s="23"/>
      <c r="X59" s="30">
        <v>2.101</v>
      </c>
      <c r="Y59" s="30">
        <v>8.5920000000000005</v>
      </c>
      <c r="Z59" s="31">
        <f t="shared" si="2"/>
        <v>13.317600000000002</v>
      </c>
      <c r="AA59" s="23"/>
      <c r="AB59" s="30">
        <v>365</v>
      </c>
      <c r="AC59" s="32">
        <f t="shared" si="3"/>
        <v>2128.29</v>
      </c>
      <c r="AD59" s="32">
        <f t="shared" si="4"/>
        <v>2264.83</v>
      </c>
      <c r="AE59" s="32">
        <f t="shared" si="5"/>
        <v>10078.42</v>
      </c>
      <c r="AF59" s="32">
        <f t="shared" si="5"/>
        <v>36450.269999999997</v>
      </c>
      <c r="AG59" s="32"/>
      <c r="AH59" s="32"/>
      <c r="AI59" s="33">
        <f t="shared" si="6"/>
        <v>50921.81</v>
      </c>
      <c r="AJ59" s="32"/>
      <c r="AK59" s="33"/>
      <c r="AL59" s="23"/>
    </row>
    <row r="60" spans="1:38" x14ac:dyDescent="0.3">
      <c r="A60" s="64"/>
      <c r="B60" s="64"/>
      <c r="C60" s="73" t="s">
        <v>18</v>
      </c>
      <c r="D60" s="26" t="s">
        <v>49</v>
      </c>
      <c r="E60" s="7" t="s">
        <v>1</v>
      </c>
      <c r="G60" s="23"/>
      <c r="H60" s="62">
        <v>474952</v>
      </c>
      <c r="I60" s="62">
        <v>484037</v>
      </c>
      <c r="J60" s="62">
        <v>504672</v>
      </c>
      <c r="K60" s="62">
        <v>470823</v>
      </c>
      <c r="L60" s="62">
        <v>508084</v>
      </c>
      <c r="M60" s="62">
        <v>184811</v>
      </c>
      <c r="N60" s="9" cm="1">
        <f t="array" ref="N60">SUM((H60:L60)/5)</f>
        <v>488513.59999999992</v>
      </c>
      <c r="O60" s="10">
        <v>488500</v>
      </c>
      <c r="P60" s="23"/>
      <c r="Q60" s="28">
        <v>9.94</v>
      </c>
      <c r="R60" s="28">
        <v>21.91</v>
      </c>
      <c r="S60" s="34">
        <v>0.56799999999999995</v>
      </c>
      <c r="T60" s="29">
        <v>0.56799999999999995</v>
      </c>
      <c r="U60" s="30">
        <f t="shared" si="0"/>
        <v>146550</v>
      </c>
      <c r="V60" s="30">
        <f t="shared" si="1"/>
        <v>341950</v>
      </c>
      <c r="W60" s="23"/>
      <c r="X60" s="30">
        <v>2.1040000000000001</v>
      </c>
      <c r="Y60" s="30">
        <v>8.5960000000000001</v>
      </c>
      <c r="Z60" s="31">
        <f t="shared" si="2"/>
        <v>13.3238</v>
      </c>
      <c r="AA60" s="23"/>
      <c r="AB60" s="30">
        <v>365</v>
      </c>
      <c r="AC60" s="32">
        <f t="shared" si="3"/>
        <v>4009.53</v>
      </c>
      <c r="AD60" s="32">
        <f t="shared" si="4"/>
        <v>4266.75</v>
      </c>
      <c r="AE60" s="32">
        <f t="shared" si="5"/>
        <v>12597.44</v>
      </c>
      <c r="AF60" s="32">
        <f t="shared" si="5"/>
        <v>45560.73</v>
      </c>
      <c r="AG60" s="32"/>
      <c r="AH60" s="32"/>
      <c r="AI60" s="33">
        <f t="shared" si="6"/>
        <v>66434.450000000012</v>
      </c>
      <c r="AJ60" s="32"/>
      <c r="AK60" s="33"/>
      <c r="AL60" s="23"/>
    </row>
    <row r="61" spans="1:38" x14ac:dyDescent="0.3">
      <c r="A61" s="64"/>
      <c r="B61" s="64"/>
      <c r="C61" s="73" t="s">
        <v>714</v>
      </c>
      <c r="D61" s="26" t="s">
        <v>49</v>
      </c>
      <c r="E61" s="7" t="s">
        <v>1</v>
      </c>
      <c r="G61" s="23"/>
      <c r="H61" s="62">
        <v>4019</v>
      </c>
      <c r="I61" s="62">
        <v>2174</v>
      </c>
      <c r="J61" s="62">
        <v>2869</v>
      </c>
      <c r="K61" s="62">
        <v>0</v>
      </c>
      <c r="L61" s="62">
        <v>8301</v>
      </c>
      <c r="M61" s="62">
        <v>669</v>
      </c>
      <c r="N61" s="9" cm="1">
        <f t="array" ref="N61">SUM((H61:L61)/5)</f>
        <v>3472.6</v>
      </c>
      <c r="O61" s="10">
        <v>4000</v>
      </c>
      <c r="P61" s="23"/>
      <c r="Q61" s="28">
        <v>0.38</v>
      </c>
      <c r="R61" s="28">
        <v>0.51</v>
      </c>
      <c r="S61" s="29">
        <v>0</v>
      </c>
      <c r="T61" s="29">
        <v>0</v>
      </c>
      <c r="U61" s="30">
        <f t="shared" si="0"/>
        <v>1200</v>
      </c>
      <c r="V61" s="30">
        <f t="shared" si="1"/>
        <v>2800</v>
      </c>
      <c r="W61" s="23"/>
      <c r="X61" s="30">
        <v>2.1110000000000002</v>
      </c>
      <c r="Y61" s="30">
        <v>8.6029999999999998</v>
      </c>
      <c r="Z61" s="31">
        <f t="shared" si="2"/>
        <v>13.33465</v>
      </c>
      <c r="AA61" s="23"/>
      <c r="AB61" s="30">
        <v>365</v>
      </c>
      <c r="AC61" s="32">
        <f t="shared" si="3"/>
        <v>93.33</v>
      </c>
      <c r="AD61" s="32">
        <f t="shared" si="4"/>
        <v>99.32</v>
      </c>
      <c r="AE61" s="32">
        <f t="shared" si="5"/>
        <v>103.24</v>
      </c>
      <c r="AF61" s="32">
        <f t="shared" si="5"/>
        <v>373.37</v>
      </c>
      <c r="AG61" s="32"/>
      <c r="AH61" s="32"/>
      <c r="AI61" s="33">
        <f t="shared" si="6"/>
        <v>669.26</v>
      </c>
      <c r="AJ61" s="32"/>
      <c r="AK61" s="33"/>
      <c r="AL61" s="23"/>
    </row>
    <row r="62" spans="1:38" x14ac:dyDescent="0.3">
      <c r="A62" s="64"/>
      <c r="B62" s="64"/>
      <c r="C62" s="73" t="s">
        <v>113</v>
      </c>
      <c r="D62" s="26" t="s">
        <v>49</v>
      </c>
      <c r="E62" s="7" t="s">
        <v>1</v>
      </c>
      <c r="G62" s="23"/>
      <c r="H62" s="62">
        <v>12729</v>
      </c>
      <c r="I62" s="62">
        <v>12045</v>
      </c>
      <c r="J62" s="62">
        <v>13289</v>
      </c>
      <c r="K62" s="62">
        <v>12984</v>
      </c>
      <c r="L62" s="62">
        <v>12759</v>
      </c>
      <c r="M62" s="62">
        <v>1603</v>
      </c>
      <c r="N62" s="9" cm="1">
        <f t="array" ref="N62">SUM((H62:L62)/5)</f>
        <v>12761.2</v>
      </c>
      <c r="O62" s="10">
        <v>12700</v>
      </c>
      <c r="P62" s="23"/>
      <c r="Q62" s="28">
        <v>0.72</v>
      </c>
      <c r="R62" s="28">
        <v>1.1499999999999999</v>
      </c>
      <c r="S62" s="29">
        <v>0</v>
      </c>
      <c r="T62" s="29">
        <v>0</v>
      </c>
      <c r="U62" s="30">
        <f t="shared" si="0"/>
        <v>3810</v>
      </c>
      <c r="V62" s="30">
        <f t="shared" si="1"/>
        <v>8890</v>
      </c>
      <c r="W62" s="23"/>
      <c r="X62" s="30">
        <v>2.1110000000000002</v>
      </c>
      <c r="Y62" s="30">
        <v>8.6029999999999998</v>
      </c>
      <c r="Z62" s="31">
        <f t="shared" si="2"/>
        <v>13.33465</v>
      </c>
      <c r="AA62" s="23"/>
      <c r="AB62" s="30">
        <v>365</v>
      </c>
      <c r="AC62" s="32">
        <f t="shared" si="3"/>
        <v>210.45</v>
      </c>
      <c r="AD62" s="32">
        <f t="shared" si="4"/>
        <v>223.95</v>
      </c>
      <c r="AE62" s="32">
        <f t="shared" si="5"/>
        <v>327.77</v>
      </c>
      <c r="AF62" s="32">
        <f t="shared" si="5"/>
        <v>1185.45</v>
      </c>
      <c r="AG62" s="32"/>
      <c r="AH62" s="32"/>
      <c r="AI62" s="33">
        <f t="shared" si="6"/>
        <v>1947.62</v>
      </c>
      <c r="AJ62" s="32"/>
      <c r="AK62" s="33"/>
      <c r="AL62" s="23"/>
    </row>
    <row r="63" spans="1:38" x14ac:dyDescent="0.3">
      <c r="A63" s="64"/>
      <c r="B63" s="64"/>
      <c r="C63" s="73" t="s">
        <v>14</v>
      </c>
      <c r="D63" s="26" t="s">
        <v>49</v>
      </c>
      <c r="E63" s="7" t="s">
        <v>1</v>
      </c>
      <c r="G63" s="23"/>
      <c r="H63" s="62">
        <v>481754</v>
      </c>
      <c r="I63" s="62">
        <v>428316</v>
      </c>
      <c r="J63" s="62">
        <v>468439</v>
      </c>
      <c r="K63" s="62">
        <v>483689</v>
      </c>
      <c r="L63" s="62">
        <v>442354</v>
      </c>
      <c r="M63" s="62">
        <v>165078</v>
      </c>
      <c r="N63" s="9" cm="1">
        <f t="array" ref="N63">SUM((H63:L63)/5)</f>
        <v>460910.39999999997</v>
      </c>
      <c r="O63" s="10">
        <v>461000</v>
      </c>
      <c r="P63" s="23"/>
      <c r="Q63" s="28">
        <v>9.2100000000000009</v>
      </c>
      <c r="R63" s="28">
        <v>20.03</v>
      </c>
      <c r="S63" s="29">
        <v>0</v>
      </c>
      <c r="T63" s="29">
        <v>0</v>
      </c>
      <c r="U63" s="30">
        <f t="shared" si="0"/>
        <v>138300</v>
      </c>
      <c r="V63" s="30">
        <f t="shared" si="1"/>
        <v>322700</v>
      </c>
      <c r="W63" s="23"/>
      <c r="X63" s="30">
        <v>2.1040000000000001</v>
      </c>
      <c r="Y63" s="30">
        <v>8.5960000000000001</v>
      </c>
      <c r="Z63" s="31">
        <f t="shared" si="2"/>
        <v>13.3238</v>
      </c>
      <c r="AA63" s="23"/>
      <c r="AB63" s="30">
        <v>365</v>
      </c>
      <c r="AC63" s="32">
        <f t="shared" si="3"/>
        <v>3665.49</v>
      </c>
      <c r="AD63" s="32">
        <f t="shared" si="4"/>
        <v>3900.64</v>
      </c>
      <c r="AE63" s="32">
        <f t="shared" si="5"/>
        <v>11888.27</v>
      </c>
      <c r="AF63" s="32">
        <f t="shared" si="5"/>
        <v>42995.9</v>
      </c>
      <c r="AG63" s="32"/>
      <c r="AH63" s="32"/>
      <c r="AI63" s="33">
        <f t="shared" si="6"/>
        <v>62450.3</v>
      </c>
      <c r="AJ63" s="32"/>
      <c r="AK63" s="33"/>
      <c r="AL63" s="23"/>
    </row>
    <row r="64" spans="1:38" x14ac:dyDescent="0.3">
      <c r="A64" s="64"/>
      <c r="B64" s="64"/>
      <c r="C64" s="73" t="s">
        <v>22</v>
      </c>
      <c r="D64" s="26" t="s">
        <v>49</v>
      </c>
      <c r="E64" s="7" t="s">
        <v>1</v>
      </c>
      <c r="G64" s="23"/>
      <c r="H64" s="62">
        <v>338020</v>
      </c>
      <c r="I64" s="62">
        <v>401130</v>
      </c>
      <c r="J64" s="62">
        <v>395547</v>
      </c>
      <c r="K64" s="62">
        <v>366943</v>
      </c>
      <c r="L64" s="62">
        <v>417693</v>
      </c>
      <c r="M64" s="62">
        <v>131795</v>
      </c>
      <c r="N64" s="9" cm="1">
        <f t="array" ref="N64">SUM((H64:L64)/5)</f>
        <v>383866.6</v>
      </c>
      <c r="O64" s="10">
        <v>385000</v>
      </c>
      <c r="P64" s="23"/>
      <c r="Q64" s="28">
        <v>8.35</v>
      </c>
      <c r="R64" s="28">
        <v>18.05</v>
      </c>
      <c r="S64" s="29">
        <v>0</v>
      </c>
      <c r="T64" s="29">
        <v>0</v>
      </c>
      <c r="U64" s="30">
        <f t="shared" si="0"/>
        <v>115500</v>
      </c>
      <c r="V64" s="30">
        <f t="shared" si="1"/>
        <v>269500</v>
      </c>
      <c r="W64" s="23"/>
      <c r="X64" s="30">
        <v>2.1040000000000001</v>
      </c>
      <c r="Y64" s="30">
        <v>8.5960000000000001</v>
      </c>
      <c r="Z64" s="31">
        <f t="shared" si="2"/>
        <v>13.3238</v>
      </c>
      <c r="AA64" s="23"/>
      <c r="AB64" s="30">
        <v>365</v>
      </c>
      <c r="AC64" s="32">
        <f t="shared" si="3"/>
        <v>3303.15</v>
      </c>
      <c r="AD64" s="32">
        <f t="shared" si="4"/>
        <v>3515.06</v>
      </c>
      <c r="AE64" s="32">
        <f t="shared" si="5"/>
        <v>9928.3799999999992</v>
      </c>
      <c r="AF64" s="32">
        <f t="shared" si="5"/>
        <v>35907.64</v>
      </c>
      <c r="AG64" s="32"/>
      <c r="AH64" s="32"/>
      <c r="AI64" s="33">
        <f t="shared" si="6"/>
        <v>52654.229999999996</v>
      </c>
      <c r="AJ64" s="32"/>
      <c r="AK64" s="33"/>
      <c r="AL64" s="23"/>
    </row>
    <row r="65" spans="1:38" x14ac:dyDescent="0.3">
      <c r="A65" s="64"/>
      <c r="B65" s="64"/>
      <c r="C65" s="73" t="s">
        <v>23</v>
      </c>
      <c r="D65" s="26" t="s">
        <v>49</v>
      </c>
      <c r="E65" s="7" t="s">
        <v>1</v>
      </c>
      <c r="G65" s="23"/>
      <c r="H65" s="62">
        <v>266741</v>
      </c>
      <c r="I65" s="62">
        <v>105684</v>
      </c>
      <c r="J65" s="62">
        <v>402908</v>
      </c>
      <c r="K65" s="62">
        <v>403474</v>
      </c>
      <c r="L65" s="62">
        <v>270912</v>
      </c>
      <c r="M65" s="62">
        <v>151355</v>
      </c>
      <c r="N65" s="9" cm="1">
        <f t="array" ref="N65">SUM((H65:L65)/5)</f>
        <v>289943.80000000005</v>
      </c>
      <c r="O65" s="10">
        <v>325000</v>
      </c>
      <c r="P65" s="23"/>
      <c r="Q65" s="28">
        <v>8.89</v>
      </c>
      <c r="R65" s="28">
        <v>28.99</v>
      </c>
      <c r="S65" s="29">
        <v>0</v>
      </c>
      <c r="T65" s="29">
        <v>0</v>
      </c>
      <c r="U65" s="30">
        <f t="shared" si="0"/>
        <v>97500</v>
      </c>
      <c r="V65" s="30">
        <f t="shared" si="1"/>
        <v>227500</v>
      </c>
      <c r="W65" s="23"/>
      <c r="X65" s="30">
        <v>2.1040000000000001</v>
      </c>
      <c r="Y65" s="30">
        <v>8.5960000000000001</v>
      </c>
      <c r="Z65" s="31">
        <f t="shared" si="2"/>
        <v>13.3238</v>
      </c>
      <c r="AA65" s="23"/>
      <c r="AB65" s="30">
        <v>365</v>
      </c>
      <c r="AC65" s="32">
        <f t="shared" si="3"/>
        <v>5305.17</v>
      </c>
      <c r="AD65" s="32">
        <f t="shared" si="4"/>
        <v>5645.51</v>
      </c>
      <c r="AE65" s="32">
        <f t="shared" si="5"/>
        <v>8381.1</v>
      </c>
      <c r="AF65" s="32">
        <f t="shared" si="5"/>
        <v>30311.65</v>
      </c>
      <c r="AG65" s="32"/>
      <c r="AH65" s="32"/>
      <c r="AI65" s="33">
        <f t="shared" si="6"/>
        <v>49643.43</v>
      </c>
      <c r="AJ65" s="32"/>
      <c r="AK65" s="33"/>
      <c r="AL65" s="23"/>
    </row>
    <row r="66" spans="1:38" x14ac:dyDescent="0.3">
      <c r="A66" s="64"/>
      <c r="B66" s="64"/>
      <c r="C66" s="73" t="s">
        <v>27</v>
      </c>
      <c r="D66" s="26" t="s">
        <v>49</v>
      </c>
      <c r="E66" s="7" t="s">
        <v>1</v>
      </c>
      <c r="G66" s="23"/>
      <c r="H66" s="62">
        <v>297100</v>
      </c>
      <c r="I66" s="62">
        <v>121524</v>
      </c>
      <c r="J66" s="62">
        <v>0</v>
      </c>
      <c r="K66" s="62">
        <v>0</v>
      </c>
      <c r="L66" s="62">
        <v>1471802</v>
      </c>
      <c r="M66" s="62">
        <v>53715</v>
      </c>
      <c r="N66" s="9" cm="1">
        <f t="array" ref="N66">SUM((H66:L66)/5)</f>
        <v>378085.2</v>
      </c>
      <c r="O66" s="10">
        <v>380000</v>
      </c>
      <c r="P66" s="23"/>
      <c r="Q66" s="28">
        <v>4.18</v>
      </c>
      <c r="R66" s="28">
        <v>29.93</v>
      </c>
      <c r="S66" s="29">
        <v>0</v>
      </c>
      <c r="T66" s="29">
        <v>0</v>
      </c>
      <c r="U66" s="30">
        <f t="shared" si="0"/>
        <v>114000</v>
      </c>
      <c r="V66" s="30">
        <f t="shared" si="1"/>
        <v>266000</v>
      </c>
      <c r="W66" s="23"/>
      <c r="X66" s="30">
        <v>2.1040000000000001</v>
      </c>
      <c r="Y66" s="30">
        <v>8.5960000000000001</v>
      </c>
      <c r="Z66" s="31">
        <f t="shared" si="2"/>
        <v>13.3238</v>
      </c>
      <c r="AA66" s="23"/>
      <c r="AB66" s="30">
        <v>365</v>
      </c>
      <c r="AC66" s="32">
        <f t="shared" si="3"/>
        <v>5477.19</v>
      </c>
      <c r="AD66" s="32">
        <f t="shared" si="4"/>
        <v>5828.57</v>
      </c>
      <c r="AE66" s="32">
        <f t="shared" si="5"/>
        <v>9799.44</v>
      </c>
      <c r="AF66" s="32">
        <f t="shared" si="5"/>
        <v>35441.31</v>
      </c>
      <c r="AG66" s="32"/>
      <c r="AH66" s="32"/>
      <c r="AI66" s="33">
        <f t="shared" si="6"/>
        <v>56546.509999999995</v>
      </c>
      <c r="AJ66" s="32"/>
      <c r="AK66" s="33"/>
      <c r="AL66" s="23"/>
    </row>
    <row r="67" spans="1:38" x14ac:dyDescent="0.3">
      <c r="A67" s="64"/>
      <c r="B67" s="64"/>
      <c r="C67" s="73" t="s">
        <v>24</v>
      </c>
      <c r="D67" s="26" t="s">
        <v>49</v>
      </c>
      <c r="E67" s="7" t="s">
        <v>1</v>
      </c>
      <c r="G67" s="23"/>
      <c r="H67" s="62">
        <v>451683</v>
      </c>
      <c r="I67" s="62">
        <v>417026</v>
      </c>
      <c r="J67" s="62">
        <v>396597</v>
      </c>
      <c r="K67" s="62">
        <v>398875</v>
      </c>
      <c r="L67" s="62">
        <v>347621</v>
      </c>
      <c r="M67" s="62">
        <v>180734</v>
      </c>
      <c r="N67" s="9" cm="1">
        <f t="array" ref="N67">SUM((H67:L67)/5)</f>
        <v>402360.39999999997</v>
      </c>
      <c r="O67" s="10">
        <v>402000</v>
      </c>
      <c r="P67" s="23"/>
      <c r="Q67" s="28">
        <v>8.3000000000000007</v>
      </c>
      <c r="R67" s="28">
        <v>17.13</v>
      </c>
      <c r="S67" s="29">
        <v>0</v>
      </c>
      <c r="T67" s="29">
        <v>0</v>
      </c>
      <c r="U67" s="30">
        <f t="shared" si="0"/>
        <v>120600</v>
      </c>
      <c r="V67" s="30">
        <f t="shared" si="1"/>
        <v>281400</v>
      </c>
      <c r="W67" s="23"/>
      <c r="X67" s="30">
        <v>2.1040000000000001</v>
      </c>
      <c r="Y67" s="30">
        <v>8.5960000000000001</v>
      </c>
      <c r="Z67" s="31">
        <f t="shared" si="2"/>
        <v>13.3238</v>
      </c>
      <c r="AA67" s="23"/>
      <c r="AB67" s="30">
        <v>365</v>
      </c>
      <c r="AC67" s="32">
        <f t="shared" si="3"/>
        <v>3134.79</v>
      </c>
      <c r="AD67" s="32">
        <f t="shared" si="4"/>
        <v>3335.9</v>
      </c>
      <c r="AE67" s="32">
        <f t="shared" si="5"/>
        <v>10366.780000000001</v>
      </c>
      <c r="AF67" s="32">
        <f t="shared" si="5"/>
        <v>37493.17</v>
      </c>
      <c r="AG67" s="32"/>
      <c r="AH67" s="32"/>
      <c r="AI67" s="33">
        <f t="shared" si="6"/>
        <v>54330.64</v>
      </c>
      <c r="AJ67" s="32"/>
      <c r="AK67" s="33"/>
      <c r="AL67" s="23"/>
    </row>
    <row r="68" spans="1:38" x14ac:dyDescent="0.3">
      <c r="A68" s="64"/>
      <c r="B68" s="64"/>
      <c r="C68" s="73" t="s">
        <v>114</v>
      </c>
      <c r="D68" s="26" t="s">
        <v>49</v>
      </c>
      <c r="E68" s="7" t="s">
        <v>1</v>
      </c>
      <c r="G68" s="23"/>
      <c r="H68" s="62">
        <v>507188</v>
      </c>
      <c r="I68" s="62">
        <v>464624</v>
      </c>
      <c r="J68" s="62">
        <v>500851</v>
      </c>
      <c r="K68" s="62">
        <v>596995</v>
      </c>
      <c r="L68" s="62">
        <v>420755</v>
      </c>
      <c r="M68" s="62">
        <v>125974</v>
      </c>
      <c r="N68" s="9" cm="1">
        <f t="array" ref="N68">SUM((H68:L68)/5)</f>
        <v>498082.60000000003</v>
      </c>
      <c r="O68" s="10">
        <v>498000</v>
      </c>
      <c r="P68" s="23"/>
      <c r="Q68" s="28">
        <v>10.029999999999999</v>
      </c>
      <c r="R68" s="28">
        <v>20.69</v>
      </c>
      <c r="S68" s="29">
        <v>0</v>
      </c>
      <c r="T68" s="29">
        <v>0</v>
      </c>
      <c r="U68" s="30">
        <f t="shared" si="0"/>
        <v>149400</v>
      </c>
      <c r="V68" s="30">
        <f t="shared" si="1"/>
        <v>348600</v>
      </c>
      <c r="W68" s="23"/>
      <c r="X68" s="30">
        <v>2.1040000000000001</v>
      </c>
      <c r="Y68" s="30">
        <v>8.5960000000000001</v>
      </c>
      <c r="Z68" s="31">
        <f t="shared" si="2"/>
        <v>13.3238</v>
      </c>
      <c r="AA68" s="23"/>
      <c r="AB68" s="30">
        <v>365</v>
      </c>
      <c r="AC68" s="32">
        <f t="shared" si="3"/>
        <v>3786.27</v>
      </c>
      <c r="AD68" s="32">
        <f t="shared" si="4"/>
        <v>4029.17</v>
      </c>
      <c r="AE68" s="32">
        <f t="shared" si="5"/>
        <v>12842.42</v>
      </c>
      <c r="AF68" s="32">
        <f t="shared" si="5"/>
        <v>46446.77</v>
      </c>
      <c r="AG68" s="32"/>
      <c r="AH68" s="32"/>
      <c r="AI68" s="33">
        <f t="shared" si="6"/>
        <v>67104.63</v>
      </c>
      <c r="AJ68" s="32"/>
      <c r="AK68" s="33"/>
      <c r="AL68" s="23"/>
    </row>
    <row r="69" spans="1:38" x14ac:dyDescent="0.3">
      <c r="A69" s="64"/>
      <c r="B69" s="64"/>
      <c r="C69" s="73" t="s">
        <v>26</v>
      </c>
      <c r="D69" s="26" t="s">
        <v>49</v>
      </c>
      <c r="E69" s="7" t="s">
        <v>1</v>
      </c>
      <c r="G69" s="23"/>
      <c r="H69" s="62">
        <v>483764</v>
      </c>
      <c r="I69" s="62">
        <v>403361</v>
      </c>
      <c r="J69" s="62">
        <v>481587</v>
      </c>
      <c r="K69" s="62">
        <v>526891</v>
      </c>
      <c r="L69" s="62">
        <v>584829</v>
      </c>
      <c r="M69" s="62">
        <v>372845</v>
      </c>
      <c r="N69" s="9" cm="1">
        <f t="array" ref="N69">SUM((H69:L69)/5)</f>
        <v>496086.4</v>
      </c>
      <c r="O69" s="10">
        <v>496000</v>
      </c>
      <c r="P69" s="23"/>
      <c r="Q69" s="28">
        <v>10.94</v>
      </c>
      <c r="R69" s="28">
        <v>25.37</v>
      </c>
      <c r="S69" s="29">
        <v>0</v>
      </c>
      <c r="T69" s="29">
        <v>0</v>
      </c>
      <c r="U69" s="30">
        <f t="shared" si="0"/>
        <v>148800</v>
      </c>
      <c r="V69" s="30">
        <f t="shared" si="1"/>
        <v>347200</v>
      </c>
      <c r="W69" s="23"/>
      <c r="X69" s="30">
        <v>2.1040000000000001</v>
      </c>
      <c r="Y69" s="30">
        <v>8.5960000000000001</v>
      </c>
      <c r="Z69" s="31">
        <f t="shared" si="2"/>
        <v>13.3238</v>
      </c>
      <c r="AA69" s="23"/>
      <c r="AB69" s="30">
        <v>365</v>
      </c>
      <c r="AC69" s="32">
        <f t="shared" si="3"/>
        <v>4642.71</v>
      </c>
      <c r="AD69" s="32">
        <f t="shared" si="4"/>
        <v>4940.55</v>
      </c>
      <c r="AE69" s="32">
        <f t="shared" si="5"/>
        <v>12790.85</v>
      </c>
      <c r="AF69" s="32">
        <f t="shared" si="5"/>
        <v>46260.23</v>
      </c>
      <c r="AG69" s="32"/>
      <c r="AH69" s="32"/>
      <c r="AI69" s="33">
        <f t="shared" si="6"/>
        <v>68634.34</v>
      </c>
      <c r="AJ69" s="32"/>
      <c r="AK69" s="33"/>
      <c r="AL69" s="23"/>
    </row>
    <row r="70" spans="1:38" x14ac:dyDescent="0.3">
      <c r="A70" s="64"/>
      <c r="B70" s="64"/>
      <c r="C70" s="73" t="s">
        <v>8</v>
      </c>
      <c r="D70" s="26" t="s">
        <v>49</v>
      </c>
      <c r="E70" s="7" t="s">
        <v>1</v>
      </c>
      <c r="G70" s="23"/>
      <c r="H70" s="62">
        <v>553358</v>
      </c>
      <c r="I70" s="62">
        <v>407291</v>
      </c>
      <c r="J70" s="62">
        <v>565190</v>
      </c>
      <c r="K70" s="62">
        <v>607048</v>
      </c>
      <c r="L70" s="62">
        <v>498825</v>
      </c>
      <c r="M70" s="62">
        <v>158158</v>
      </c>
      <c r="N70" s="9" cm="1">
        <f t="array" ref="N70">SUM((H70:L70)/5)</f>
        <v>526342.40000000002</v>
      </c>
      <c r="O70" s="10">
        <v>525000</v>
      </c>
      <c r="P70" s="23"/>
      <c r="Q70" s="28">
        <v>12.27</v>
      </c>
      <c r="R70" s="28">
        <v>23.3</v>
      </c>
      <c r="S70" s="29">
        <v>0</v>
      </c>
      <c r="T70" s="29">
        <v>0</v>
      </c>
      <c r="U70" s="30">
        <f t="shared" si="0"/>
        <v>157500</v>
      </c>
      <c r="V70" s="30">
        <f t="shared" si="1"/>
        <v>367500</v>
      </c>
      <c r="W70" s="23"/>
      <c r="X70" s="30">
        <v>2.1040000000000001</v>
      </c>
      <c r="Y70" s="30">
        <v>8.5960000000000001</v>
      </c>
      <c r="Z70" s="31">
        <f t="shared" si="2"/>
        <v>13.3238</v>
      </c>
      <c r="AA70" s="23"/>
      <c r="AB70" s="30">
        <v>365</v>
      </c>
      <c r="AC70" s="32">
        <f t="shared" si="3"/>
        <v>4263.8999999999996</v>
      </c>
      <c r="AD70" s="32">
        <f t="shared" si="4"/>
        <v>4537.4399999999996</v>
      </c>
      <c r="AE70" s="32">
        <f t="shared" si="5"/>
        <v>13538.7</v>
      </c>
      <c r="AF70" s="32">
        <f t="shared" si="5"/>
        <v>48964.97</v>
      </c>
      <c r="AG70" s="32"/>
      <c r="AH70" s="32"/>
      <c r="AI70" s="33">
        <f t="shared" si="6"/>
        <v>71305.010000000009</v>
      </c>
      <c r="AJ70" s="32"/>
      <c r="AK70" s="33"/>
      <c r="AL70" s="23"/>
    </row>
    <row r="71" spans="1:38" x14ac:dyDescent="0.3">
      <c r="A71" s="64"/>
      <c r="B71" s="64"/>
      <c r="C71" s="64"/>
      <c r="G71" s="23"/>
      <c r="H71" s="62"/>
      <c r="I71" s="62"/>
      <c r="J71" s="62"/>
      <c r="K71" s="62"/>
      <c r="L71" s="62"/>
      <c r="M71" s="62"/>
      <c r="P71" s="23"/>
      <c r="Q71" s="28"/>
      <c r="R71" s="28"/>
      <c r="S71" s="28"/>
      <c r="T71" s="28"/>
      <c r="U71" s="30"/>
      <c r="V71" s="30"/>
      <c r="W71" s="23"/>
      <c r="X71" s="30"/>
      <c r="Y71" s="30"/>
      <c r="Z71" s="31"/>
      <c r="AA71" s="23"/>
      <c r="AB71" s="30"/>
      <c r="AC71" s="32"/>
      <c r="AD71" s="32"/>
      <c r="AE71" s="32"/>
      <c r="AF71" s="32"/>
      <c r="AG71" s="32"/>
      <c r="AH71" s="32"/>
      <c r="AI71" s="33"/>
      <c r="AJ71" s="32"/>
      <c r="AK71" s="33"/>
      <c r="AL71" s="23"/>
    </row>
    <row r="72" spans="1:38" x14ac:dyDescent="0.3">
      <c r="A72" s="64"/>
      <c r="B72" s="64"/>
      <c r="C72" s="64"/>
      <c r="G72" s="23"/>
      <c r="H72" s="62"/>
      <c r="I72" s="62"/>
      <c r="J72" s="62"/>
      <c r="K72" s="62"/>
      <c r="L72" s="62"/>
      <c r="M72" s="62"/>
      <c r="P72" s="23"/>
      <c r="Q72" s="28"/>
      <c r="R72" s="28"/>
      <c r="S72" s="28"/>
      <c r="T72" s="28"/>
      <c r="U72" s="30"/>
      <c r="V72" s="30"/>
      <c r="W72" s="23"/>
      <c r="X72" s="30"/>
      <c r="Y72" s="30"/>
      <c r="Z72" s="31"/>
      <c r="AA72" s="23"/>
      <c r="AB72" s="30"/>
      <c r="AC72" s="32"/>
      <c r="AD72" s="32"/>
      <c r="AE72" s="32"/>
      <c r="AF72" s="32"/>
      <c r="AG72" s="32"/>
      <c r="AH72" s="32"/>
      <c r="AI72" s="33"/>
      <c r="AJ72" s="32"/>
      <c r="AK72" s="33"/>
      <c r="AL72" s="23"/>
    </row>
    <row r="73" spans="1:38" x14ac:dyDescent="0.3">
      <c r="A73" s="64"/>
      <c r="B73" s="64"/>
      <c r="C73" s="64"/>
      <c r="G73" s="23"/>
      <c r="H73" s="10"/>
      <c r="I73" s="10"/>
      <c r="J73" s="10"/>
      <c r="K73" s="10"/>
      <c r="L73" s="10"/>
      <c r="M73" s="10"/>
      <c r="P73" s="23"/>
      <c r="Q73" s="28"/>
      <c r="R73" s="28"/>
      <c r="S73" s="28"/>
      <c r="T73" s="28"/>
      <c r="U73" s="30"/>
      <c r="V73" s="30"/>
      <c r="W73" s="23"/>
      <c r="X73" s="30"/>
      <c r="Y73" s="30"/>
      <c r="Z73" s="31"/>
      <c r="AA73" s="23"/>
      <c r="AB73" s="30"/>
      <c r="AC73" s="32"/>
      <c r="AD73" s="32"/>
      <c r="AE73" s="32"/>
      <c r="AF73" s="32"/>
      <c r="AG73" s="32"/>
      <c r="AH73" s="32"/>
      <c r="AI73" s="33"/>
      <c r="AJ73" s="32"/>
      <c r="AK73" s="33"/>
      <c r="AL73" s="23"/>
    </row>
    <row r="74" spans="1:38" x14ac:dyDescent="0.3">
      <c r="A74" s="64"/>
      <c r="B74" s="64"/>
      <c r="C74" s="64"/>
      <c r="G74" s="23"/>
      <c r="H74" s="10"/>
      <c r="I74" s="10"/>
      <c r="J74" s="10"/>
      <c r="K74" s="10"/>
      <c r="L74" s="10"/>
      <c r="M74" s="10"/>
      <c r="P74" s="23"/>
      <c r="Q74" s="28"/>
      <c r="R74" s="28"/>
      <c r="S74" s="28"/>
      <c r="T74" s="28"/>
      <c r="U74" s="30"/>
      <c r="V74" s="30"/>
      <c r="W74" s="23"/>
      <c r="X74" s="30"/>
      <c r="Y74" s="30"/>
      <c r="Z74" s="31"/>
      <c r="AA74" s="23"/>
      <c r="AB74" s="30"/>
      <c r="AC74" s="32"/>
      <c r="AD74" s="32"/>
      <c r="AE74" s="32"/>
      <c r="AF74" s="32"/>
      <c r="AG74" s="32"/>
      <c r="AH74" s="32"/>
      <c r="AI74" s="33"/>
      <c r="AJ74" s="32"/>
      <c r="AK74" s="33"/>
      <c r="AL74" s="23"/>
    </row>
    <row r="75" spans="1:38" x14ac:dyDescent="0.3">
      <c r="A75" s="64"/>
      <c r="B75" s="64"/>
      <c r="C75" s="64"/>
      <c r="G75" s="23"/>
      <c r="H75" s="10"/>
      <c r="I75" s="10"/>
      <c r="J75" s="10"/>
      <c r="K75" s="10"/>
      <c r="L75" s="10"/>
      <c r="M75" s="10"/>
      <c r="P75" s="23"/>
      <c r="Q75" s="28"/>
      <c r="R75" s="28"/>
      <c r="S75" s="28"/>
      <c r="T75" s="28"/>
      <c r="U75" s="30"/>
      <c r="V75" s="30"/>
      <c r="W75" s="23"/>
      <c r="X75" s="30"/>
      <c r="Y75" s="30"/>
      <c r="Z75" s="31"/>
      <c r="AA75" s="23"/>
      <c r="AB75" s="30"/>
      <c r="AC75" s="32"/>
      <c r="AD75" s="32"/>
      <c r="AE75" s="32"/>
      <c r="AF75" s="32"/>
      <c r="AG75" s="32"/>
      <c r="AH75" s="32"/>
      <c r="AI75" s="33"/>
      <c r="AJ75" s="32"/>
      <c r="AK75" s="33"/>
      <c r="AL75" s="23"/>
    </row>
    <row r="76" spans="1:38" x14ac:dyDescent="0.3">
      <c r="A76" s="64"/>
      <c r="B76" s="64"/>
      <c r="C76" s="64"/>
      <c r="G76" s="23"/>
      <c r="H76" s="10"/>
      <c r="I76" s="10"/>
      <c r="J76" s="10"/>
      <c r="K76" s="10"/>
      <c r="L76" s="10"/>
      <c r="M76" s="10"/>
      <c r="P76" s="23"/>
      <c r="Q76" s="28"/>
      <c r="R76" s="28"/>
      <c r="S76" s="28"/>
      <c r="T76" s="28"/>
      <c r="U76" s="30"/>
      <c r="V76" s="30"/>
      <c r="W76" s="23"/>
      <c r="X76" s="30"/>
      <c r="Y76" s="30"/>
      <c r="Z76" s="31"/>
      <c r="AA76" s="23"/>
      <c r="AB76" s="30"/>
      <c r="AC76" s="32"/>
      <c r="AD76" s="32"/>
      <c r="AE76" s="32"/>
      <c r="AF76" s="32"/>
      <c r="AG76" s="32"/>
      <c r="AH76" s="32"/>
      <c r="AI76" s="33"/>
      <c r="AJ76" s="32"/>
      <c r="AK76" s="33"/>
      <c r="AL76" s="23"/>
    </row>
    <row r="77" spans="1:38" x14ac:dyDescent="0.3">
      <c r="A77" s="64"/>
      <c r="B77" s="64"/>
      <c r="C77" s="64"/>
      <c r="G77" s="23"/>
      <c r="H77" s="10"/>
      <c r="I77" s="10"/>
      <c r="J77" s="10"/>
      <c r="K77" s="10"/>
      <c r="L77" s="10"/>
      <c r="M77" s="10"/>
      <c r="P77" s="23"/>
      <c r="Q77" s="28"/>
      <c r="R77" s="28"/>
      <c r="S77" s="28"/>
      <c r="T77" s="28"/>
      <c r="U77" s="30"/>
      <c r="V77" s="30"/>
      <c r="W77" s="23"/>
      <c r="X77" s="30"/>
      <c r="Y77" s="30"/>
      <c r="Z77" s="31"/>
      <c r="AA77" s="23"/>
      <c r="AB77" s="30"/>
      <c r="AC77" s="32"/>
      <c r="AD77" s="32"/>
      <c r="AE77" s="32"/>
      <c r="AF77" s="32"/>
      <c r="AG77" s="32"/>
      <c r="AH77" s="32"/>
      <c r="AI77" s="33"/>
      <c r="AJ77" s="32"/>
      <c r="AK77" s="33"/>
      <c r="AL77" s="23"/>
    </row>
    <row r="78" spans="1:38" x14ac:dyDescent="0.3">
      <c r="A78" s="64"/>
      <c r="B78" s="64"/>
      <c r="C78" s="64"/>
      <c r="G78" s="23"/>
      <c r="H78" s="10"/>
      <c r="I78" s="10"/>
      <c r="J78" s="10"/>
      <c r="K78" s="10"/>
      <c r="L78" s="10"/>
      <c r="M78" s="10"/>
      <c r="P78" s="23"/>
      <c r="Q78" s="28"/>
      <c r="R78" s="28"/>
      <c r="S78" s="28"/>
      <c r="T78" s="28"/>
      <c r="U78" s="30"/>
      <c r="V78" s="30"/>
      <c r="W78" s="23"/>
      <c r="X78" s="30"/>
      <c r="Y78" s="30"/>
      <c r="Z78" s="31"/>
      <c r="AA78" s="23"/>
      <c r="AB78" s="30"/>
      <c r="AC78" s="32"/>
      <c r="AD78" s="32"/>
      <c r="AE78" s="32"/>
      <c r="AF78" s="32"/>
      <c r="AG78" s="32"/>
      <c r="AH78" s="32"/>
      <c r="AI78" s="33"/>
      <c r="AJ78" s="32"/>
      <c r="AK78" s="33"/>
      <c r="AL78" s="23"/>
    </row>
    <row r="79" spans="1:38" x14ac:dyDescent="0.3">
      <c r="A79" s="64"/>
      <c r="B79" s="64"/>
      <c r="C79" s="64"/>
      <c r="G79" s="23"/>
      <c r="H79" s="10"/>
      <c r="I79" s="10"/>
      <c r="J79" s="10"/>
      <c r="K79" s="10"/>
      <c r="L79" s="10"/>
      <c r="M79" s="10"/>
      <c r="P79" s="23"/>
      <c r="Q79" s="28"/>
      <c r="R79" s="28"/>
      <c r="S79" s="28"/>
      <c r="T79" s="28"/>
      <c r="U79" s="30"/>
      <c r="V79" s="30"/>
      <c r="W79" s="23"/>
      <c r="X79" s="30"/>
      <c r="Y79" s="30"/>
      <c r="Z79" s="31"/>
      <c r="AA79" s="23"/>
      <c r="AB79" s="30"/>
      <c r="AC79" s="32"/>
      <c r="AD79" s="32"/>
      <c r="AE79" s="32"/>
      <c r="AF79" s="32"/>
      <c r="AG79" s="32"/>
      <c r="AH79" s="32"/>
      <c r="AI79" s="33"/>
      <c r="AJ79" s="32"/>
      <c r="AK79" s="33"/>
      <c r="AL79" s="23"/>
    </row>
    <row r="80" spans="1:38" x14ac:dyDescent="0.3">
      <c r="A80" s="64"/>
      <c r="B80" s="64"/>
      <c r="C80" s="64"/>
      <c r="G80" s="23"/>
      <c r="P80" s="23"/>
      <c r="Q80" s="28"/>
      <c r="R80" s="28"/>
      <c r="S80" s="28"/>
      <c r="T80" s="28"/>
      <c r="U80" s="30"/>
      <c r="V80" s="30"/>
      <c r="W80" s="23"/>
      <c r="X80" s="30"/>
      <c r="Y80" s="30"/>
      <c r="Z80" s="31"/>
      <c r="AA80" s="23"/>
      <c r="AB80" s="30"/>
      <c r="AC80" s="32"/>
      <c r="AD80" s="32"/>
      <c r="AE80" s="32"/>
      <c r="AF80" s="32"/>
      <c r="AG80" s="32"/>
      <c r="AH80" s="32"/>
      <c r="AI80" s="33"/>
      <c r="AJ80" s="32"/>
      <c r="AK80" s="33"/>
      <c r="AL80" s="23"/>
    </row>
    <row r="81" spans="1:38" x14ac:dyDescent="0.3">
      <c r="A81" s="64"/>
      <c r="B81" s="64"/>
      <c r="C81" s="64"/>
      <c r="G81" s="23"/>
      <c r="P81" s="23"/>
      <c r="Q81" s="28"/>
      <c r="R81" s="28"/>
      <c r="S81" s="28"/>
      <c r="T81" s="28"/>
      <c r="U81" s="30"/>
      <c r="V81" s="30"/>
      <c r="W81" s="23"/>
      <c r="X81" s="30"/>
      <c r="Y81" s="30"/>
      <c r="Z81" s="31"/>
      <c r="AA81" s="23"/>
      <c r="AB81" s="30"/>
      <c r="AC81" s="32"/>
      <c r="AD81" s="32"/>
      <c r="AE81" s="32"/>
      <c r="AF81" s="32"/>
      <c r="AG81" s="32"/>
      <c r="AH81" s="32"/>
      <c r="AI81" s="33"/>
      <c r="AJ81" s="32"/>
      <c r="AK81" s="33"/>
      <c r="AL81" s="23"/>
    </row>
    <row r="82" spans="1:38" x14ac:dyDescent="0.3">
      <c r="G82" s="23"/>
      <c r="P82" s="23"/>
      <c r="Q82" s="28"/>
      <c r="R82" s="28"/>
      <c r="S82" s="28"/>
      <c r="T82" s="28"/>
      <c r="U82" s="30"/>
      <c r="V82" s="30"/>
      <c r="W82" s="23"/>
      <c r="X82" s="30"/>
      <c r="Y82" s="30"/>
      <c r="Z82" s="31"/>
      <c r="AA82" s="23"/>
      <c r="AB82" s="30"/>
      <c r="AC82" s="32"/>
      <c r="AD82" s="32"/>
      <c r="AE82" s="32"/>
      <c r="AF82" s="32"/>
      <c r="AG82" s="32"/>
      <c r="AH82" s="32"/>
      <c r="AI82" s="33"/>
      <c r="AJ82" s="32"/>
      <c r="AK82" s="33"/>
      <c r="AL82" s="23"/>
    </row>
    <row r="83" spans="1:38" x14ac:dyDescent="0.3">
      <c r="G83" s="23"/>
      <c r="P83" s="23"/>
      <c r="Q83" s="28"/>
      <c r="R83" s="28"/>
      <c r="S83" s="28"/>
      <c r="T83" s="28"/>
      <c r="U83" s="30"/>
      <c r="V83" s="30"/>
      <c r="W83" s="23"/>
      <c r="X83" s="30"/>
      <c r="Y83" s="30"/>
      <c r="Z83" s="31"/>
      <c r="AA83" s="23"/>
      <c r="AB83" s="30"/>
      <c r="AC83" s="32"/>
      <c r="AD83" s="32"/>
      <c r="AE83" s="32"/>
      <c r="AF83" s="32"/>
      <c r="AG83" s="32"/>
      <c r="AH83" s="32"/>
      <c r="AI83" s="33"/>
      <c r="AJ83" s="32"/>
      <c r="AK83" s="33"/>
      <c r="AL83" s="23"/>
    </row>
    <row r="84" spans="1:38" x14ac:dyDescent="0.3">
      <c r="G84" s="23"/>
      <c r="P84" s="23"/>
      <c r="Q84" s="28"/>
      <c r="R84" s="28"/>
      <c r="S84" s="28"/>
      <c r="T84" s="28"/>
      <c r="U84" s="30"/>
      <c r="V84" s="30"/>
      <c r="W84" s="23"/>
      <c r="X84" s="30"/>
      <c r="Y84" s="30"/>
      <c r="Z84" s="31"/>
      <c r="AA84" s="23"/>
      <c r="AB84" s="30"/>
      <c r="AC84" s="32"/>
      <c r="AD84" s="32"/>
      <c r="AE84" s="32"/>
      <c r="AF84" s="32"/>
      <c r="AG84" s="32"/>
      <c r="AH84" s="32"/>
      <c r="AI84" s="33"/>
      <c r="AJ84" s="32"/>
      <c r="AK84" s="33"/>
      <c r="AL84" s="23"/>
    </row>
    <row r="85" spans="1:38" x14ac:dyDescent="0.3">
      <c r="G85" s="23"/>
      <c r="P85" s="23"/>
      <c r="Q85" s="28"/>
      <c r="R85" s="28"/>
      <c r="S85" s="28"/>
      <c r="T85" s="28"/>
      <c r="U85" s="30"/>
      <c r="V85" s="30"/>
      <c r="W85" s="23"/>
      <c r="X85" s="30"/>
      <c r="Y85" s="30"/>
      <c r="Z85" s="31"/>
      <c r="AA85" s="23"/>
      <c r="AB85" s="30"/>
      <c r="AC85" s="32"/>
      <c r="AD85" s="32"/>
      <c r="AE85" s="32"/>
      <c r="AF85" s="32"/>
      <c r="AG85" s="32"/>
      <c r="AH85" s="32"/>
      <c r="AI85" s="33"/>
      <c r="AJ85" s="32"/>
      <c r="AK85" s="33"/>
      <c r="AL85" s="23"/>
    </row>
    <row r="86" spans="1:38" x14ac:dyDescent="0.3">
      <c r="G86" s="23"/>
      <c r="P86" s="23"/>
      <c r="Q86" s="28"/>
      <c r="R86" s="28"/>
      <c r="S86" s="28"/>
      <c r="T86" s="28"/>
      <c r="U86" s="30"/>
      <c r="V86" s="30"/>
      <c r="W86" s="23"/>
      <c r="X86" s="30"/>
      <c r="Y86" s="30"/>
      <c r="Z86" s="31"/>
      <c r="AA86" s="23"/>
      <c r="AB86" s="30"/>
      <c r="AC86" s="32"/>
      <c r="AD86" s="32"/>
      <c r="AE86" s="32"/>
      <c r="AF86" s="32"/>
      <c r="AG86" s="32"/>
      <c r="AH86" s="32"/>
      <c r="AI86" s="33"/>
      <c r="AJ86" s="32"/>
      <c r="AK86" s="33"/>
      <c r="AL86" s="23"/>
    </row>
    <row r="87" spans="1:38" x14ac:dyDescent="0.3">
      <c r="G87" s="23"/>
      <c r="P87" s="23"/>
      <c r="Q87" s="28"/>
      <c r="R87" s="28"/>
      <c r="S87" s="28"/>
      <c r="T87" s="28"/>
      <c r="U87" s="30"/>
      <c r="V87" s="30"/>
      <c r="W87" s="23"/>
      <c r="X87" s="30"/>
      <c r="Y87" s="30"/>
      <c r="Z87" s="31"/>
      <c r="AA87" s="23"/>
      <c r="AB87" s="30"/>
      <c r="AC87" s="32"/>
      <c r="AD87" s="32"/>
      <c r="AE87" s="32"/>
      <c r="AF87" s="32"/>
      <c r="AG87" s="32"/>
      <c r="AH87" s="32"/>
      <c r="AI87" s="33"/>
      <c r="AJ87" s="32"/>
      <c r="AK87" s="33"/>
      <c r="AL87" s="23"/>
    </row>
    <row r="88" spans="1:38" x14ac:dyDescent="0.3">
      <c r="G88" s="23"/>
      <c r="P88" s="23"/>
      <c r="Q88" s="28"/>
      <c r="R88" s="28"/>
      <c r="S88" s="28"/>
      <c r="T88" s="28"/>
      <c r="U88" s="30"/>
      <c r="V88" s="30"/>
      <c r="W88" s="23"/>
      <c r="X88" s="30"/>
      <c r="Y88" s="30"/>
      <c r="Z88" s="31"/>
      <c r="AA88" s="23"/>
      <c r="AB88" s="30"/>
      <c r="AC88" s="32"/>
      <c r="AD88" s="32"/>
      <c r="AE88" s="32"/>
      <c r="AF88" s="32"/>
      <c r="AG88" s="32"/>
      <c r="AH88" s="32"/>
      <c r="AI88" s="33"/>
      <c r="AJ88" s="32"/>
      <c r="AK88" s="33"/>
      <c r="AL88" s="23"/>
    </row>
    <row r="89" spans="1:38" x14ac:dyDescent="0.3">
      <c r="G89" s="23"/>
      <c r="P89" s="23"/>
      <c r="Q89" s="28"/>
      <c r="R89" s="28"/>
      <c r="S89" s="28"/>
      <c r="T89" s="28"/>
      <c r="U89" s="30"/>
      <c r="V89" s="30"/>
      <c r="W89" s="23"/>
      <c r="X89" s="30"/>
      <c r="Y89" s="30"/>
      <c r="Z89" s="31"/>
      <c r="AA89" s="23"/>
      <c r="AB89" s="30"/>
      <c r="AC89" s="32"/>
      <c r="AD89" s="32"/>
      <c r="AE89" s="32"/>
      <c r="AF89" s="32"/>
      <c r="AG89" s="32"/>
      <c r="AH89" s="32"/>
      <c r="AI89" s="33"/>
      <c r="AJ89" s="32"/>
      <c r="AK89" s="33"/>
      <c r="AL89" s="23"/>
    </row>
    <row r="90" spans="1:38" x14ac:dyDescent="0.3">
      <c r="G90" s="23"/>
      <c r="P90" s="23"/>
      <c r="Q90" s="28"/>
      <c r="R90" s="28"/>
      <c r="S90" s="28"/>
      <c r="T90" s="28"/>
      <c r="U90" s="30"/>
      <c r="V90" s="30"/>
      <c r="W90" s="23"/>
      <c r="X90" s="30"/>
      <c r="Y90" s="30"/>
      <c r="Z90" s="31"/>
      <c r="AA90" s="23"/>
      <c r="AB90" s="30"/>
      <c r="AC90" s="32"/>
      <c r="AD90" s="32"/>
      <c r="AE90" s="32"/>
      <c r="AF90" s="32"/>
      <c r="AG90" s="32"/>
      <c r="AH90" s="32"/>
      <c r="AI90" s="33"/>
      <c r="AJ90" s="32"/>
      <c r="AK90" s="33"/>
      <c r="AL90" s="23"/>
    </row>
    <row r="91" spans="1:38" x14ac:dyDescent="0.3">
      <c r="G91" s="23"/>
      <c r="P91" s="23"/>
      <c r="Q91" s="28"/>
      <c r="R91" s="28"/>
      <c r="S91" s="28"/>
      <c r="T91" s="28"/>
      <c r="U91" s="30"/>
      <c r="V91" s="30"/>
      <c r="W91" s="23"/>
      <c r="X91" s="30"/>
      <c r="Y91" s="30"/>
      <c r="Z91" s="31"/>
      <c r="AA91" s="23"/>
      <c r="AB91" s="30"/>
      <c r="AC91" s="32"/>
      <c r="AD91" s="32"/>
      <c r="AE91" s="32"/>
      <c r="AF91" s="32"/>
      <c r="AG91" s="32"/>
      <c r="AH91" s="32"/>
      <c r="AI91" s="33"/>
      <c r="AJ91" s="32"/>
      <c r="AK91" s="33"/>
      <c r="AL91" s="23"/>
    </row>
    <row r="92" spans="1:38" x14ac:dyDescent="0.3">
      <c r="G92" s="23"/>
      <c r="P92" s="23"/>
      <c r="Q92" s="28"/>
      <c r="R92" s="28"/>
      <c r="S92" s="28"/>
      <c r="T92" s="28"/>
      <c r="U92" s="30"/>
      <c r="V92" s="30"/>
      <c r="W92" s="23"/>
      <c r="X92" s="30"/>
      <c r="Y92" s="30"/>
      <c r="Z92" s="31"/>
      <c r="AA92" s="23"/>
      <c r="AB92" s="30"/>
      <c r="AC92" s="32"/>
      <c r="AD92" s="32"/>
      <c r="AE92" s="32"/>
      <c r="AF92" s="32"/>
      <c r="AG92" s="32"/>
      <c r="AH92" s="32"/>
      <c r="AI92" s="33"/>
      <c r="AJ92" s="32"/>
      <c r="AK92" s="33"/>
      <c r="AL92" s="23"/>
    </row>
    <row r="93" spans="1:38" x14ac:dyDescent="0.3">
      <c r="G93" s="23"/>
      <c r="P93" s="23"/>
      <c r="Q93" s="28"/>
      <c r="R93" s="28"/>
      <c r="S93" s="28"/>
      <c r="T93" s="28"/>
      <c r="U93" s="30"/>
      <c r="V93" s="30"/>
      <c r="W93" s="23"/>
      <c r="X93" s="30"/>
      <c r="Y93" s="30"/>
      <c r="Z93" s="31"/>
      <c r="AA93" s="23"/>
      <c r="AB93" s="30"/>
      <c r="AC93" s="32"/>
      <c r="AD93" s="32"/>
      <c r="AE93" s="32"/>
      <c r="AF93" s="32"/>
      <c r="AG93" s="32"/>
      <c r="AH93" s="32"/>
      <c r="AI93" s="33"/>
      <c r="AJ93" s="32"/>
      <c r="AK93" s="33"/>
      <c r="AL93" s="23"/>
    </row>
    <row r="94" spans="1:38" x14ac:dyDescent="0.3">
      <c r="G94" s="23"/>
      <c r="P94" s="23"/>
      <c r="Q94" s="28"/>
      <c r="R94" s="28"/>
      <c r="S94" s="28"/>
      <c r="T94" s="28"/>
      <c r="U94" s="30"/>
      <c r="V94" s="30"/>
      <c r="W94" s="23"/>
      <c r="X94" s="30"/>
      <c r="Y94" s="30"/>
      <c r="Z94" s="31"/>
      <c r="AA94" s="23"/>
      <c r="AB94" s="30"/>
      <c r="AC94" s="32"/>
      <c r="AD94" s="32"/>
      <c r="AE94" s="32"/>
      <c r="AF94" s="32"/>
      <c r="AG94" s="32"/>
      <c r="AH94" s="32"/>
      <c r="AI94" s="33"/>
      <c r="AJ94" s="32"/>
      <c r="AK94" s="33"/>
      <c r="AL94" s="23"/>
    </row>
    <row r="95" spans="1:38" x14ac:dyDescent="0.3">
      <c r="G95" s="23"/>
      <c r="P95" s="23"/>
      <c r="Q95" s="28"/>
      <c r="R95" s="28"/>
      <c r="S95" s="28"/>
      <c r="T95" s="28"/>
      <c r="U95" s="30"/>
      <c r="V95" s="30"/>
      <c r="W95" s="23"/>
      <c r="X95" s="30"/>
      <c r="Y95" s="30"/>
      <c r="Z95" s="31"/>
      <c r="AA95" s="23"/>
      <c r="AB95" s="30"/>
      <c r="AC95" s="32"/>
      <c r="AD95" s="32"/>
      <c r="AE95" s="32"/>
      <c r="AF95" s="32"/>
      <c r="AG95" s="32"/>
      <c r="AH95" s="32"/>
      <c r="AI95" s="33"/>
      <c r="AJ95" s="32"/>
      <c r="AK95" s="33"/>
      <c r="AL95" s="23"/>
    </row>
    <row r="96" spans="1:38" x14ac:dyDescent="0.3">
      <c r="G96" s="23"/>
      <c r="P96" s="23"/>
      <c r="Q96" s="28"/>
      <c r="R96" s="28"/>
      <c r="S96" s="28"/>
      <c r="T96" s="28"/>
      <c r="U96" s="30"/>
      <c r="V96" s="30"/>
      <c r="W96" s="23"/>
      <c r="X96" s="30"/>
      <c r="Y96" s="30"/>
      <c r="Z96" s="31"/>
      <c r="AA96" s="23"/>
      <c r="AB96" s="30"/>
      <c r="AC96" s="32"/>
      <c r="AD96" s="32"/>
      <c r="AE96" s="32"/>
      <c r="AF96" s="32"/>
      <c r="AG96" s="32"/>
      <c r="AH96" s="32"/>
      <c r="AI96" s="33"/>
      <c r="AJ96" s="32"/>
      <c r="AK96" s="33"/>
      <c r="AL96" s="23"/>
    </row>
    <row r="97" spans="1:38" x14ac:dyDescent="0.3">
      <c r="G97" s="23"/>
      <c r="P97" s="23"/>
      <c r="Q97" s="28"/>
      <c r="R97" s="28"/>
      <c r="S97" s="28"/>
      <c r="T97" s="28"/>
      <c r="U97" s="30"/>
      <c r="V97" s="30"/>
      <c r="W97" s="23"/>
      <c r="X97" s="30"/>
      <c r="Y97" s="30"/>
      <c r="Z97" s="31"/>
      <c r="AA97" s="23"/>
      <c r="AB97" s="30"/>
      <c r="AC97" s="32"/>
      <c r="AD97" s="32"/>
      <c r="AE97" s="32"/>
      <c r="AF97" s="32"/>
      <c r="AG97" s="32"/>
      <c r="AH97" s="32"/>
      <c r="AI97" s="33"/>
      <c r="AJ97" s="32"/>
      <c r="AK97" s="33"/>
      <c r="AL97" s="23"/>
    </row>
    <row r="98" spans="1:38" x14ac:dyDescent="0.3">
      <c r="G98" s="23"/>
      <c r="P98" s="23"/>
      <c r="Q98" s="28"/>
      <c r="R98" s="28"/>
      <c r="S98" s="28"/>
      <c r="T98" s="28"/>
      <c r="U98" s="30"/>
      <c r="V98" s="30"/>
      <c r="W98" s="23"/>
      <c r="X98" s="30"/>
      <c r="Y98" s="30"/>
      <c r="Z98" s="31"/>
      <c r="AA98" s="23"/>
      <c r="AB98" s="30"/>
      <c r="AC98" s="32"/>
      <c r="AD98" s="32"/>
      <c r="AE98" s="32"/>
      <c r="AF98" s="32"/>
      <c r="AG98" s="32"/>
      <c r="AH98" s="32"/>
      <c r="AI98" s="33"/>
      <c r="AJ98" s="32"/>
      <c r="AK98" s="33"/>
      <c r="AL98" s="23"/>
    </row>
    <row r="99" spans="1:38" x14ac:dyDescent="0.3">
      <c r="G99" s="23"/>
      <c r="P99" s="23"/>
      <c r="Q99" s="28"/>
      <c r="R99" s="28"/>
      <c r="S99" s="28"/>
      <c r="T99" s="28"/>
      <c r="U99" s="30"/>
      <c r="V99" s="30"/>
      <c r="W99" s="23"/>
      <c r="X99" s="30"/>
      <c r="Y99" s="30"/>
      <c r="Z99" s="31"/>
      <c r="AA99" s="23"/>
      <c r="AB99" s="30"/>
      <c r="AC99" s="32"/>
      <c r="AD99" s="32"/>
      <c r="AE99" s="32"/>
      <c r="AF99" s="32"/>
      <c r="AG99" s="32"/>
      <c r="AH99" s="32"/>
      <c r="AI99" s="33"/>
      <c r="AJ99" s="32"/>
      <c r="AK99" s="33"/>
      <c r="AL99" s="23"/>
    </row>
    <row r="100" spans="1:38" x14ac:dyDescent="0.3">
      <c r="A100" s="6"/>
      <c r="B100" s="6"/>
      <c r="C100" s="6"/>
      <c r="D100" s="6"/>
      <c r="E100" s="6"/>
      <c r="F100" s="6"/>
      <c r="G100" s="23"/>
      <c r="H100" s="35"/>
      <c r="I100" s="35"/>
      <c r="J100" s="35"/>
      <c r="K100" s="35"/>
      <c r="L100" s="35"/>
      <c r="M100" s="36"/>
      <c r="N100" s="37"/>
      <c r="O100" s="38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39"/>
      <c r="AF100" s="39"/>
      <c r="AG100" s="6"/>
      <c r="AH100" s="6"/>
      <c r="AI100" s="20"/>
      <c r="AJ100" s="6"/>
      <c r="AK100" s="6"/>
      <c r="AL100" s="6"/>
    </row>
    <row r="102" spans="1:38" x14ac:dyDescent="0.3">
      <c r="AI102" s="40"/>
    </row>
  </sheetData>
  <sheetProtection algorithmName="SHA-512" hashValue="us2HilcEWxdlVY40vwg2HfZGaSKVNebbXj5awlBW6Y/cauE833i/xEQZzMTSAoNFV3rwGfwaBQTvxkGCmIQeWQ==" saltValue="0COsSwc3EMxEP5kHi9FxSA==" spinCount="100000" sheet="1" objects="1" scenarios="1" formatColumns="0" autoFilter="0"/>
  <mergeCells count="38">
    <mergeCell ref="AG6:AG7"/>
    <mergeCell ref="AH6:AH7"/>
    <mergeCell ref="AI6:AI7"/>
    <mergeCell ref="AJ6:AJ7"/>
    <mergeCell ref="AK6:AK7"/>
    <mergeCell ref="F6:F7"/>
    <mergeCell ref="N6:N7"/>
    <mergeCell ref="AF6:AF7"/>
    <mergeCell ref="O6:O7"/>
    <mergeCell ref="Q6:R6"/>
    <mergeCell ref="S6:T6"/>
    <mergeCell ref="U6:V6"/>
    <mergeCell ref="X6:X7"/>
    <mergeCell ref="Y6:Y7"/>
    <mergeCell ref="Z6:Z7"/>
    <mergeCell ref="AB6:AB7"/>
    <mergeCell ref="AC6:AC7"/>
    <mergeCell ref="AD6:AD7"/>
    <mergeCell ref="AE6:AE7"/>
    <mergeCell ref="A6:A7"/>
    <mergeCell ref="B6:B7"/>
    <mergeCell ref="C6:C7"/>
    <mergeCell ref="D6:D7"/>
    <mergeCell ref="E6:E7"/>
    <mergeCell ref="R4:S4"/>
    <mergeCell ref="T4:U4"/>
    <mergeCell ref="Q1:V1"/>
    <mergeCell ref="X1:Z1"/>
    <mergeCell ref="AB1:AK1"/>
    <mergeCell ref="AB3:AD3"/>
    <mergeCell ref="AE3:AF3"/>
    <mergeCell ref="H2:O3"/>
    <mergeCell ref="R2:S2"/>
    <mergeCell ref="T2:U2"/>
    <mergeCell ref="X2:Z2"/>
    <mergeCell ref="R3:S3"/>
    <mergeCell ref="T3:U3"/>
    <mergeCell ref="X3:Y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A53F5-92EA-4A8F-B254-E3B7610AB278}">
  <sheetPr>
    <tabColor rgb="FF00FF00"/>
  </sheetPr>
  <dimension ref="A1:BL219"/>
  <sheetViews>
    <sheetView zoomScaleNormal="100" workbookViewId="0">
      <pane xSplit="3" ySplit="6" topLeftCell="E7" activePane="bottomRight" state="frozen"/>
      <selection pane="topRight"/>
      <selection pane="bottomLeft"/>
      <selection pane="bottomRight" activeCell="C7" sqref="C7"/>
    </sheetView>
  </sheetViews>
  <sheetFormatPr defaultColWidth="7.08984375" defaultRowHeight="15.6" x14ac:dyDescent="0.3"/>
  <cols>
    <col min="1" max="1" width="10.453125" style="150" hidden="1" customWidth="1"/>
    <col min="2" max="2" width="7.08984375" style="150" hidden="1" customWidth="1"/>
    <col min="3" max="3" width="60.1796875" style="150" customWidth="1"/>
    <col min="4" max="4" width="10.36328125" style="150" hidden="1" customWidth="1"/>
    <col min="5" max="6" width="12.81640625" style="210" customWidth="1"/>
    <col min="7" max="7" width="1.90625" style="150" customWidth="1"/>
    <col min="8" max="12" width="12.1796875" style="210" customWidth="1"/>
    <col min="13" max="13" width="12.1796875" style="143" customWidth="1"/>
    <col min="14" max="14" width="12.1796875" style="144" customWidth="1"/>
    <col min="15" max="16" width="12.1796875" style="145" customWidth="1"/>
    <col min="17" max="17" width="1.90625" style="150" customWidth="1"/>
    <col min="18" max="18" width="10.1796875" style="150" customWidth="1"/>
    <col min="19" max="20" width="12.1796875" style="211" customWidth="1"/>
    <col min="21" max="22" width="12.1796875" style="150" customWidth="1"/>
    <col min="23" max="23" width="2.36328125" style="150" customWidth="1"/>
    <col min="24" max="24" width="13.453125" style="150" customWidth="1"/>
    <col min="25" max="26" width="14.08984375" style="150" customWidth="1"/>
    <col min="27" max="27" width="13.08984375" style="150" customWidth="1"/>
    <col min="28" max="28" width="2.54296875" style="150" customWidth="1"/>
    <col min="29" max="29" width="11.453125" style="150" customWidth="1"/>
    <col min="30" max="33" width="12.1796875" style="150" customWidth="1"/>
    <col min="34" max="34" width="14.54296875" style="150" customWidth="1"/>
    <col min="35" max="35" width="14.453125" style="150" customWidth="1"/>
    <col min="36" max="36" width="12.1796875" style="150" customWidth="1"/>
    <col min="37" max="37" width="1.90625" style="150" customWidth="1"/>
    <col min="38" max="61" width="12.1796875" style="149" customWidth="1"/>
    <col min="62" max="64" width="7.08984375" style="149"/>
    <col min="65" max="16384" width="7.08984375" style="150"/>
  </cols>
  <sheetData>
    <row r="1" spans="1:64" ht="15.75" customHeight="1" x14ac:dyDescent="0.3">
      <c r="A1" s="140"/>
      <c r="B1" s="140"/>
      <c r="C1" s="140"/>
      <c r="D1" s="140"/>
      <c r="E1" s="141"/>
      <c r="F1" s="141"/>
      <c r="G1" s="142"/>
      <c r="H1" s="141"/>
      <c r="I1" s="141"/>
      <c r="J1" s="141"/>
      <c r="K1" s="141"/>
      <c r="L1" s="141"/>
      <c r="Q1" s="142"/>
      <c r="R1" s="140"/>
      <c r="S1" s="146"/>
      <c r="T1" s="146"/>
      <c r="U1" s="147"/>
      <c r="V1" s="147"/>
      <c r="W1" s="142"/>
      <c r="X1" s="277" t="s">
        <v>56</v>
      </c>
      <c r="Y1" s="277"/>
      <c r="Z1" s="277"/>
      <c r="AA1" s="277"/>
      <c r="AB1" s="142"/>
      <c r="AC1" s="140"/>
      <c r="AD1" s="278" t="s">
        <v>389</v>
      </c>
      <c r="AE1" s="278"/>
      <c r="AF1" s="278"/>
      <c r="AG1" s="278"/>
      <c r="AH1" s="278"/>
      <c r="AI1" s="278"/>
      <c r="AJ1" s="278"/>
      <c r="AK1" s="142"/>
      <c r="AL1" s="148"/>
      <c r="AM1" s="148"/>
      <c r="AN1" s="148"/>
      <c r="AO1" s="148"/>
      <c r="AP1" s="148"/>
      <c r="AQ1" s="148"/>
      <c r="AR1" s="148"/>
      <c r="AS1" s="148"/>
      <c r="AT1" s="148"/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  <c r="BJ1" s="148"/>
    </row>
    <row r="2" spans="1:64" ht="18" customHeight="1" x14ac:dyDescent="0.3">
      <c r="A2" s="140"/>
      <c r="B2" s="140"/>
      <c r="C2" s="151" t="s">
        <v>58</v>
      </c>
      <c r="D2" s="140"/>
      <c r="E2" s="141"/>
      <c r="F2" s="141"/>
      <c r="G2" s="142"/>
      <c r="H2" s="279" t="s">
        <v>390</v>
      </c>
      <c r="I2" s="279"/>
      <c r="J2" s="279"/>
      <c r="K2" s="279"/>
      <c r="L2" s="279"/>
      <c r="M2" s="279"/>
      <c r="N2" s="279"/>
      <c r="O2" s="279"/>
      <c r="P2" s="152"/>
      <c r="Q2" s="142"/>
      <c r="R2" s="280" t="s">
        <v>391</v>
      </c>
      <c r="S2" s="280"/>
      <c r="T2" s="280"/>
      <c r="U2" s="280"/>
      <c r="V2" s="280"/>
      <c r="W2" s="142"/>
      <c r="X2" s="281" t="s">
        <v>392</v>
      </c>
      <c r="Y2" s="281"/>
      <c r="Z2" s="281"/>
      <c r="AA2" s="281"/>
      <c r="AB2" s="142"/>
      <c r="AC2" s="140"/>
      <c r="AD2" s="140"/>
      <c r="AE2" s="140"/>
      <c r="AF2" s="140"/>
      <c r="AG2" s="140"/>
      <c r="AH2" s="140"/>
      <c r="AI2" s="140"/>
      <c r="AJ2" s="140"/>
      <c r="AK2" s="142"/>
      <c r="AL2" s="148"/>
      <c r="AM2" s="148"/>
      <c r="AN2" s="148"/>
      <c r="AO2" s="148"/>
      <c r="AP2" s="148"/>
      <c r="AQ2" s="148"/>
      <c r="AR2" s="148"/>
      <c r="AS2" s="148"/>
      <c r="AT2" s="148"/>
      <c r="AU2" s="148"/>
      <c r="AV2" s="148"/>
      <c r="AW2" s="148"/>
      <c r="AX2" s="148"/>
      <c r="AY2" s="148"/>
      <c r="AZ2" s="148"/>
      <c r="BA2" s="148"/>
      <c r="BB2" s="148"/>
      <c r="BC2" s="148"/>
      <c r="BD2" s="148"/>
      <c r="BE2" s="148"/>
      <c r="BF2" s="148"/>
      <c r="BG2" s="148"/>
      <c r="BH2" s="148"/>
      <c r="BI2" s="148"/>
      <c r="BJ2" s="148"/>
    </row>
    <row r="3" spans="1:64" ht="18" customHeight="1" x14ac:dyDescent="0.3">
      <c r="A3" s="153"/>
      <c r="B3" s="140"/>
      <c r="C3" s="151"/>
      <c r="D3" s="140"/>
      <c r="E3" s="141"/>
      <c r="F3" s="141"/>
      <c r="G3" s="142"/>
      <c r="H3" s="279"/>
      <c r="I3" s="279"/>
      <c r="J3" s="279"/>
      <c r="K3" s="279"/>
      <c r="L3" s="279"/>
      <c r="M3" s="279"/>
      <c r="N3" s="279"/>
      <c r="O3" s="279"/>
      <c r="P3" s="152"/>
      <c r="Q3" s="142"/>
      <c r="R3" s="280"/>
      <c r="S3" s="280"/>
      <c r="T3" s="280"/>
      <c r="U3" s="280"/>
      <c r="V3" s="280"/>
      <c r="W3" s="142"/>
      <c r="X3" s="154" t="s">
        <v>393</v>
      </c>
      <c r="Y3" s="154"/>
      <c r="Z3" s="155"/>
      <c r="AA3" s="156">
        <v>0.2</v>
      </c>
      <c r="AB3" s="142"/>
      <c r="AC3" s="140"/>
      <c r="AD3" s="278" t="s">
        <v>65</v>
      </c>
      <c r="AE3" s="278"/>
      <c r="AF3" s="278"/>
      <c r="AG3" s="278"/>
      <c r="AH3" s="282" t="s">
        <v>394</v>
      </c>
      <c r="AI3" s="282"/>
      <c r="AJ3" s="157">
        <f>SUBTOTAL(9,AJ7:AJ200)</f>
        <v>156741.11450000003</v>
      </c>
      <c r="AK3" s="142"/>
      <c r="AL3" s="148"/>
      <c r="AM3" s="148"/>
      <c r="AN3" s="148"/>
      <c r="AO3" s="148"/>
      <c r="AP3" s="148"/>
      <c r="AQ3" s="148"/>
      <c r="AR3" s="148"/>
      <c r="AS3" s="148"/>
      <c r="AT3" s="148"/>
      <c r="AU3" s="148"/>
      <c r="AV3" s="148"/>
      <c r="AW3" s="148"/>
      <c r="AX3" s="148"/>
      <c r="AY3" s="148"/>
      <c r="AZ3" s="148"/>
      <c r="BA3" s="148"/>
      <c r="BB3" s="148"/>
      <c r="BC3" s="148"/>
      <c r="BD3" s="148"/>
      <c r="BE3" s="148"/>
      <c r="BF3" s="148"/>
      <c r="BG3" s="148"/>
      <c r="BH3" s="148"/>
      <c r="BI3" s="148"/>
      <c r="BJ3" s="148"/>
    </row>
    <row r="4" spans="1:64" s="166" customFormat="1" ht="15.75" customHeight="1" x14ac:dyDescent="0.3">
      <c r="A4" s="158"/>
      <c r="B4" s="154"/>
      <c r="C4" s="154"/>
      <c r="D4" s="154"/>
      <c r="E4" s="159"/>
      <c r="F4" s="159"/>
      <c r="G4" s="160"/>
      <c r="H4" s="159"/>
      <c r="I4" s="159"/>
      <c r="J4" s="159"/>
      <c r="K4" s="159"/>
      <c r="L4" s="159"/>
      <c r="M4" s="145"/>
      <c r="N4" s="161"/>
      <c r="O4" s="145"/>
      <c r="P4" s="145"/>
      <c r="Q4" s="160"/>
      <c r="R4" s="154"/>
      <c r="S4" s="162"/>
      <c r="T4" s="162"/>
      <c r="U4" s="154"/>
      <c r="V4" s="154"/>
      <c r="W4" s="160"/>
      <c r="X4" s="163" t="s">
        <v>716</v>
      </c>
      <c r="Y4" s="154"/>
      <c r="Z4" s="154"/>
      <c r="AA4" s="154"/>
      <c r="AB4" s="160"/>
      <c r="AC4" s="154" t="s">
        <v>418</v>
      </c>
      <c r="AD4" s="154"/>
      <c r="AE4" s="154"/>
      <c r="AF4" s="154"/>
      <c r="AG4" s="154"/>
      <c r="AH4" s="154"/>
      <c r="AI4" s="154"/>
      <c r="AJ4" s="154"/>
      <c r="AK4" s="160"/>
      <c r="AL4" s="271"/>
      <c r="AM4" s="271"/>
      <c r="AN4" s="271"/>
      <c r="AO4" s="271"/>
      <c r="AP4" s="271"/>
      <c r="AQ4" s="271"/>
      <c r="AR4" s="271"/>
      <c r="AS4" s="271"/>
      <c r="AT4" s="271"/>
      <c r="AU4" s="271"/>
      <c r="AV4" s="271"/>
      <c r="AW4" s="271"/>
      <c r="AX4" s="271"/>
      <c r="AY4" s="271"/>
      <c r="AZ4" s="271"/>
      <c r="BA4" s="271"/>
      <c r="BB4" s="271"/>
      <c r="BC4" s="271"/>
      <c r="BD4" s="271"/>
      <c r="BE4" s="271"/>
      <c r="BF4" s="271"/>
      <c r="BG4" s="271"/>
      <c r="BH4" s="271"/>
      <c r="BI4" s="271"/>
      <c r="BJ4" s="164"/>
      <c r="BK4" s="165"/>
      <c r="BL4" s="165"/>
    </row>
    <row r="5" spans="1:64" s="173" customFormat="1" ht="31.5" customHeight="1" x14ac:dyDescent="0.25">
      <c r="A5" s="270" t="s">
        <v>69</v>
      </c>
      <c r="B5" s="270" t="s">
        <v>70</v>
      </c>
      <c r="C5" s="270" t="s">
        <v>738</v>
      </c>
      <c r="D5" s="270" t="s">
        <v>71</v>
      </c>
      <c r="E5" s="270" t="s">
        <v>395</v>
      </c>
      <c r="F5" s="270" t="s">
        <v>396</v>
      </c>
      <c r="G5" s="167"/>
      <c r="H5" s="168" t="s">
        <v>74</v>
      </c>
      <c r="I5" s="168" t="s">
        <v>75</v>
      </c>
      <c r="J5" s="168" t="s">
        <v>76</v>
      </c>
      <c r="K5" s="168" t="s">
        <v>77</v>
      </c>
      <c r="L5" s="168" t="s">
        <v>78</v>
      </c>
      <c r="M5" s="169" t="s">
        <v>79</v>
      </c>
      <c r="N5" s="272" t="s">
        <v>397</v>
      </c>
      <c r="O5" s="273" t="s">
        <v>398</v>
      </c>
      <c r="P5" s="273" t="s">
        <v>399</v>
      </c>
      <c r="Q5" s="167"/>
      <c r="R5" s="274" t="s">
        <v>400</v>
      </c>
      <c r="S5" s="275" t="s">
        <v>65</v>
      </c>
      <c r="T5" s="275"/>
      <c r="U5" s="266" t="s">
        <v>66</v>
      </c>
      <c r="V5" s="266"/>
      <c r="W5" s="167"/>
      <c r="X5" s="276" t="s">
        <v>401</v>
      </c>
      <c r="Y5" s="276" t="s">
        <v>402</v>
      </c>
      <c r="Z5" s="276" t="s">
        <v>403</v>
      </c>
      <c r="AA5" s="276" t="s">
        <v>404</v>
      </c>
      <c r="AB5" s="167"/>
      <c r="AC5" s="266" t="s">
        <v>405</v>
      </c>
      <c r="AD5" s="170" t="s">
        <v>406</v>
      </c>
      <c r="AE5" s="170" t="s">
        <v>407</v>
      </c>
      <c r="AF5" s="170" t="s">
        <v>406</v>
      </c>
      <c r="AG5" s="170" t="s">
        <v>407</v>
      </c>
      <c r="AH5" s="268" t="s">
        <v>408</v>
      </c>
      <c r="AI5" s="268" t="s">
        <v>409</v>
      </c>
      <c r="AJ5" s="269" t="s">
        <v>92</v>
      </c>
      <c r="AK5" s="167"/>
      <c r="AL5" s="171"/>
      <c r="AM5" s="171"/>
      <c r="AN5" s="171"/>
      <c r="AO5" s="171"/>
      <c r="AP5" s="171"/>
      <c r="AQ5" s="171"/>
      <c r="AR5" s="171"/>
      <c r="AS5" s="171"/>
      <c r="AT5" s="171"/>
      <c r="AU5" s="171"/>
      <c r="AV5" s="171"/>
      <c r="AW5" s="171"/>
      <c r="AX5" s="171"/>
      <c r="AY5" s="171"/>
      <c r="AZ5" s="171"/>
      <c r="BA5" s="171"/>
      <c r="BB5" s="171"/>
      <c r="BC5" s="171"/>
      <c r="BD5" s="171"/>
      <c r="BE5" s="171"/>
      <c r="BF5" s="171"/>
      <c r="BG5" s="171"/>
      <c r="BH5" s="171"/>
      <c r="BI5" s="171"/>
      <c r="BJ5" s="171"/>
      <c r="BK5" s="172"/>
      <c r="BL5" s="172"/>
    </row>
    <row r="6" spans="1:64" s="173" customFormat="1" ht="28.5" customHeight="1" x14ac:dyDescent="0.25">
      <c r="A6" s="270"/>
      <c r="B6" s="270"/>
      <c r="C6" s="270"/>
      <c r="D6" s="270"/>
      <c r="E6" s="270"/>
      <c r="F6" s="270"/>
      <c r="G6" s="167"/>
      <c r="H6" s="168" t="s">
        <v>93</v>
      </c>
      <c r="I6" s="168" t="s">
        <v>94</v>
      </c>
      <c r="J6" s="168" t="s">
        <v>95</v>
      </c>
      <c r="K6" s="168" t="s">
        <v>419</v>
      </c>
      <c r="L6" s="168" t="s">
        <v>419</v>
      </c>
      <c r="M6" s="169" t="s">
        <v>98</v>
      </c>
      <c r="N6" s="272"/>
      <c r="O6" s="273"/>
      <c r="P6" s="273"/>
      <c r="Q6" s="167"/>
      <c r="R6" s="274"/>
      <c r="S6" s="174" t="s">
        <v>2</v>
      </c>
      <c r="T6" s="174" t="s">
        <v>410</v>
      </c>
      <c r="U6" s="175" t="s">
        <v>2</v>
      </c>
      <c r="V6" s="175" t="s">
        <v>410</v>
      </c>
      <c r="W6" s="167"/>
      <c r="X6" s="276"/>
      <c r="Y6" s="276"/>
      <c r="Z6" s="276"/>
      <c r="AA6" s="276"/>
      <c r="AB6" s="167"/>
      <c r="AC6" s="266"/>
      <c r="AD6" s="176" t="s">
        <v>411</v>
      </c>
      <c r="AE6" s="176" t="s">
        <v>411</v>
      </c>
      <c r="AF6" s="170" t="s">
        <v>412</v>
      </c>
      <c r="AG6" s="170" t="s">
        <v>412</v>
      </c>
      <c r="AH6" s="268"/>
      <c r="AI6" s="268"/>
      <c r="AJ6" s="269"/>
      <c r="AK6" s="167"/>
      <c r="AL6" s="267"/>
      <c r="AM6" s="267"/>
      <c r="AN6" s="267"/>
      <c r="AO6" s="267"/>
      <c r="AP6" s="267"/>
      <c r="AQ6" s="267"/>
      <c r="AR6" s="267"/>
      <c r="AS6" s="267"/>
      <c r="AT6" s="267"/>
      <c r="AU6" s="267"/>
      <c r="AV6" s="267"/>
      <c r="AW6" s="267"/>
      <c r="AX6" s="267"/>
      <c r="AY6" s="267"/>
      <c r="AZ6" s="267"/>
      <c r="BA6" s="267"/>
      <c r="BB6" s="267"/>
      <c r="BC6" s="267"/>
      <c r="BD6" s="267"/>
      <c r="BE6" s="267"/>
      <c r="BF6" s="267"/>
      <c r="BG6" s="267"/>
      <c r="BH6" s="267"/>
      <c r="BI6" s="267"/>
      <c r="BJ6" s="171"/>
      <c r="BK6" s="172"/>
      <c r="BL6" s="172"/>
    </row>
    <row r="7" spans="1:64" x14ac:dyDescent="0.3">
      <c r="A7" s="148"/>
      <c r="B7" s="148"/>
      <c r="C7" s="73" t="s">
        <v>4</v>
      </c>
      <c r="D7" s="140"/>
      <c r="E7" s="141" t="s">
        <v>2</v>
      </c>
      <c r="F7" s="141" t="s">
        <v>413</v>
      </c>
      <c r="G7" s="167"/>
      <c r="H7" s="177">
        <v>3675</v>
      </c>
      <c r="I7" s="177">
        <v>3565</v>
      </c>
      <c r="J7" s="177">
        <v>4426</v>
      </c>
      <c r="K7" s="177">
        <v>3997</v>
      </c>
      <c r="L7" s="177">
        <v>2780</v>
      </c>
      <c r="M7" s="178">
        <v>2795</v>
      </c>
      <c r="N7" s="178" cm="1">
        <f t="array" ref="N7">SUM((H7:J7)/3)</f>
        <v>3888.6666666666661</v>
      </c>
      <c r="O7" s="179">
        <v>3900</v>
      </c>
      <c r="P7" s="179">
        <f>ROUND(O7*0.9,2)</f>
        <v>3510</v>
      </c>
      <c r="Q7" s="167"/>
      <c r="R7" s="180"/>
      <c r="S7" s="181"/>
      <c r="T7" s="181"/>
      <c r="U7" s="180"/>
      <c r="V7" s="180"/>
      <c r="W7" s="167"/>
      <c r="X7" s="182">
        <v>1.6306</v>
      </c>
      <c r="Y7" s="182">
        <v>1.8570199999999999</v>
      </c>
      <c r="Z7" s="182">
        <f>SUM(X7+X7*$AA$3)</f>
        <v>1.95672</v>
      </c>
      <c r="AA7" s="182">
        <f>SUM(Y7+Y7*$AA$3)</f>
        <v>2.228424</v>
      </c>
      <c r="AB7" s="167"/>
      <c r="AC7" s="183" t="s">
        <v>414</v>
      </c>
      <c r="AD7" s="184">
        <v>4.0999999999999996</v>
      </c>
      <c r="AE7" s="184">
        <v>9.83</v>
      </c>
      <c r="AF7" s="184">
        <f>ROUND(AD7*12,2)</f>
        <v>49.2</v>
      </c>
      <c r="AG7" s="184">
        <f>ROUND(AE7*12,2)</f>
        <v>117.96</v>
      </c>
      <c r="AH7" s="184">
        <f>IF(F7="Metered",ROUND(Z7*O7,2),ROUND(R7*Z7,2))</f>
        <v>7631.21</v>
      </c>
      <c r="AI7" s="185">
        <f>IF(F7="Metered",ROUND(AA7*P7,2),ROUND(R7*AA7,2))</f>
        <v>7821.77</v>
      </c>
      <c r="AJ7" s="186">
        <f>SUM(AF7:AI7)</f>
        <v>15620.14</v>
      </c>
      <c r="AK7" s="167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</row>
    <row r="8" spans="1:64" x14ac:dyDescent="0.3">
      <c r="A8" s="148"/>
      <c r="B8" s="148"/>
      <c r="C8" s="73" t="s">
        <v>105</v>
      </c>
      <c r="D8" s="140"/>
      <c r="E8" s="141" t="s">
        <v>2</v>
      </c>
      <c r="F8" s="141" t="s">
        <v>413</v>
      </c>
      <c r="G8" s="167"/>
      <c r="H8" s="177">
        <v>1794</v>
      </c>
      <c r="I8" s="177">
        <v>1957</v>
      </c>
      <c r="J8" s="177">
        <v>1695</v>
      </c>
      <c r="K8" s="177"/>
      <c r="L8" s="177"/>
      <c r="M8" s="178">
        <v>0</v>
      </c>
      <c r="N8" s="178" cm="1">
        <f t="array" ref="N8">SUM((H8:J8)/3)</f>
        <v>1815.3333333333335</v>
      </c>
      <c r="O8" s="179">
        <v>1800</v>
      </c>
      <c r="P8" s="179">
        <f t="shared" ref="P8:P57" si="0">ROUND(O8*0.9,2)</f>
        <v>1620</v>
      </c>
      <c r="Q8" s="167"/>
      <c r="R8" s="180"/>
      <c r="S8" s="181"/>
      <c r="T8" s="181"/>
      <c r="U8" s="180"/>
      <c r="V8" s="180"/>
      <c r="W8" s="167"/>
      <c r="X8" s="182">
        <v>1.6306</v>
      </c>
      <c r="Y8" s="182">
        <v>1.8570199999999999</v>
      </c>
      <c r="Z8" s="182">
        <f t="shared" ref="Z8:Z29" si="1">SUM(X8+X8*$AA$3)</f>
        <v>1.95672</v>
      </c>
      <c r="AA8" s="182">
        <f t="shared" ref="AA8:AA29" si="2">SUM(Y8+Y8*$AA$3)</f>
        <v>2.228424</v>
      </c>
      <c r="AB8" s="167"/>
      <c r="AC8" s="183" t="s">
        <v>414</v>
      </c>
      <c r="AD8" s="184">
        <v>4.0999999999999996</v>
      </c>
      <c r="AE8" s="184">
        <v>9.83</v>
      </c>
      <c r="AF8" s="184">
        <f t="shared" ref="AF8:AG8" si="3">ROUND(AD8*12,2)</f>
        <v>49.2</v>
      </c>
      <c r="AG8" s="184">
        <f t="shared" si="3"/>
        <v>117.96</v>
      </c>
      <c r="AH8" s="184">
        <f t="shared" ref="AH8:AH71" si="4">IF(F8="Metered",ROUND(Z8*O8,2),ROUND(R8*Z8,2))</f>
        <v>3522.1</v>
      </c>
      <c r="AI8" s="185">
        <f t="shared" ref="AI8:AI71" si="5">IF(F8="Metered",ROUND(AA8*P8,2),ROUND(R8*AA8,2))</f>
        <v>3610.05</v>
      </c>
      <c r="AJ8" s="186">
        <f t="shared" ref="AJ8:AJ71" si="6">SUM(AF8:AI8)</f>
        <v>7299.3099999999995</v>
      </c>
      <c r="AK8" s="167"/>
      <c r="AL8" s="148"/>
      <c r="AM8" s="148"/>
      <c r="AN8" s="148"/>
      <c r="AO8" s="148"/>
      <c r="AP8" s="148"/>
      <c r="AQ8" s="148"/>
      <c r="AR8" s="148"/>
      <c r="AS8" s="148"/>
      <c r="AT8" s="148"/>
      <c r="AU8" s="148"/>
      <c r="AV8" s="148"/>
      <c r="AW8" s="148"/>
      <c r="AX8" s="148"/>
      <c r="AY8" s="148"/>
      <c r="AZ8" s="148"/>
      <c r="BA8" s="148"/>
      <c r="BB8" s="148"/>
      <c r="BC8" s="148"/>
      <c r="BD8" s="148"/>
      <c r="BE8" s="148"/>
      <c r="BF8" s="148"/>
      <c r="BG8" s="148"/>
      <c r="BH8" s="148"/>
      <c r="BI8" s="148"/>
      <c r="BJ8" s="148"/>
    </row>
    <row r="9" spans="1:64" x14ac:dyDescent="0.3">
      <c r="A9" s="148"/>
      <c r="B9" s="148"/>
      <c r="C9" s="73" t="s">
        <v>356</v>
      </c>
      <c r="D9" s="140"/>
      <c r="E9" s="141" t="s">
        <v>2</v>
      </c>
      <c r="F9" s="141" t="s">
        <v>415</v>
      </c>
      <c r="G9" s="167"/>
      <c r="H9" s="177">
        <v>0</v>
      </c>
      <c r="I9" s="177">
        <v>638</v>
      </c>
      <c r="J9" s="177">
        <v>638</v>
      </c>
      <c r="K9" s="177">
        <v>638</v>
      </c>
      <c r="L9" s="177">
        <v>638</v>
      </c>
      <c r="M9" s="178">
        <v>638</v>
      </c>
      <c r="N9" s="178" cm="1">
        <f t="array" ref="N9">SUM((H9:J9)/3)</f>
        <v>425.33333333333331</v>
      </c>
      <c r="O9" s="179">
        <v>640</v>
      </c>
      <c r="P9" s="179">
        <f t="shared" si="0"/>
        <v>576</v>
      </c>
      <c r="Q9" s="167"/>
      <c r="R9" s="180">
        <v>638</v>
      </c>
      <c r="S9" s="181">
        <v>274.35000000000002</v>
      </c>
      <c r="T9" s="181">
        <v>307</v>
      </c>
      <c r="U9" s="180">
        <v>0.15579999999999999</v>
      </c>
      <c r="V9" s="180">
        <v>0.1583</v>
      </c>
      <c r="W9" s="167"/>
      <c r="X9" s="182">
        <v>0.15579999999999999</v>
      </c>
      <c r="Y9" s="182">
        <v>0.1583</v>
      </c>
      <c r="Z9" s="182">
        <f t="shared" si="1"/>
        <v>0.18695999999999999</v>
      </c>
      <c r="AA9" s="182">
        <f t="shared" si="2"/>
        <v>0.18995999999999999</v>
      </c>
      <c r="AB9" s="167"/>
      <c r="AC9" s="183" t="s">
        <v>416</v>
      </c>
      <c r="AD9" s="184">
        <v>0</v>
      </c>
      <c r="AE9" s="184">
        <v>0</v>
      </c>
      <c r="AF9" s="184">
        <v>274.35000000000002</v>
      </c>
      <c r="AG9" s="184">
        <v>307</v>
      </c>
      <c r="AH9" s="184">
        <f t="shared" si="4"/>
        <v>119.28</v>
      </c>
      <c r="AI9" s="185">
        <f t="shared" si="5"/>
        <v>121.19</v>
      </c>
      <c r="AJ9" s="186">
        <f t="shared" si="6"/>
        <v>821.81999999999994</v>
      </c>
      <c r="AK9" s="167"/>
      <c r="AL9" s="148"/>
      <c r="AM9" s="148"/>
      <c r="AN9" s="148"/>
      <c r="AO9" s="148"/>
      <c r="AP9" s="148"/>
      <c r="AQ9" s="148"/>
      <c r="AR9" s="148"/>
      <c r="AS9" s="148"/>
      <c r="AT9" s="148"/>
      <c r="AU9" s="148"/>
      <c r="AV9" s="148"/>
      <c r="AW9" s="148"/>
      <c r="AX9" s="148"/>
      <c r="AY9" s="148"/>
      <c r="AZ9" s="148"/>
      <c r="BA9" s="148"/>
      <c r="BB9" s="148"/>
      <c r="BC9" s="148"/>
      <c r="BD9" s="148"/>
      <c r="BE9" s="148"/>
      <c r="BF9" s="148"/>
      <c r="BG9" s="148"/>
      <c r="BH9" s="148"/>
      <c r="BI9" s="148"/>
      <c r="BJ9" s="148"/>
    </row>
    <row r="10" spans="1:64" x14ac:dyDescent="0.3">
      <c r="A10" s="148"/>
      <c r="B10" s="148"/>
      <c r="C10" s="73" t="s">
        <v>107</v>
      </c>
      <c r="D10" s="140"/>
      <c r="E10" s="141" t="s">
        <v>2</v>
      </c>
      <c r="F10" s="141" t="s">
        <v>415</v>
      </c>
      <c r="G10" s="167"/>
      <c r="H10" s="177">
        <v>0</v>
      </c>
      <c r="I10" s="177">
        <v>98</v>
      </c>
      <c r="J10" s="177">
        <v>0</v>
      </c>
      <c r="K10" s="177">
        <v>0</v>
      </c>
      <c r="L10" s="177">
        <v>98</v>
      </c>
      <c r="M10" s="178">
        <v>367</v>
      </c>
      <c r="N10" s="178" cm="1">
        <f t="array" ref="N10">SUM((H10:J10)/3)</f>
        <v>32.666666666666664</v>
      </c>
      <c r="O10" s="179">
        <v>300</v>
      </c>
      <c r="P10" s="179">
        <f t="shared" si="0"/>
        <v>270</v>
      </c>
      <c r="Q10" s="167"/>
      <c r="R10" s="180">
        <v>367</v>
      </c>
      <c r="S10" s="181">
        <v>274.35000000000002</v>
      </c>
      <c r="T10" s="181">
        <v>307</v>
      </c>
      <c r="U10" s="180">
        <v>0.15579999999999999</v>
      </c>
      <c r="V10" s="180">
        <v>0.1583</v>
      </c>
      <c r="W10" s="167"/>
      <c r="X10" s="182">
        <v>0.15579999999999999</v>
      </c>
      <c r="Y10" s="182">
        <v>0.1583</v>
      </c>
      <c r="Z10" s="182">
        <f t="shared" si="1"/>
        <v>0.18695999999999999</v>
      </c>
      <c r="AA10" s="182">
        <f t="shared" si="2"/>
        <v>0.18995999999999999</v>
      </c>
      <c r="AB10" s="167"/>
      <c r="AC10" s="183" t="s">
        <v>416</v>
      </c>
      <c r="AD10" s="184">
        <v>0</v>
      </c>
      <c r="AE10" s="184">
        <v>0</v>
      </c>
      <c r="AF10" s="184">
        <v>274.35000000000002</v>
      </c>
      <c r="AG10" s="184">
        <v>307</v>
      </c>
      <c r="AH10" s="184">
        <f t="shared" si="4"/>
        <v>68.61</v>
      </c>
      <c r="AI10" s="185">
        <f t="shared" si="5"/>
        <v>69.72</v>
      </c>
      <c r="AJ10" s="186">
        <f t="shared" si="6"/>
        <v>719.68000000000006</v>
      </c>
      <c r="AK10" s="167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</row>
    <row r="11" spans="1:64" x14ac:dyDescent="0.3">
      <c r="A11" s="148"/>
      <c r="B11" s="148"/>
      <c r="C11" s="73" t="s">
        <v>107</v>
      </c>
      <c r="D11" s="140"/>
      <c r="E11" s="141" t="s">
        <v>2</v>
      </c>
      <c r="F11" s="141" t="s">
        <v>415</v>
      </c>
      <c r="G11" s="167"/>
      <c r="H11" s="177">
        <v>0</v>
      </c>
      <c r="I11" s="177">
        <v>30</v>
      </c>
      <c r="J11" s="177">
        <v>30</v>
      </c>
      <c r="K11" s="177">
        <v>0</v>
      </c>
      <c r="L11" s="177">
        <v>30</v>
      </c>
      <c r="M11" s="178">
        <v>30</v>
      </c>
      <c r="N11" s="178" cm="1">
        <f t="array" ref="N11">SUM((H11:J11)/3)</f>
        <v>20</v>
      </c>
      <c r="O11" s="179">
        <v>30</v>
      </c>
      <c r="P11" s="179">
        <f t="shared" si="0"/>
        <v>27</v>
      </c>
      <c r="Q11" s="167"/>
      <c r="R11" s="180">
        <v>30</v>
      </c>
      <c r="S11" s="181">
        <v>30.5</v>
      </c>
      <c r="T11" s="181">
        <v>92.75</v>
      </c>
      <c r="U11" s="180">
        <v>1.6853</v>
      </c>
      <c r="V11" s="180">
        <v>1.71</v>
      </c>
      <c r="W11" s="167"/>
      <c r="X11" s="182">
        <v>1.6853</v>
      </c>
      <c r="Y11" s="182">
        <v>1.71</v>
      </c>
      <c r="Z11" s="182">
        <f t="shared" si="1"/>
        <v>2.0223599999999999</v>
      </c>
      <c r="AA11" s="182">
        <f t="shared" si="2"/>
        <v>2.052</v>
      </c>
      <c r="AB11" s="167"/>
      <c r="AC11" s="183" t="s">
        <v>416</v>
      </c>
      <c r="AD11" s="184">
        <v>0</v>
      </c>
      <c r="AE11" s="184">
        <v>0</v>
      </c>
      <c r="AF11" s="184">
        <v>30.5</v>
      </c>
      <c r="AG11" s="184">
        <v>92.75</v>
      </c>
      <c r="AH11" s="184">
        <f t="shared" si="4"/>
        <v>60.67</v>
      </c>
      <c r="AI11" s="185">
        <f t="shared" si="5"/>
        <v>61.56</v>
      </c>
      <c r="AJ11" s="186">
        <f t="shared" si="6"/>
        <v>245.48000000000002</v>
      </c>
      <c r="AK11" s="167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</row>
    <row r="12" spans="1:64" x14ac:dyDescent="0.3">
      <c r="A12" s="148"/>
      <c r="B12" s="148"/>
      <c r="C12" s="73" t="s">
        <v>6</v>
      </c>
      <c r="D12" s="140"/>
      <c r="E12" s="141" t="s">
        <v>2</v>
      </c>
      <c r="F12" s="141" t="s">
        <v>415</v>
      </c>
      <c r="G12" s="167"/>
      <c r="H12" s="177">
        <v>0</v>
      </c>
      <c r="I12" s="177">
        <v>422</v>
      </c>
      <c r="J12" s="177">
        <v>422</v>
      </c>
      <c r="K12" s="177">
        <v>422</v>
      </c>
      <c r="L12" s="177">
        <v>422</v>
      </c>
      <c r="M12" s="178">
        <v>0</v>
      </c>
      <c r="N12" s="178" cm="1">
        <f t="array" ref="N12">SUM((H12:J12)/3)</f>
        <v>281.33333333333331</v>
      </c>
      <c r="O12" s="179">
        <v>420</v>
      </c>
      <c r="P12" s="179">
        <f t="shared" si="0"/>
        <v>378</v>
      </c>
      <c r="Q12" s="167"/>
      <c r="R12" s="180">
        <v>422</v>
      </c>
      <c r="S12" s="181">
        <v>261.35000000000002</v>
      </c>
      <c r="T12" s="181">
        <v>282.89999999999998</v>
      </c>
      <c r="U12" s="180">
        <v>0.14910000000000001</v>
      </c>
      <c r="V12" s="180">
        <v>0.15090000000000001</v>
      </c>
      <c r="W12" s="167"/>
      <c r="X12" s="182">
        <v>0.14910000000000001</v>
      </c>
      <c r="Y12" s="182">
        <v>0.15090000000000001</v>
      </c>
      <c r="Z12" s="182">
        <f t="shared" si="1"/>
        <v>0.17892000000000002</v>
      </c>
      <c r="AA12" s="182">
        <f t="shared" si="2"/>
        <v>0.18108000000000002</v>
      </c>
      <c r="AB12" s="167"/>
      <c r="AC12" s="183" t="s">
        <v>416</v>
      </c>
      <c r="AD12" s="184">
        <v>0</v>
      </c>
      <c r="AE12" s="184">
        <v>0</v>
      </c>
      <c r="AF12" s="184">
        <v>261.35000000000002</v>
      </c>
      <c r="AG12" s="184">
        <v>282.89999999999998</v>
      </c>
      <c r="AH12" s="184">
        <f t="shared" si="4"/>
        <v>75.5</v>
      </c>
      <c r="AI12" s="185">
        <f t="shared" si="5"/>
        <v>76.42</v>
      </c>
      <c r="AJ12" s="186">
        <f t="shared" si="6"/>
        <v>696.17</v>
      </c>
      <c r="AK12" s="167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</row>
    <row r="13" spans="1:64" x14ac:dyDescent="0.3">
      <c r="A13" s="148"/>
      <c r="B13" s="148"/>
      <c r="C13" s="73" t="s">
        <v>108</v>
      </c>
      <c r="D13" s="140"/>
      <c r="E13" s="141" t="s">
        <v>2</v>
      </c>
      <c r="F13" s="141" t="s">
        <v>413</v>
      </c>
      <c r="G13" s="167"/>
      <c r="H13" s="177">
        <v>1375</v>
      </c>
      <c r="I13" s="177">
        <v>2352</v>
      </c>
      <c r="J13" s="177">
        <v>1532</v>
      </c>
      <c r="K13" s="177">
        <v>1630</v>
      </c>
      <c r="L13" s="177">
        <v>1784</v>
      </c>
      <c r="M13" s="178">
        <v>1626</v>
      </c>
      <c r="N13" s="178" cm="1">
        <f t="array" ref="N13">SUM((H13:J13)/3)</f>
        <v>1753</v>
      </c>
      <c r="O13" s="179">
        <v>1630</v>
      </c>
      <c r="P13" s="179">
        <f t="shared" si="0"/>
        <v>1467</v>
      </c>
      <c r="Q13" s="167"/>
      <c r="R13" s="180"/>
      <c r="S13" s="181"/>
      <c r="T13" s="181"/>
      <c r="U13" s="180"/>
      <c r="V13" s="180"/>
      <c r="W13" s="167"/>
      <c r="X13" s="182">
        <v>1.6305499999999999</v>
      </c>
      <c r="Y13" s="182">
        <v>1.8570500000000001</v>
      </c>
      <c r="Z13" s="182">
        <f t="shared" si="1"/>
        <v>1.9566599999999998</v>
      </c>
      <c r="AA13" s="182">
        <f t="shared" si="2"/>
        <v>2.2284600000000001</v>
      </c>
      <c r="AB13" s="167"/>
      <c r="AC13" s="183" t="s">
        <v>414</v>
      </c>
      <c r="AD13" s="184">
        <v>4.0999999999999996</v>
      </c>
      <c r="AE13" s="184">
        <v>9.83</v>
      </c>
      <c r="AF13" s="184">
        <f t="shared" ref="AF13:AG14" si="7">ROUND(AD13*12,2)</f>
        <v>49.2</v>
      </c>
      <c r="AG13" s="184">
        <f t="shared" si="7"/>
        <v>117.96</v>
      </c>
      <c r="AH13" s="184">
        <f t="shared" si="4"/>
        <v>3189.36</v>
      </c>
      <c r="AI13" s="185">
        <f t="shared" si="5"/>
        <v>3269.15</v>
      </c>
      <c r="AJ13" s="186">
        <f t="shared" si="6"/>
        <v>6625.67</v>
      </c>
      <c r="AK13" s="167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</row>
    <row r="14" spans="1:64" x14ac:dyDescent="0.3">
      <c r="A14" s="187"/>
      <c r="B14" s="188"/>
      <c r="C14" s="73" t="s">
        <v>718</v>
      </c>
      <c r="D14" s="140"/>
      <c r="E14" s="141" t="s">
        <v>2</v>
      </c>
      <c r="F14" s="141" t="s">
        <v>413</v>
      </c>
      <c r="G14" s="167"/>
      <c r="H14" s="177">
        <v>2132</v>
      </c>
      <c r="I14" s="177">
        <v>1492</v>
      </c>
      <c r="J14" s="177">
        <v>0</v>
      </c>
      <c r="K14" s="177"/>
      <c r="L14" s="177"/>
      <c r="M14" s="178">
        <v>121</v>
      </c>
      <c r="N14" s="178" cm="1">
        <f t="array" ref="N14">SUM((H14:J14)/3)</f>
        <v>1208</v>
      </c>
      <c r="O14" s="179">
        <v>1700</v>
      </c>
      <c r="P14" s="179">
        <f t="shared" si="0"/>
        <v>1530</v>
      </c>
      <c r="Q14" s="167"/>
      <c r="R14" s="189"/>
      <c r="S14" s="190"/>
      <c r="T14" s="190"/>
      <c r="U14" s="189"/>
      <c r="V14" s="189"/>
      <c r="W14" s="167"/>
      <c r="X14" s="182">
        <v>1.6306</v>
      </c>
      <c r="Y14" s="182">
        <v>1.8507</v>
      </c>
      <c r="Z14" s="182">
        <f t="shared" si="1"/>
        <v>1.95672</v>
      </c>
      <c r="AA14" s="182">
        <f t="shared" si="2"/>
        <v>2.2208399999999999</v>
      </c>
      <c r="AB14" s="167"/>
      <c r="AC14" s="183" t="s">
        <v>414</v>
      </c>
      <c r="AD14" s="184">
        <v>4.0199999999999996</v>
      </c>
      <c r="AE14" s="184">
        <v>4.5199999999999996</v>
      </c>
      <c r="AF14" s="184">
        <f t="shared" si="7"/>
        <v>48.24</v>
      </c>
      <c r="AG14" s="184">
        <f t="shared" si="7"/>
        <v>54.24</v>
      </c>
      <c r="AH14" s="184">
        <f t="shared" si="4"/>
        <v>3326.42</v>
      </c>
      <c r="AI14" s="185">
        <f t="shared" si="5"/>
        <v>3397.89</v>
      </c>
      <c r="AJ14" s="186">
        <f t="shared" si="6"/>
        <v>6826.79</v>
      </c>
      <c r="AK14" s="167"/>
      <c r="AL14" s="148"/>
      <c r="AM14" s="148"/>
      <c r="AN14" s="148"/>
      <c r="AO14" s="148"/>
      <c r="AP14" s="148"/>
      <c r="AQ14" s="148"/>
      <c r="AR14" s="148"/>
      <c r="AS14" s="148"/>
      <c r="AT14" s="148"/>
      <c r="AU14" s="148"/>
      <c r="AV14" s="148"/>
      <c r="AW14" s="148"/>
      <c r="AX14" s="148"/>
      <c r="AY14" s="148"/>
      <c r="AZ14" s="148"/>
      <c r="BA14" s="148"/>
      <c r="BB14" s="148"/>
      <c r="BC14" s="148"/>
      <c r="BD14" s="148"/>
      <c r="BE14" s="148"/>
      <c r="BF14" s="148"/>
      <c r="BG14" s="148"/>
      <c r="BH14" s="148"/>
      <c r="BI14" s="148"/>
      <c r="BJ14" s="148"/>
    </row>
    <row r="15" spans="1:64" x14ac:dyDescent="0.3">
      <c r="A15" s="148"/>
      <c r="B15" s="148"/>
      <c r="C15" s="73" t="s">
        <v>7</v>
      </c>
      <c r="D15" s="140"/>
      <c r="E15" s="141" t="s">
        <v>2</v>
      </c>
      <c r="F15" s="141" t="s">
        <v>415</v>
      </c>
      <c r="G15" s="167"/>
      <c r="H15" s="177">
        <v>0</v>
      </c>
      <c r="I15" s="177">
        <v>29</v>
      </c>
      <c r="J15" s="177">
        <v>29</v>
      </c>
      <c r="K15" s="177">
        <v>29</v>
      </c>
      <c r="L15" s="177">
        <v>29</v>
      </c>
      <c r="M15" s="178">
        <v>29</v>
      </c>
      <c r="N15" s="178" cm="1">
        <f t="array" ref="N15">SUM((H15:J15)/3)</f>
        <v>19.333333333333332</v>
      </c>
      <c r="O15" s="179">
        <v>30</v>
      </c>
      <c r="P15" s="179">
        <f t="shared" si="0"/>
        <v>27</v>
      </c>
      <c r="Q15" s="167"/>
      <c r="R15" s="189">
        <v>29</v>
      </c>
      <c r="S15" s="190">
        <v>30.5</v>
      </c>
      <c r="T15" s="190">
        <v>92.75</v>
      </c>
      <c r="U15" s="189">
        <v>1.6853</v>
      </c>
      <c r="V15" s="189">
        <v>1.71</v>
      </c>
      <c r="W15" s="167"/>
      <c r="X15" s="182">
        <v>1.6853</v>
      </c>
      <c r="Y15" s="182">
        <v>1.71</v>
      </c>
      <c r="Z15" s="182">
        <f t="shared" si="1"/>
        <v>2.0223599999999999</v>
      </c>
      <c r="AA15" s="182">
        <f t="shared" si="2"/>
        <v>2.052</v>
      </c>
      <c r="AB15" s="167"/>
      <c r="AC15" s="183" t="s">
        <v>416</v>
      </c>
      <c r="AD15" s="184">
        <v>0</v>
      </c>
      <c r="AE15" s="184">
        <v>0</v>
      </c>
      <c r="AF15" s="184">
        <v>30.5</v>
      </c>
      <c r="AG15" s="184">
        <v>92.75</v>
      </c>
      <c r="AH15" s="184">
        <f t="shared" si="4"/>
        <v>58.65</v>
      </c>
      <c r="AI15" s="185">
        <f t="shared" si="5"/>
        <v>59.51</v>
      </c>
      <c r="AJ15" s="186">
        <f t="shared" si="6"/>
        <v>241.41</v>
      </c>
      <c r="AK15" s="167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</row>
    <row r="16" spans="1:64" x14ac:dyDescent="0.3">
      <c r="A16" s="148"/>
      <c r="B16" s="148"/>
      <c r="C16" s="73" t="s">
        <v>7</v>
      </c>
      <c r="D16" s="140"/>
      <c r="E16" s="141" t="s">
        <v>2</v>
      </c>
      <c r="F16" s="141" t="s">
        <v>413</v>
      </c>
      <c r="G16" s="167"/>
      <c r="H16" s="177">
        <v>0</v>
      </c>
      <c r="I16" s="177">
        <v>29</v>
      </c>
      <c r="J16" s="177">
        <v>29</v>
      </c>
      <c r="K16" s="177">
        <v>29</v>
      </c>
      <c r="L16" s="177">
        <v>0</v>
      </c>
      <c r="M16" s="178">
        <v>0</v>
      </c>
      <c r="N16" s="178" cm="1">
        <f t="array" ref="N16">SUM((H16:J16)/3)</f>
        <v>19.333333333333332</v>
      </c>
      <c r="O16" s="179">
        <v>30</v>
      </c>
      <c r="P16" s="179">
        <f t="shared" si="0"/>
        <v>27</v>
      </c>
      <c r="Q16" s="167"/>
      <c r="R16" s="189"/>
      <c r="S16" s="190"/>
      <c r="T16" s="190"/>
      <c r="U16" s="189"/>
      <c r="V16" s="189"/>
      <c r="W16" s="167"/>
      <c r="X16" s="182">
        <v>1.6853</v>
      </c>
      <c r="Y16" s="182">
        <v>1.71</v>
      </c>
      <c r="Z16" s="182">
        <f t="shared" si="1"/>
        <v>2.0223599999999999</v>
      </c>
      <c r="AA16" s="182">
        <f t="shared" si="2"/>
        <v>2.052</v>
      </c>
      <c r="AB16" s="167"/>
      <c r="AC16" s="183" t="s">
        <v>416</v>
      </c>
      <c r="AD16" s="184">
        <v>0</v>
      </c>
      <c r="AE16" s="184">
        <v>0</v>
      </c>
      <c r="AF16" s="184">
        <v>30.5</v>
      </c>
      <c r="AG16" s="184">
        <v>92.75</v>
      </c>
      <c r="AH16" s="184">
        <f t="shared" si="4"/>
        <v>60.67</v>
      </c>
      <c r="AI16" s="185">
        <f t="shared" si="5"/>
        <v>55.4</v>
      </c>
      <c r="AJ16" s="186">
        <f t="shared" si="6"/>
        <v>239.32000000000002</v>
      </c>
      <c r="AK16" s="167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</row>
    <row r="17" spans="1:62" x14ac:dyDescent="0.25">
      <c r="A17" s="187"/>
      <c r="B17" s="191"/>
      <c r="C17" s="73" t="s">
        <v>719</v>
      </c>
      <c r="D17" s="192"/>
      <c r="E17" s="193" t="s">
        <v>2</v>
      </c>
      <c r="F17" s="193" t="s">
        <v>413</v>
      </c>
      <c r="G17" s="167"/>
      <c r="H17" s="194">
        <v>128</v>
      </c>
      <c r="I17" s="194">
        <v>257</v>
      </c>
      <c r="J17" s="194">
        <v>0</v>
      </c>
      <c r="K17" s="194">
        <v>0</v>
      </c>
      <c r="L17" s="194">
        <v>1563</v>
      </c>
      <c r="M17" s="195">
        <v>-12</v>
      </c>
      <c r="N17" s="178" cm="1">
        <f t="array" ref="N17">SUM((H17:J17)/3)</f>
        <v>128.33333333333334</v>
      </c>
      <c r="O17" s="196">
        <v>1500</v>
      </c>
      <c r="P17" s="196">
        <f t="shared" si="0"/>
        <v>1350</v>
      </c>
      <c r="Q17" s="167"/>
      <c r="R17" s="189"/>
      <c r="S17" s="190"/>
      <c r="T17" s="190"/>
      <c r="U17" s="189"/>
      <c r="V17" s="189"/>
      <c r="W17" s="167"/>
      <c r="X17" s="182">
        <v>1.48743</v>
      </c>
      <c r="Y17" s="182">
        <v>1.8146</v>
      </c>
      <c r="Z17" s="182">
        <f t="shared" si="1"/>
        <v>1.7849159999999999</v>
      </c>
      <c r="AA17" s="182">
        <f t="shared" si="2"/>
        <v>2.1775199999999999</v>
      </c>
      <c r="AB17" s="167"/>
      <c r="AC17" s="183" t="s">
        <v>414</v>
      </c>
      <c r="AD17" s="184">
        <v>11.75</v>
      </c>
      <c r="AE17" s="184">
        <v>20.51</v>
      </c>
      <c r="AF17" s="184">
        <f t="shared" ref="AF17:AG18" si="8">ROUND(AD17*12,2)</f>
        <v>141</v>
      </c>
      <c r="AG17" s="184">
        <f t="shared" si="8"/>
        <v>246.12</v>
      </c>
      <c r="AH17" s="184">
        <f t="shared" ref="AH17" si="9">IF(F17="Metered",ROUND(Z17*O17,2),ROUND(R17*Z17,2))</f>
        <v>2677.37</v>
      </c>
      <c r="AI17" s="185">
        <f t="shared" ref="AI17" si="10">IF(F17="Metered",ROUND(AA17*P17,2),ROUND(R17*AA17,2))</f>
        <v>2939.65</v>
      </c>
      <c r="AJ17" s="186">
        <f t="shared" si="6"/>
        <v>6004.1399999999994</v>
      </c>
      <c r="AK17" s="167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</row>
    <row r="18" spans="1:62" x14ac:dyDescent="0.3">
      <c r="A18" s="148"/>
      <c r="B18" s="148"/>
      <c r="C18" s="73" t="s">
        <v>11</v>
      </c>
      <c r="D18" s="140"/>
      <c r="E18" s="141" t="s">
        <v>2</v>
      </c>
      <c r="F18" s="141" t="s">
        <v>413</v>
      </c>
      <c r="G18" s="167"/>
      <c r="H18" s="197">
        <v>1736.0105781541956</v>
      </c>
      <c r="I18" s="197">
        <v>2451.9388309922974</v>
      </c>
      <c r="J18" s="197">
        <v>2060.0131400090622</v>
      </c>
      <c r="K18" s="197">
        <v>2046.4599003171727</v>
      </c>
      <c r="L18" s="197">
        <v>1876.437606758381</v>
      </c>
      <c r="M18" s="178">
        <v>1498.6271870794078</v>
      </c>
      <c r="N18" s="178" cm="1">
        <f t="array" ref="N18">SUM((H18:J18)/3)</f>
        <v>2082.6541830518518</v>
      </c>
      <c r="O18" s="179">
        <v>2000</v>
      </c>
      <c r="P18" s="179">
        <f t="shared" si="0"/>
        <v>1800</v>
      </c>
      <c r="Q18" s="167"/>
      <c r="R18" s="189"/>
      <c r="S18" s="190"/>
      <c r="T18" s="190"/>
      <c r="U18" s="189"/>
      <c r="V18" s="189"/>
      <c r="W18" s="167"/>
      <c r="X18" s="182">
        <v>1.6305499999999999</v>
      </c>
      <c r="Y18" s="182">
        <v>1.8570500000000001</v>
      </c>
      <c r="Z18" s="182">
        <f t="shared" si="1"/>
        <v>1.9566599999999998</v>
      </c>
      <c r="AA18" s="182">
        <f t="shared" si="2"/>
        <v>2.2284600000000001</v>
      </c>
      <c r="AB18" s="167"/>
      <c r="AC18" s="183" t="s">
        <v>414</v>
      </c>
      <c r="AD18" s="184">
        <v>4.0999999999999996</v>
      </c>
      <c r="AE18" s="184">
        <v>9.83</v>
      </c>
      <c r="AF18" s="184">
        <f t="shared" si="8"/>
        <v>49.2</v>
      </c>
      <c r="AG18" s="184">
        <f t="shared" si="8"/>
        <v>117.96</v>
      </c>
      <c r="AH18" s="184">
        <f t="shared" si="4"/>
        <v>3913.32</v>
      </c>
      <c r="AI18" s="185">
        <f t="shared" si="5"/>
        <v>4011.23</v>
      </c>
      <c r="AJ18" s="186">
        <f t="shared" si="6"/>
        <v>8091.71</v>
      </c>
      <c r="AK18" s="167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</row>
    <row r="19" spans="1:62" x14ac:dyDescent="0.3">
      <c r="A19" s="148"/>
      <c r="B19" s="188"/>
      <c r="C19" s="73" t="s">
        <v>3</v>
      </c>
      <c r="D19" s="140"/>
      <c r="E19" s="141" t="s">
        <v>2</v>
      </c>
      <c r="F19" s="141" t="s">
        <v>413</v>
      </c>
      <c r="G19" s="167"/>
      <c r="H19" s="177">
        <v>1807</v>
      </c>
      <c r="I19" s="177">
        <v>1636</v>
      </c>
      <c r="J19" s="177">
        <v>1563</v>
      </c>
      <c r="K19" s="177"/>
      <c r="L19" s="177"/>
      <c r="M19" s="178">
        <v>872</v>
      </c>
      <c r="N19" s="178" cm="1">
        <f t="array" ref="N19">SUM((H19:J19)/3)</f>
        <v>1668.6666666666667</v>
      </c>
      <c r="O19" s="179">
        <v>1500</v>
      </c>
      <c r="P19" s="179">
        <f t="shared" si="0"/>
        <v>1350</v>
      </c>
      <c r="Q19" s="167"/>
      <c r="R19" s="189"/>
      <c r="S19" s="190"/>
      <c r="T19" s="190"/>
      <c r="U19" s="189"/>
      <c r="V19" s="189"/>
      <c r="W19" s="167"/>
      <c r="X19" s="182">
        <v>1.6853</v>
      </c>
      <c r="Y19" s="182">
        <v>1.71</v>
      </c>
      <c r="Z19" s="182">
        <f t="shared" si="1"/>
        <v>2.0223599999999999</v>
      </c>
      <c r="AA19" s="182">
        <f t="shared" si="2"/>
        <v>2.052</v>
      </c>
      <c r="AB19" s="167"/>
      <c r="AC19" s="183" t="s">
        <v>221</v>
      </c>
      <c r="AD19" s="184">
        <v>0</v>
      </c>
      <c r="AE19" s="184">
        <v>0</v>
      </c>
      <c r="AF19" s="184">
        <f>0.0835*365</f>
        <v>30.477500000000003</v>
      </c>
      <c r="AG19" s="184">
        <f>0.2541*365</f>
        <v>92.746499999999997</v>
      </c>
      <c r="AH19" s="184">
        <f t="shared" si="4"/>
        <v>3033.54</v>
      </c>
      <c r="AI19" s="185">
        <f t="shared" si="5"/>
        <v>2770.2</v>
      </c>
      <c r="AJ19" s="186">
        <f t="shared" si="6"/>
        <v>5926.9639999999999</v>
      </c>
      <c r="AK19" s="167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</row>
    <row r="20" spans="1:62" x14ac:dyDescent="0.3">
      <c r="A20" s="148"/>
      <c r="B20" s="188"/>
      <c r="C20" s="73" t="s">
        <v>490</v>
      </c>
      <c r="D20" s="140"/>
      <c r="E20" s="141" t="s">
        <v>2</v>
      </c>
      <c r="F20" s="141" t="s">
        <v>413</v>
      </c>
      <c r="G20" s="167"/>
      <c r="H20" s="177">
        <v>0</v>
      </c>
      <c r="I20" s="177">
        <v>0</v>
      </c>
      <c r="J20" s="177">
        <v>0</v>
      </c>
      <c r="K20" s="177"/>
      <c r="L20" s="177"/>
      <c r="M20" s="178">
        <v>0</v>
      </c>
      <c r="N20" s="178" cm="1">
        <f t="array" ref="N20">SUM((H20:J20)/3)</f>
        <v>0</v>
      </c>
      <c r="O20" s="179">
        <v>0</v>
      </c>
      <c r="P20" s="179">
        <f t="shared" si="0"/>
        <v>0</v>
      </c>
      <c r="Q20" s="167"/>
      <c r="R20" s="189"/>
      <c r="S20" s="190"/>
      <c r="T20" s="190"/>
      <c r="U20" s="189"/>
      <c r="V20" s="189"/>
      <c r="W20" s="167"/>
      <c r="X20" s="182">
        <v>0</v>
      </c>
      <c r="Y20" s="182">
        <v>0</v>
      </c>
      <c r="Z20" s="182">
        <f t="shared" si="1"/>
        <v>0</v>
      </c>
      <c r="AA20" s="182">
        <f t="shared" si="2"/>
        <v>0</v>
      </c>
      <c r="AB20" s="167"/>
      <c r="AC20" s="183" t="s">
        <v>416</v>
      </c>
      <c r="AD20" s="184">
        <v>0</v>
      </c>
      <c r="AE20" s="184">
        <v>0</v>
      </c>
      <c r="AF20" s="184">
        <f t="shared" ref="AF20:AG21" si="11">ROUND(AD20*12,2)</f>
        <v>0</v>
      </c>
      <c r="AG20" s="184">
        <v>66</v>
      </c>
      <c r="AH20" s="184">
        <f t="shared" si="4"/>
        <v>0</v>
      </c>
      <c r="AI20" s="185">
        <f t="shared" si="5"/>
        <v>0</v>
      </c>
      <c r="AJ20" s="186">
        <f t="shared" si="6"/>
        <v>66</v>
      </c>
      <c r="AK20" s="167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</row>
    <row r="21" spans="1:62" x14ac:dyDescent="0.3">
      <c r="A21" s="148"/>
      <c r="B21" s="148"/>
      <c r="C21" s="73" t="s">
        <v>110</v>
      </c>
      <c r="D21" s="140"/>
      <c r="E21" s="141" t="s">
        <v>2</v>
      </c>
      <c r="F21" s="141" t="s">
        <v>413</v>
      </c>
      <c r="G21" s="167"/>
      <c r="H21" s="177">
        <v>2018</v>
      </c>
      <c r="I21" s="177">
        <v>1528</v>
      </c>
      <c r="J21" s="177">
        <v>1521</v>
      </c>
      <c r="K21" s="177"/>
      <c r="L21" s="177"/>
      <c r="M21" s="178">
        <v>118</v>
      </c>
      <c r="N21" s="178" cm="1">
        <f t="array" ref="N21">SUM((H21:J21)/3)</f>
        <v>1689</v>
      </c>
      <c r="O21" s="179">
        <v>1500</v>
      </c>
      <c r="P21" s="179">
        <f t="shared" si="0"/>
        <v>1350</v>
      </c>
      <c r="Q21" s="167"/>
      <c r="R21" s="189"/>
      <c r="S21" s="190"/>
      <c r="T21" s="190"/>
      <c r="U21" s="189"/>
      <c r="V21" s="189"/>
      <c r="W21" s="167"/>
      <c r="X21" s="182">
        <v>1.48726</v>
      </c>
      <c r="Y21" s="182">
        <v>1.8145199999999999</v>
      </c>
      <c r="Z21" s="182">
        <f t="shared" si="1"/>
        <v>1.7847120000000001</v>
      </c>
      <c r="AA21" s="182">
        <f t="shared" si="2"/>
        <v>2.1774239999999998</v>
      </c>
      <c r="AB21" s="167"/>
      <c r="AC21" s="183" t="s">
        <v>414</v>
      </c>
      <c r="AD21" s="184">
        <v>11.75</v>
      </c>
      <c r="AE21" s="184">
        <v>20.51</v>
      </c>
      <c r="AF21" s="184">
        <f t="shared" si="11"/>
        <v>141</v>
      </c>
      <c r="AG21" s="184">
        <f t="shared" si="11"/>
        <v>246.12</v>
      </c>
      <c r="AH21" s="184">
        <f t="shared" si="4"/>
        <v>2677.07</v>
      </c>
      <c r="AI21" s="185">
        <f t="shared" si="5"/>
        <v>2939.52</v>
      </c>
      <c r="AJ21" s="186">
        <f t="shared" si="6"/>
        <v>6003.71</v>
      </c>
      <c r="AK21" s="167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</row>
    <row r="22" spans="1:62" x14ac:dyDescent="0.3">
      <c r="A22" s="198"/>
      <c r="B22" s="148"/>
      <c r="C22" s="73" t="s">
        <v>387</v>
      </c>
      <c r="D22" s="140"/>
      <c r="E22" s="141" t="s">
        <v>2</v>
      </c>
      <c r="F22" s="141" t="s">
        <v>413</v>
      </c>
      <c r="G22" s="167"/>
      <c r="H22" s="177">
        <v>169</v>
      </c>
      <c r="I22" s="177">
        <v>169</v>
      </c>
      <c r="J22" s="177">
        <v>118</v>
      </c>
      <c r="K22" s="199" t="s">
        <v>420</v>
      </c>
      <c r="L22" s="177"/>
      <c r="M22" s="178">
        <v>6</v>
      </c>
      <c r="N22" s="178" cm="1">
        <f t="array" ref="N22">SUM((H22:J22)/3)</f>
        <v>152</v>
      </c>
      <c r="O22" s="179">
        <v>150</v>
      </c>
      <c r="P22" s="179">
        <f t="shared" si="0"/>
        <v>135</v>
      </c>
      <c r="Q22" s="167"/>
      <c r="R22" s="189"/>
      <c r="S22" s="190"/>
      <c r="T22" s="190"/>
      <c r="U22" s="189"/>
      <c r="V22" s="189"/>
      <c r="W22" s="167"/>
      <c r="X22" s="182">
        <v>1.6853</v>
      </c>
      <c r="Y22" s="182">
        <v>1.71</v>
      </c>
      <c r="Z22" s="182">
        <f t="shared" si="1"/>
        <v>2.0223599999999999</v>
      </c>
      <c r="AA22" s="182">
        <f t="shared" si="2"/>
        <v>2.052</v>
      </c>
      <c r="AB22" s="167"/>
      <c r="AC22" s="183" t="s">
        <v>417</v>
      </c>
      <c r="AD22" s="184">
        <v>0</v>
      </c>
      <c r="AE22" s="184">
        <v>0</v>
      </c>
      <c r="AF22" s="184">
        <f>0.0835*365</f>
        <v>30.477500000000003</v>
      </c>
      <c r="AG22" s="184">
        <f>0.2383*365</f>
        <v>86.979500000000002</v>
      </c>
      <c r="AH22" s="184">
        <f t="shared" si="4"/>
        <v>303.35000000000002</v>
      </c>
      <c r="AI22" s="185">
        <f t="shared" si="5"/>
        <v>277.02</v>
      </c>
      <c r="AJ22" s="186">
        <f t="shared" si="6"/>
        <v>697.827</v>
      </c>
      <c r="AK22" s="167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</row>
    <row r="23" spans="1:62" x14ac:dyDescent="0.3">
      <c r="A23" s="198"/>
      <c r="B23" s="148"/>
      <c r="C23" s="73" t="s">
        <v>717</v>
      </c>
      <c r="D23" s="140"/>
      <c r="E23" s="141" t="s">
        <v>2</v>
      </c>
      <c r="F23" s="141" t="s">
        <v>413</v>
      </c>
      <c r="G23" s="167"/>
      <c r="H23" s="177">
        <v>57</v>
      </c>
      <c r="I23" s="177">
        <v>37</v>
      </c>
      <c r="J23" s="177">
        <v>48</v>
      </c>
      <c r="K23" s="199" t="s">
        <v>420</v>
      </c>
      <c r="L23" s="177"/>
      <c r="M23" s="178">
        <v>5</v>
      </c>
      <c r="N23" s="178" cm="1">
        <f t="array" ref="N23">SUM((H23:J23)/3)</f>
        <v>47.333333333333336</v>
      </c>
      <c r="O23" s="179">
        <v>48</v>
      </c>
      <c r="P23" s="179">
        <f t="shared" si="0"/>
        <v>43.2</v>
      </c>
      <c r="Q23" s="167"/>
      <c r="R23" s="189"/>
      <c r="S23" s="190"/>
      <c r="T23" s="190"/>
      <c r="U23" s="189"/>
      <c r="V23" s="189"/>
      <c r="W23" s="167"/>
      <c r="X23" s="182">
        <v>1.6014999999999999</v>
      </c>
      <c r="Y23" s="182">
        <v>1.5654999999999999</v>
      </c>
      <c r="Z23" s="182">
        <f t="shared" si="1"/>
        <v>1.9218</v>
      </c>
      <c r="AA23" s="182">
        <f t="shared" si="2"/>
        <v>1.8785999999999998</v>
      </c>
      <c r="AB23" s="167"/>
      <c r="AC23" s="183" t="s">
        <v>221</v>
      </c>
      <c r="AD23" s="184">
        <v>0</v>
      </c>
      <c r="AE23" s="184">
        <v>0</v>
      </c>
      <c r="AF23" s="184">
        <f>0.0821*365</f>
        <v>29.966500000000003</v>
      </c>
      <c r="AG23" s="184">
        <f>0.2383*365</f>
        <v>86.979500000000002</v>
      </c>
      <c r="AH23" s="184">
        <f t="shared" si="4"/>
        <v>92.25</v>
      </c>
      <c r="AI23" s="185">
        <f t="shared" si="5"/>
        <v>81.16</v>
      </c>
      <c r="AJ23" s="186">
        <f t="shared" si="6"/>
        <v>290.35599999999999</v>
      </c>
      <c r="AK23" s="167"/>
      <c r="AL23" s="148"/>
      <c r="AM23" s="148"/>
      <c r="AN23" s="148"/>
      <c r="AO23" s="148"/>
      <c r="AP23" s="148"/>
      <c r="AQ23" s="148"/>
      <c r="AR23" s="148"/>
      <c r="AS23" s="148"/>
      <c r="AT23" s="148"/>
      <c r="AU23" s="148"/>
      <c r="AV23" s="148"/>
      <c r="AW23" s="148"/>
      <c r="AX23" s="148"/>
      <c r="AY23" s="148"/>
      <c r="AZ23" s="148"/>
      <c r="BA23" s="148"/>
      <c r="BB23" s="148"/>
      <c r="BC23" s="148"/>
      <c r="BD23" s="148"/>
      <c r="BE23" s="148"/>
      <c r="BF23" s="148"/>
      <c r="BG23" s="148"/>
      <c r="BH23" s="148"/>
      <c r="BI23" s="148"/>
      <c r="BJ23" s="148"/>
    </row>
    <row r="24" spans="1:62" x14ac:dyDescent="0.3">
      <c r="A24" s="198"/>
      <c r="B24" s="148"/>
      <c r="C24" s="73" t="s">
        <v>717</v>
      </c>
      <c r="D24" s="140"/>
      <c r="E24" s="141" t="s">
        <v>2</v>
      </c>
      <c r="F24" s="141" t="s">
        <v>413</v>
      </c>
      <c r="G24" s="167"/>
      <c r="H24" s="177">
        <v>19</v>
      </c>
      <c r="I24" s="177">
        <v>11</v>
      </c>
      <c r="J24" s="177">
        <v>14</v>
      </c>
      <c r="K24" s="199" t="s">
        <v>420</v>
      </c>
      <c r="L24" s="177"/>
      <c r="M24" s="178">
        <v>4</v>
      </c>
      <c r="N24" s="178" cm="1">
        <f t="array" ref="N24">SUM((H24:J24)/3)</f>
        <v>14.666666666666668</v>
      </c>
      <c r="O24" s="179">
        <v>30</v>
      </c>
      <c r="P24" s="179">
        <f t="shared" si="0"/>
        <v>27</v>
      </c>
      <c r="Q24" s="167"/>
      <c r="R24" s="189"/>
      <c r="S24" s="190"/>
      <c r="T24" s="190"/>
      <c r="U24" s="189"/>
      <c r="V24" s="189"/>
      <c r="W24" s="167"/>
      <c r="X24" s="182">
        <v>1.6853</v>
      </c>
      <c r="Y24" s="182">
        <v>1.71</v>
      </c>
      <c r="Z24" s="182">
        <f t="shared" si="1"/>
        <v>2.0223599999999999</v>
      </c>
      <c r="AA24" s="182">
        <f t="shared" si="2"/>
        <v>2.052</v>
      </c>
      <c r="AB24" s="167"/>
      <c r="AC24" s="183" t="s">
        <v>221</v>
      </c>
      <c r="AD24" s="184">
        <v>0</v>
      </c>
      <c r="AE24" s="184">
        <v>0</v>
      </c>
      <c r="AF24" s="184">
        <f>0.0821*365</f>
        <v>29.966500000000003</v>
      </c>
      <c r="AG24" s="184">
        <f>0.2384*365</f>
        <v>87.016000000000005</v>
      </c>
      <c r="AH24" s="184">
        <f t="shared" si="4"/>
        <v>60.67</v>
      </c>
      <c r="AI24" s="185">
        <f t="shared" si="5"/>
        <v>55.4</v>
      </c>
      <c r="AJ24" s="186">
        <f t="shared" si="6"/>
        <v>233.05250000000004</v>
      </c>
      <c r="AK24" s="167"/>
      <c r="AL24" s="148"/>
      <c r="AM24" s="148"/>
      <c r="AN24" s="148"/>
      <c r="AO24" s="148"/>
      <c r="AP24" s="148"/>
      <c r="AQ24" s="148"/>
      <c r="AR24" s="148"/>
      <c r="AS24" s="148"/>
      <c r="AT24" s="148"/>
      <c r="AU24" s="148"/>
      <c r="AV24" s="148"/>
      <c r="AW24" s="148"/>
      <c r="AX24" s="148"/>
      <c r="AY24" s="148"/>
      <c r="AZ24" s="148"/>
      <c r="BA24" s="148"/>
      <c r="BB24" s="148"/>
      <c r="BC24" s="148"/>
      <c r="BD24" s="148"/>
      <c r="BE24" s="148"/>
      <c r="BF24" s="148"/>
      <c r="BG24" s="148"/>
      <c r="BH24" s="148"/>
      <c r="BI24" s="148"/>
      <c r="BJ24" s="148"/>
    </row>
    <row r="25" spans="1:62" x14ac:dyDescent="0.3">
      <c r="A25" s="198"/>
      <c r="B25" s="148"/>
      <c r="C25" s="73" t="s">
        <v>717</v>
      </c>
      <c r="D25" s="140"/>
      <c r="E25" s="141" t="s">
        <v>2</v>
      </c>
      <c r="F25" s="141"/>
      <c r="G25" s="167"/>
      <c r="H25" s="177">
        <v>30</v>
      </c>
      <c r="I25" s="177">
        <v>30</v>
      </c>
      <c r="J25" s="177">
        <v>11</v>
      </c>
      <c r="K25" s="199" t="s">
        <v>420</v>
      </c>
      <c r="L25" s="177"/>
      <c r="M25" s="178">
        <v>0</v>
      </c>
      <c r="N25" s="178" cm="1">
        <f t="array" ref="N25">SUM((H25:J25)/3)</f>
        <v>23.666666666666668</v>
      </c>
      <c r="O25" s="179">
        <v>30</v>
      </c>
      <c r="P25" s="179">
        <f t="shared" si="0"/>
        <v>27</v>
      </c>
      <c r="Q25" s="167"/>
      <c r="R25" s="189"/>
      <c r="S25" s="190"/>
      <c r="T25" s="190"/>
      <c r="U25" s="189"/>
      <c r="V25" s="189"/>
      <c r="W25" s="167"/>
      <c r="X25" s="182">
        <v>1.6853</v>
      </c>
      <c r="Y25" s="182">
        <v>1.64</v>
      </c>
      <c r="Z25" s="182">
        <f t="shared" si="1"/>
        <v>2.0223599999999999</v>
      </c>
      <c r="AA25" s="182">
        <f t="shared" si="2"/>
        <v>1.968</v>
      </c>
      <c r="AB25" s="167"/>
      <c r="AC25" s="183"/>
      <c r="AD25" s="184"/>
      <c r="AE25" s="184"/>
      <c r="AF25" s="184">
        <f t="shared" ref="AF25:AG25" si="12">ROUND(AD25*12,2)</f>
        <v>0</v>
      </c>
      <c r="AG25" s="184">
        <f t="shared" si="12"/>
        <v>0</v>
      </c>
      <c r="AH25" s="184">
        <f t="shared" si="4"/>
        <v>0</v>
      </c>
      <c r="AI25" s="185">
        <f t="shared" si="5"/>
        <v>0</v>
      </c>
      <c r="AJ25" s="186">
        <f t="shared" si="6"/>
        <v>0</v>
      </c>
      <c r="AK25" s="167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</row>
    <row r="26" spans="1:62" x14ac:dyDescent="0.3">
      <c r="A26" s="198"/>
      <c r="B26" s="148"/>
      <c r="C26" s="73" t="s">
        <v>717</v>
      </c>
      <c r="D26" s="140"/>
      <c r="E26" s="141" t="s">
        <v>2</v>
      </c>
      <c r="F26" s="141" t="s">
        <v>413</v>
      </c>
      <c r="G26" s="167"/>
      <c r="H26" s="177">
        <v>54</v>
      </c>
      <c r="I26" s="177">
        <v>60</v>
      </c>
      <c r="J26" s="177">
        <v>68</v>
      </c>
      <c r="K26" s="199"/>
      <c r="L26" s="177"/>
      <c r="M26" s="178">
        <v>45</v>
      </c>
      <c r="N26" s="178" cm="1">
        <f t="array" ref="N26">SUM((H26:J26)/3)</f>
        <v>60.666666666666671</v>
      </c>
      <c r="O26" s="179">
        <v>61</v>
      </c>
      <c r="P26" s="179">
        <f t="shared" si="0"/>
        <v>54.9</v>
      </c>
      <c r="Q26" s="167"/>
      <c r="R26" s="189"/>
      <c r="S26" s="190"/>
      <c r="T26" s="190"/>
      <c r="U26" s="189"/>
      <c r="V26" s="189"/>
      <c r="W26" s="167"/>
      <c r="X26" s="182">
        <v>1.6853</v>
      </c>
      <c r="Y26" s="182">
        <v>1.71</v>
      </c>
      <c r="Z26" s="182">
        <f t="shared" si="1"/>
        <v>2.0223599999999999</v>
      </c>
      <c r="AA26" s="182">
        <f t="shared" si="2"/>
        <v>2.052</v>
      </c>
      <c r="AB26" s="167"/>
      <c r="AC26" s="183" t="s">
        <v>221</v>
      </c>
      <c r="AD26" s="184">
        <v>0</v>
      </c>
      <c r="AE26" s="184">
        <v>9</v>
      </c>
      <c r="AF26" s="184">
        <f t="shared" ref="AF26:AF32" si="13">0.0835*365</f>
        <v>30.477500000000003</v>
      </c>
      <c r="AG26" s="184">
        <f>0.2384*365</f>
        <v>87.016000000000005</v>
      </c>
      <c r="AH26" s="184">
        <f t="shared" si="4"/>
        <v>123.36</v>
      </c>
      <c r="AI26" s="185">
        <f t="shared" si="5"/>
        <v>112.65</v>
      </c>
      <c r="AJ26" s="186">
        <f t="shared" si="6"/>
        <v>353.50350000000003</v>
      </c>
      <c r="AK26" s="167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  <c r="AV26" s="148"/>
      <c r="AW26" s="148"/>
      <c r="AX26" s="148"/>
      <c r="AY26" s="148"/>
      <c r="AZ26" s="148"/>
      <c r="BA26" s="148"/>
      <c r="BB26" s="148"/>
      <c r="BC26" s="148"/>
      <c r="BD26" s="148"/>
      <c r="BE26" s="148"/>
      <c r="BF26" s="148"/>
      <c r="BG26" s="148"/>
      <c r="BH26" s="148"/>
      <c r="BI26" s="148"/>
      <c r="BJ26" s="148"/>
    </row>
    <row r="27" spans="1:62" x14ac:dyDescent="0.3">
      <c r="A27" s="198"/>
      <c r="B27" s="148"/>
      <c r="C27" s="73" t="s">
        <v>717</v>
      </c>
      <c r="D27" s="140"/>
      <c r="E27" s="141" t="s">
        <v>2</v>
      </c>
      <c r="F27" s="141" t="s">
        <v>413</v>
      </c>
      <c r="G27" s="167"/>
      <c r="H27" s="177">
        <v>138</v>
      </c>
      <c r="I27" s="177">
        <v>138</v>
      </c>
      <c r="J27" s="177">
        <v>162</v>
      </c>
      <c r="K27" s="199"/>
      <c r="L27" s="177"/>
      <c r="M27" s="178">
        <v>116</v>
      </c>
      <c r="N27" s="178" cm="1">
        <f t="array" ref="N27">SUM((H27:J27)/3)</f>
        <v>146</v>
      </c>
      <c r="O27" s="179">
        <v>146</v>
      </c>
      <c r="P27" s="179">
        <f t="shared" si="0"/>
        <v>131.4</v>
      </c>
      <c r="Q27" s="167"/>
      <c r="R27" s="189"/>
      <c r="S27" s="190"/>
      <c r="T27" s="190"/>
      <c r="U27" s="189"/>
      <c r="V27" s="189"/>
      <c r="W27" s="167"/>
      <c r="X27" s="182">
        <v>1.6853</v>
      </c>
      <c r="Y27" s="182">
        <v>1.71</v>
      </c>
      <c r="Z27" s="182">
        <f t="shared" si="1"/>
        <v>2.0223599999999999</v>
      </c>
      <c r="AA27" s="182">
        <f t="shared" si="2"/>
        <v>2.052</v>
      </c>
      <c r="AB27" s="167"/>
      <c r="AC27" s="183" t="s">
        <v>221</v>
      </c>
      <c r="AD27" s="184">
        <v>0</v>
      </c>
      <c r="AE27" s="184">
        <v>9</v>
      </c>
      <c r="AF27" s="184">
        <f t="shared" si="13"/>
        <v>30.477500000000003</v>
      </c>
      <c r="AG27" s="184">
        <f>0.2384*365</f>
        <v>87.016000000000005</v>
      </c>
      <c r="AH27" s="184">
        <f t="shared" si="4"/>
        <v>295.26</v>
      </c>
      <c r="AI27" s="185">
        <f t="shared" si="5"/>
        <v>269.63</v>
      </c>
      <c r="AJ27" s="186">
        <f t="shared" si="6"/>
        <v>682.38350000000003</v>
      </c>
      <c r="AK27" s="167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</row>
    <row r="28" spans="1:62" x14ac:dyDescent="0.3">
      <c r="A28" s="198"/>
      <c r="B28" s="148"/>
      <c r="C28" s="73" t="s">
        <v>717</v>
      </c>
      <c r="D28" s="140"/>
      <c r="E28" s="141" t="s">
        <v>2</v>
      </c>
      <c r="F28" s="141" t="s">
        <v>413</v>
      </c>
      <c r="G28" s="167"/>
      <c r="H28" s="177">
        <v>214</v>
      </c>
      <c r="I28" s="177">
        <v>185</v>
      </c>
      <c r="J28" s="177">
        <v>246</v>
      </c>
      <c r="K28" s="199"/>
      <c r="L28" s="177"/>
      <c r="M28" s="178">
        <v>159</v>
      </c>
      <c r="N28" s="178" cm="1">
        <f t="array" ref="N28">SUM((H28:J28)/3)</f>
        <v>215</v>
      </c>
      <c r="O28" s="179">
        <v>215</v>
      </c>
      <c r="P28" s="179">
        <f t="shared" si="0"/>
        <v>193.5</v>
      </c>
      <c r="Q28" s="167"/>
      <c r="R28" s="189"/>
      <c r="S28" s="190"/>
      <c r="T28" s="190"/>
      <c r="U28" s="189"/>
      <c r="V28" s="189"/>
      <c r="W28" s="167"/>
      <c r="X28" s="182">
        <v>1.6853</v>
      </c>
      <c r="Y28" s="182">
        <v>1.71</v>
      </c>
      <c r="Z28" s="182">
        <f t="shared" si="1"/>
        <v>2.0223599999999999</v>
      </c>
      <c r="AA28" s="182">
        <f t="shared" si="2"/>
        <v>2.052</v>
      </c>
      <c r="AB28" s="167"/>
      <c r="AC28" s="183" t="s">
        <v>221</v>
      </c>
      <c r="AD28" s="184">
        <v>0</v>
      </c>
      <c r="AE28" s="184">
        <v>9</v>
      </c>
      <c r="AF28" s="184">
        <f t="shared" si="13"/>
        <v>30.477500000000003</v>
      </c>
      <c r="AG28" s="184">
        <f>0.2541*365</f>
        <v>92.746499999999997</v>
      </c>
      <c r="AH28" s="184">
        <f t="shared" si="4"/>
        <v>434.81</v>
      </c>
      <c r="AI28" s="185">
        <f t="shared" si="5"/>
        <v>397.06</v>
      </c>
      <c r="AJ28" s="186">
        <f t="shared" si="6"/>
        <v>955.09400000000005</v>
      </c>
      <c r="AK28" s="167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</row>
    <row r="29" spans="1:62" x14ac:dyDescent="0.3">
      <c r="A29" s="198"/>
      <c r="B29" s="148"/>
      <c r="C29" s="73" t="s">
        <v>717</v>
      </c>
      <c r="D29" s="140"/>
      <c r="E29" s="141" t="s">
        <v>2</v>
      </c>
      <c r="F29" s="141" t="s">
        <v>413</v>
      </c>
      <c r="G29" s="167"/>
      <c r="H29" s="177">
        <v>39</v>
      </c>
      <c r="I29" s="177">
        <v>49</v>
      </c>
      <c r="J29" s="177">
        <v>46</v>
      </c>
      <c r="K29" s="199"/>
      <c r="L29" s="177"/>
      <c r="M29" s="178">
        <v>56</v>
      </c>
      <c r="N29" s="178" cm="1">
        <f t="array" ref="N29">SUM((H29:J29)/3)</f>
        <v>44.666666666666664</v>
      </c>
      <c r="O29" s="179">
        <v>45</v>
      </c>
      <c r="P29" s="179">
        <f t="shared" si="0"/>
        <v>40.5</v>
      </c>
      <c r="Q29" s="167"/>
      <c r="R29" s="189"/>
      <c r="S29" s="190"/>
      <c r="T29" s="190"/>
      <c r="U29" s="189"/>
      <c r="V29" s="189"/>
      <c r="W29" s="167"/>
      <c r="X29" s="182">
        <v>1.6853</v>
      </c>
      <c r="Y29" s="182">
        <v>1.71</v>
      </c>
      <c r="Z29" s="182">
        <f t="shared" si="1"/>
        <v>2.0223599999999999</v>
      </c>
      <c r="AA29" s="182">
        <f t="shared" si="2"/>
        <v>2.052</v>
      </c>
      <c r="AB29" s="167"/>
      <c r="AC29" s="183" t="s">
        <v>221</v>
      </c>
      <c r="AD29" s="184">
        <v>0</v>
      </c>
      <c r="AE29" s="184">
        <v>9</v>
      </c>
      <c r="AF29" s="184">
        <f t="shared" si="13"/>
        <v>30.477500000000003</v>
      </c>
      <c r="AG29" s="184">
        <f>0.2541*365</f>
        <v>92.746499999999997</v>
      </c>
      <c r="AH29" s="184">
        <f t="shared" si="4"/>
        <v>91.01</v>
      </c>
      <c r="AI29" s="185">
        <f t="shared" si="5"/>
        <v>83.11</v>
      </c>
      <c r="AJ29" s="186">
        <f t="shared" si="6"/>
        <v>297.34399999999999</v>
      </c>
      <c r="AK29" s="167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</row>
    <row r="30" spans="1:62" x14ac:dyDescent="0.3">
      <c r="A30" s="198"/>
      <c r="B30" s="148"/>
      <c r="C30" s="73" t="s">
        <v>717</v>
      </c>
      <c r="D30" s="140"/>
      <c r="E30" s="141" t="s">
        <v>2</v>
      </c>
      <c r="F30" s="141" t="s">
        <v>413</v>
      </c>
      <c r="G30" s="167"/>
      <c r="H30" s="177">
        <v>64</v>
      </c>
      <c r="I30" s="177">
        <v>60</v>
      </c>
      <c r="J30" s="177">
        <v>60</v>
      </c>
      <c r="K30" s="199"/>
      <c r="L30" s="177"/>
      <c r="M30" s="178">
        <v>29</v>
      </c>
      <c r="N30" s="178" cm="1">
        <f t="array" ref="N30">SUM((H30:J30)/3)</f>
        <v>61.333333333333329</v>
      </c>
      <c r="O30" s="179">
        <v>60</v>
      </c>
      <c r="P30" s="179">
        <f t="shared" si="0"/>
        <v>54</v>
      </c>
      <c r="Q30" s="167"/>
      <c r="R30" s="189"/>
      <c r="S30" s="190"/>
      <c r="T30" s="190"/>
      <c r="U30" s="189"/>
      <c r="V30" s="189"/>
      <c r="W30" s="167"/>
      <c r="X30" s="182">
        <v>1.6853</v>
      </c>
      <c r="Y30" s="182">
        <v>1.71</v>
      </c>
      <c r="Z30" s="182">
        <f>SUM(X30+X30*$AA$3)</f>
        <v>2.0223599999999999</v>
      </c>
      <c r="AA30" s="182">
        <f>SUM(Y30+Y30*$AA$3)</f>
        <v>2.052</v>
      </c>
      <c r="AB30" s="167"/>
      <c r="AC30" s="183" t="s">
        <v>221</v>
      </c>
      <c r="AD30" s="184">
        <v>0</v>
      </c>
      <c r="AE30" s="184">
        <v>9</v>
      </c>
      <c r="AF30" s="184">
        <f t="shared" si="13"/>
        <v>30.477500000000003</v>
      </c>
      <c r="AG30" s="184">
        <f>0.2541*365</f>
        <v>92.746499999999997</v>
      </c>
      <c r="AH30" s="184">
        <f t="shared" si="4"/>
        <v>121.34</v>
      </c>
      <c r="AI30" s="185">
        <f t="shared" si="5"/>
        <v>110.81</v>
      </c>
      <c r="AJ30" s="186">
        <f t="shared" si="6"/>
        <v>355.37400000000002</v>
      </c>
      <c r="AK30" s="167"/>
      <c r="AL30" s="148"/>
      <c r="AM30" s="148"/>
      <c r="AN30" s="148"/>
      <c r="AO30" s="148"/>
      <c r="AP30" s="148"/>
      <c r="AQ30" s="148"/>
      <c r="AR30" s="148"/>
      <c r="AS30" s="148"/>
      <c r="AT30" s="148"/>
      <c r="AU30" s="148"/>
      <c r="AV30" s="148"/>
      <c r="AW30" s="148"/>
      <c r="AX30" s="148"/>
      <c r="AY30" s="148"/>
      <c r="AZ30" s="148"/>
      <c r="BA30" s="148"/>
      <c r="BB30" s="148"/>
      <c r="BC30" s="148"/>
      <c r="BD30" s="148"/>
      <c r="BE30" s="148"/>
      <c r="BF30" s="148"/>
      <c r="BG30" s="148"/>
      <c r="BH30" s="148"/>
      <c r="BI30" s="148"/>
      <c r="BJ30" s="148"/>
    </row>
    <row r="31" spans="1:62" x14ac:dyDescent="0.3">
      <c r="A31" s="198"/>
      <c r="B31" s="148"/>
      <c r="C31" s="73" t="s">
        <v>717</v>
      </c>
      <c r="D31" s="140"/>
      <c r="E31" s="141" t="s">
        <v>2</v>
      </c>
      <c r="F31" s="141" t="s">
        <v>413</v>
      </c>
      <c r="G31" s="167"/>
      <c r="H31" s="177">
        <v>50</v>
      </c>
      <c r="I31" s="177">
        <v>54</v>
      </c>
      <c r="J31" s="177">
        <v>32</v>
      </c>
      <c r="K31" s="199"/>
      <c r="L31" s="177"/>
      <c r="M31" s="178">
        <v>14</v>
      </c>
      <c r="N31" s="178" cm="1">
        <f t="array" ref="N31">SUM((H31:J31)/3)</f>
        <v>45.333333333333336</v>
      </c>
      <c r="O31" s="179">
        <v>45</v>
      </c>
      <c r="P31" s="179">
        <f t="shared" si="0"/>
        <v>40.5</v>
      </c>
      <c r="Q31" s="167"/>
      <c r="R31" s="189"/>
      <c r="S31" s="190"/>
      <c r="T31" s="190"/>
      <c r="U31" s="189"/>
      <c r="V31" s="189"/>
      <c r="W31" s="167"/>
      <c r="X31" s="182">
        <v>1.6853</v>
      </c>
      <c r="Y31" s="182">
        <v>1.71</v>
      </c>
      <c r="Z31" s="182">
        <f>SUM(X31+X31*$AA$3)</f>
        <v>2.0223599999999999</v>
      </c>
      <c r="AA31" s="182">
        <f>SUM(Y31+Y31*$AA$3)</f>
        <v>2.052</v>
      </c>
      <c r="AB31" s="167"/>
      <c r="AC31" s="183" t="s">
        <v>221</v>
      </c>
      <c r="AD31" s="184">
        <v>0</v>
      </c>
      <c r="AE31" s="184">
        <v>9</v>
      </c>
      <c r="AF31" s="184">
        <f t="shared" si="13"/>
        <v>30.477500000000003</v>
      </c>
      <c r="AG31" s="184">
        <f>0.2541*365</f>
        <v>92.746499999999997</v>
      </c>
      <c r="AH31" s="184">
        <f t="shared" si="4"/>
        <v>91.01</v>
      </c>
      <c r="AI31" s="185">
        <f t="shared" si="5"/>
        <v>83.11</v>
      </c>
      <c r="AJ31" s="186">
        <f t="shared" si="6"/>
        <v>297.34399999999999</v>
      </c>
      <c r="AK31" s="167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</row>
    <row r="32" spans="1:62" x14ac:dyDescent="0.3">
      <c r="A32" s="198"/>
      <c r="B32" s="148"/>
      <c r="C32" s="73" t="s">
        <v>717</v>
      </c>
      <c r="D32" s="140"/>
      <c r="E32" s="141" t="s">
        <v>2</v>
      </c>
      <c r="F32" s="141" t="s">
        <v>413</v>
      </c>
      <c r="G32" s="167"/>
      <c r="H32" s="177">
        <v>0</v>
      </c>
      <c r="I32" s="177">
        <v>0</v>
      </c>
      <c r="J32" s="177">
        <v>0</v>
      </c>
      <c r="K32" s="199" t="s">
        <v>421</v>
      </c>
      <c r="L32" s="177"/>
      <c r="M32" s="178">
        <v>19</v>
      </c>
      <c r="N32" s="178" cm="1">
        <f t="array" ref="N32">SUM((H32:J32)/3)</f>
        <v>0</v>
      </c>
      <c r="O32" s="179">
        <v>20</v>
      </c>
      <c r="P32" s="179">
        <f t="shared" si="0"/>
        <v>18</v>
      </c>
      <c r="Q32" s="167"/>
      <c r="R32" s="189"/>
      <c r="S32" s="190"/>
      <c r="T32" s="190"/>
      <c r="U32" s="189"/>
      <c r="V32" s="189"/>
      <c r="W32" s="167"/>
      <c r="X32" s="182">
        <v>1.6853</v>
      </c>
      <c r="Y32" s="182">
        <v>1.71</v>
      </c>
      <c r="Z32" s="182">
        <f t="shared" ref="Z32:Z57" si="14">SUM(X32+X32*$AA$3)</f>
        <v>2.0223599999999999</v>
      </c>
      <c r="AA32" s="182">
        <f t="shared" ref="AA32:AA70" si="15">SUM(Y32+Y32*$AA$3)</f>
        <v>2.052</v>
      </c>
      <c r="AB32" s="167"/>
      <c r="AC32" s="183" t="s">
        <v>417</v>
      </c>
      <c r="AD32" s="184">
        <v>0</v>
      </c>
      <c r="AE32" s="184">
        <v>9</v>
      </c>
      <c r="AF32" s="184">
        <f t="shared" si="13"/>
        <v>30.477500000000003</v>
      </c>
      <c r="AG32" s="184">
        <f>0.2541*365</f>
        <v>92.746499999999997</v>
      </c>
      <c r="AH32" s="184">
        <f t="shared" si="4"/>
        <v>40.450000000000003</v>
      </c>
      <c r="AI32" s="185">
        <f t="shared" si="5"/>
        <v>36.94</v>
      </c>
      <c r="AJ32" s="186">
        <f t="shared" si="6"/>
        <v>200.614</v>
      </c>
      <c r="AK32" s="167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</row>
    <row r="33" spans="1:62" x14ac:dyDescent="0.3">
      <c r="A33" s="198"/>
      <c r="B33" s="148"/>
      <c r="C33" s="73" t="s">
        <v>717</v>
      </c>
      <c r="D33" s="140"/>
      <c r="E33" s="141" t="s">
        <v>2</v>
      </c>
      <c r="F33" s="141"/>
      <c r="G33" s="167"/>
      <c r="H33" s="177">
        <v>0</v>
      </c>
      <c r="I33" s="177">
        <v>0</v>
      </c>
      <c r="J33" s="177">
        <v>0</v>
      </c>
      <c r="K33" s="199"/>
      <c r="L33" s="177"/>
      <c r="M33" s="178">
        <v>0</v>
      </c>
      <c r="N33" s="178" cm="1">
        <f t="array" ref="N33">SUM((H33:J33)/3)</f>
        <v>0</v>
      </c>
      <c r="O33" s="179">
        <v>0</v>
      </c>
      <c r="P33" s="179">
        <f t="shared" si="0"/>
        <v>0</v>
      </c>
      <c r="Q33" s="167"/>
      <c r="R33" s="189"/>
      <c r="S33" s="190"/>
      <c r="T33" s="190"/>
      <c r="U33" s="189"/>
      <c r="V33" s="189"/>
      <c r="W33" s="167"/>
      <c r="X33" s="182"/>
      <c r="Y33" s="182"/>
      <c r="Z33" s="182">
        <f t="shared" si="14"/>
        <v>0</v>
      </c>
      <c r="AA33" s="182">
        <f t="shared" si="15"/>
        <v>0</v>
      </c>
      <c r="AB33" s="167"/>
      <c r="AC33" s="183"/>
      <c r="AD33" s="184"/>
      <c r="AE33" s="184"/>
      <c r="AF33" s="184">
        <f t="shared" ref="AF33:AG58" si="16">ROUND(AD33*12,2)</f>
        <v>0</v>
      </c>
      <c r="AG33" s="184">
        <f t="shared" si="16"/>
        <v>0</v>
      </c>
      <c r="AH33" s="184">
        <f t="shared" si="4"/>
        <v>0</v>
      </c>
      <c r="AI33" s="185">
        <f t="shared" si="5"/>
        <v>0</v>
      </c>
      <c r="AJ33" s="186">
        <f t="shared" si="6"/>
        <v>0</v>
      </c>
      <c r="AK33" s="167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</row>
    <row r="34" spans="1:62" x14ac:dyDescent="0.3">
      <c r="A34" s="198"/>
      <c r="B34" s="148"/>
      <c r="C34" s="73" t="s">
        <v>717</v>
      </c>
      <c r="D34" s="140"/>
      <c r="E34" s="141" t="s">
        <v>2</v>
      </c>
      <c r="F34" s="141"/>
      <c r="G34" s="167"/>
      <c r="H34" s="177">
        <v>31</v>
      </c>
      <c r="I34" s="177">
        <v>31</v>
      </c>
      <c r="J34" s="177">
        <v>-13</v>
      </c>
      <c r="K34" s="199" t="s">
        <v>420</v>
      </c>
      <c r="L34" s="177"/>
      <c r="M34" s="178">
        <v>12</v>
      </c>
      <c r="N34" s="178" cm="1">
        <f t="array" ref="N34">SUM((H34:J34)/3)</f>
        <v>16.333333333333336</v>
      </c>
      <c r="O34" s="179">
        <v>30</v>
      </c>
      <c r="P34" s="179">
        <f t="shared" si="0"/>
        <v>27</v>
      </c>
      <c r="Q34" s="167"/>
      <c r="R34" s="189"/>
      <c r="S34" s="190"/>
      <c r="T34" s="190"/>
      <c r="U34" s="189"/>
      <c r="V34" s="189"/>
      <c r="W34" s="167"/>
      <c r="X34" s="182"/>
      <c r="Y34" s="182"/>
      <c r="Z34" s="182">
        <f t="shared" si="14"/>
        <v>0</v>
      </c>
      <c r="AA34" s="182">
        <f t="shared" si="15"/>
        <v>0</v>
      </c>
      <c r="AB34" s="167"/>
      <c r="AC34" s="183"/>
      <c r="AD34" s="184"/>
      <c r="AE34" s="184">
        <v>9</v>
      </c>
      <c r="AF34" s="184">
        <f t="shared" si="16"/>
        <v>0</v>
      </c>
      <c r="AG34" s="184">
        <f t="shared" si="16"/>
        <v>108</v>
      </c>
      <c r="AH34" s="184">
        <f t="shared" si="4"/>
        <v>0</v>
      </c>
      <c r="AI34" s="185">
        <f t="shared" si="5"/>
        <v>0</v>
      </c>
      <c r="AJ34" s="186">
        <f t="shared" si="6"/>
        <v>108</v>
      </c>
      <c r="AK34" s="167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</row>
    <row r="35" spans="1:62" x14ac:dyDescent="0.3">
      <c r="A35" s="198"/>
      <c r="B35" s="148"/>
      <c r="C35" s="73" t="s">
        <v>717</v>
      </c>
      <c r="D35" s="140"/>
      <c r="E35" s="141" t="s">
        <v>2</v>
      </c>
      <c r="F35" s="141" t="s">
        <v>413</v>
      </c>
      <c r="G35" s="167"/>
      <c r="H35" s="177">
        <v>14</v>
      </c>
      <c r="I35" s="177">
        <v>24</v>
      </c>
      <c r="J35" s="177">
        <v>-3</v>
      </c>
      <c r="K35" s="199" t="s">
        <v>420</v>
      </c>
      <c r="L35" s="177"/>
      <c r="M35" s="178">
        <v>143</v>
      </c>
      <c r="N35" s="178" cm="1">
        <f t="array" ref="N35">SUM((H35:J35)/3)</f>
        <v>11.666666666666668</v>
      </c>
      <c r="O35" s="179">
        <v>24</v>
      </c>
      <c r="P35" s="179">
        <f t="shared" si="0"/>
        <v>21.6</v>
      </c>
      <c r="Q35" s="167"/>
      <c r="R35" s="189"/>
      <c r="S35" s="190"/>
      <c r="T35" s="190"/>
      <c r="U35" s="189"/>
      <c r="V35" s="189"/>
      <c r="W35" s="167"/>
      <c r="X35" s="182">
        <v>1.6304799999999999</v>
      </c>
      <c r="Y35" s="182">
        <v>1.64</v>
      </c>
      <c r="Z35" s="182">
        <f t="shared" si="14"/>
        <v>1.9565759999999999</v>
      </c>
      <c r="AA35" s="182">
        <f t="shared" si="15"/>
        <v>1.968</v>
      </c>
      <c r="AB35" s="167"/>
      <c r="AC35" s="183" t="s">
        <v>414</v>
      </c>
      <c r="AD35" s="184">
        <v>4.0999999999999996</v>
      </c>
      <c r="AE35" s="184">
        <v>9</v>
      </c>
      <c r="AF35" s="184">
        <f t="shared" si="16"/>
        <v>49.2</v>
      </c>
      <c r="AG35" s="184">
        <f t="shared" si="16"/>
        <v>108</v>
      </c>
      <c r="AH35" s="184">
        <f t="shared" si="4"/>
        <v>46.96</v>
      </c>
      <c r="AI35" s="185">
        <f t="shared" si="5"/>
        <v>42.51</v>
      </c>
      <c r="AJ35" s="186">
        <f t="shared" si="6"/>
        <v>246.67</v>
      </c>
      <c r="AK35" s="167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</row>
    <row r="36" spans="1:62" x14ac:dyDescent="0.3">
      <c r="A36" s="198"/>
      <c r="B36" s="148"/>
      <c r="C36" s="73" t="s">
        <v>717</v>
      </c>
      <c r="D36" s="140"/>
      <c r="E36" s="141" t="s">
        <v>2</v>
      </c>
      <c r="F36" s="141" t="s">
        <v>413</v>
      </c>
      <c r="G36" s="167"/>
      <c r="H36" s="177">
        <v>38</v>
      </c>
      <c r="I36" s="177">
        <v>29</v>
      </c>
      <c r="J36" s="177">
        <v>-17</v>
      </c>
      <c r="K36" s="199" t="s">
        <v>420</v>
      </c>
      <c r="L36" s="177"/>
      <c r="M36" s="178">
        <v>1</v>
      </c>
      <c r="N36" s="178" cm="1">
        <f t="array" ref="N36">SUM((H36:J36)/3)</f>
        <v>16.666666666666664</v>
      </c>
      <c r="O36" s="179">
        <v>32</v>
      </c>
      <c r="P36" s="179">
        <f t="shared" si="0"/>
        <v>28.8</v>
      </c>
      <c r="Q36" s="167"/>
      <c r="R36" s="189"/>
      <c r="S36" s="190"/>
      <c r="T36" s="190"/>
      <c r="U36" s="189"/>
      <c r="V36" s="189"/>
      <c r="W36" s="167"/>
      <c r="X36" s="182">
        <v>1.63</v>
      </c>
      <c r="Y36" s="182">
        <v>1.64</v>
      </c>
      <c r="Z36" s="182">
        <f t="shared" si="14"/>
        <v>1.956</v>
      </c>
      <c r="AA36" s="182">
        <f t="shared" si="15"/>
        <v>1.968</v>
      </c>
      <c r="AB36" s="167"/>
      <c r="AC36" s="183" t="s">
        <v>414</v>
      </c>
      <c r="AD36" s="184">
        <v>4.0999999999999996</v>
      </c>
      <c r="AE36" s="184">
        <v>9</v>
      </c>
      <c r="AF36" s="184">
        <f t="shared" si="16"/>
        <v>49.2</v>
      </c>
      <c r="AG36" s="184">
        <f t="shared" si="16"/>
        <v>108</v>
      </c>
      <c r="AH36" s="184">
        <f t="shared" si="4"/>
        <v>62.59</v>
      </c>
      <c r="AI36" s="185">
        <f t="shared" si="5"/>
        <v>56.68</v>
      </c>
      <c r="AJ36" s="186">
        <f t="shared" si="6"/>
        <v>276.46999999999997</v>
      </c>
      <c r="AK36" s="167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</row>
    <row r="37" spans="1:62" x14ac:dyDescent="0.3">
      <c r="A37" s="198"/>
      <c r="B37" s="148"/>
      <c r="C37" s="73" t="s">
        <v>717</v>
      </c>
      <c r="D37" s="140"/>
      <c r="E37" s="141" t="s">
        <v>2</v>
      </c>
      <c r="F37" s="141" t="s">
        <v>413</v>
      </c>
      <c r="G37" s="167"/>
      <c r="H37" s="177">
        <v>54</v>
      </c>
      <c r="I37" s="177">
        <v>58</v>
      </c>
      <c r="J37" s="177">
        <v>-3</v>
      </c>
      <c r="K37" s="199" t="s">
        <v>420</v>
      </c>
      <c r="L37" s="177"/>
      <c r="M37" s="178">
        <v>13</v>
      </c>
      <c r="N37" s="178" cm="1">
        <f t="array" ref="N37">SUM((H37:J37)/3)</f>
        <v>36.333333333333329</v>
      </c>
      <c r="O37" s="179">
        <v>55</v>
      </c>
      <c r="P37" s="179">
        <f t="shared" si="0"/>
        <v>49.5</v>
      </c>
      <c r="Q37" s="167"/>
      <c r="R37" s="189"/>
      <c r="S37" s="190"/>
      <c r="T37" s="190"/>
      <c r="U37" s="189"/>
      <c r="V37" s="189"/>
      <c r="W37" s="167"/>
      <c r="X37" s="182">
        <v>1.63</v>
      </c>
      <c r="Y37" s="182">
        <v>1.64</v>
      </c>
      <c r="Z37" s="182">
        <f t="shared" si="14"/>
        <v>1.956</v>
      </c>
      <c r="AA37" s="182">
        <f t="shared" si="15"/>
        <v>1.968</v>
      </c>
      <c r="AB37" s="167"/>
      <c r="AC37" s="183" t="s">
        <v>414</v>
      </c>
      <c r="AD37" s="184">
        <v>4.0999999999999996</v>
      </c>
      <c r="AE37" s="184">
        <v>9</v>
      </c>
      <c r="AF37" s="184">
        <f t="shared" si="16"/>
        <v>49.2</v>
      </c>
      <c r="AG37" s="184">
        <f t="shared" si="16"/>
        <v>108</v>
      </c>
      <c r="AH37" s="184">
        <f t="shared" si="4"/>
        <v>107.58</v>
      </c>
      <c r="AI37" s="185">
        <f t="shared" si="5"/>
        <v>97.42</v>
      </c>
      <c r="AJ37" s="186">
        <f t="shared" si="6"/>
        <v>362.2</v>
      </c>
      <c r="AK37" s="167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</row>
    <row r="38" spans="1:62" x14ac:dyDescent="0.3">
      <c r="A38" s="198"/>
      <c r="B38" s="148"/>
      <c r="C38" s="73" t="s">
        <v>717</v>
      </c>
      <c r="D38" s="140"/>
      <c r="E38" s="141" t="s">
        <v>2</v>
      </c>
      <c r="F38" s="141" t="s">
        <v>413</v>
      </c>
      <c r="G38" s="167"/>
      <c r="H38" s="177">
        <v>47</v>
      </c>
      <c r="I38" s="177">
        <v>126</v>
      </c>
      <c r="J38" s="177">
        <v>-30</v>
      </c>
      <c r="K38" s="199" t="s">
        <v>420</v>
      </c>
      <c r="L38" s="177"/>
      <c r="M38" s="178">
        <v>61</v>
      </c>
      <c r="N38" s="178" cm="1">
        <f t="array" ref="N38">SUM((H38:J38)/3)</f>
        <v>47.666666666666664</v>
      </c>
      <c r="O38" s="179">
        <v>80</v>
      </c>
      <c r="P38" s="179">
        <f t="shared" si="0"/>
        <v>72</v>
      </c>
      <c r="Q38" s="167"/>
      <c r="R38" s="189"/>
      <c r="S38" s="190"/>
      <c r="T38" s="190"/>
      <c r="U38" s="189"/>
      <c r="V38" s="189"/>
      <c r="W38" s="167"/>
      <c r="X38" s="182">
        <v>1.63</v>
      </c>
      <c r="Y38" s="182">
        <v>1.64</v>
      </c>
      <c r="Z38" s="182">
        <f t="shared" si="14"/>
        <v>1.956</v>
      </c>
      <c r="AA38" s="182">
        <f t="shared" si="15"/>
        <v>1.968</v>
      </c>
      <c r="AB38" s="167"/>
      <c r="AC38" s="183" t="s">
        <v>414</v>
      </c>
      <c r="AD38" s="184">
        <v>4.0999999999999996</v>
      </c>
      <c r="AE38" s="184">
        <v>9</v>
      </c>
      <c r="AF38" s="184">
        <f t="shared" si="16"/>
        <v>49.2</v>
      </c>
      <c r="AG38" s="184">
        <f t="shared" si="16"/>
        <v>108</v>
      </c>
      <c r="AH38" s="184">
        <f t="shared" si="4"/>
        <v>156.47999999999999</v>
      </c>
      <c r="AI38" s="185">
        <f t="shared" si="5"/>
        <v>141.69999999999999</v>
      </c>
      <c r="AJ38" s="186">
        <f t="shared" si="6"/>
        <v>455.37999999999994</v>
      </c>
      <c r="AK38" s="167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</row>
    <row r="39" spans="1:62" x14ac:dyDescent="0.3">
      <c r="A39" s="198"/>
      <c r="B39" s="148"/>
      <c r="C39" s="73" t="s">
        <v>717</v>
      </c>
      <c r="D39" s="140"/>
      <c r="E39" s="141" t="s">
        <v>2</v>
      </c>
      <c r="F39" s="141" t="s">
        <v>413</v>
      </c>
      <c r="G39" s="167"/>
      <c r="H39" s="177">
        <v>26</v>
      </c>
      <c r="I39" s="177">
        <v>27</v>
      </c>
      <c r="J39" s="177">
        <v>-4</v>
      </c>
      <c r="K39" s="199" t="s">
        <v>420</v>
      </c>
      <c r="L39" s="177"/>
      <c r="M39" s="178">
        <v>4</v>
      </c>
      <c r="N39" s="178" cm="1">
        <f t="array" ref="N39">SUM((H39:J39)/3)</f>
        <v>16.333333333333332</v>
      </c>
      <c r="O39" s="179">
        <v>26</v>
      </c>
      <c r="P39" s="179">
        <f t="shared" si="0"/>
        <v>23.4</v>
      </c>
      <c r="Q39" s="167"/>
      <c r="R39" s="189"/>
      <c r="S39" s="190"/>
      <c r="T39" s="190"/>
      <c r="U39" s="189"/>
      <c r="V39" s="189"/>
      <c r="W39" s="167"/>
      <c r="X39" s="182">
        <v>1.63</v>
      </c>
      <c r="Y39" s="182">
        <v>1.64</v>
      </c>
      <c r="Z39" s="182">
        <f t="shared" si="14"/>
        <v>1.956</v>
      </c>
      <c r="AA39" s="182">
        <f t="shared" si="15"/>
        <v>1.968</v>
      </c>
      <c r="AB39" s="167"/>
      <c r="AC39" s="183" t="s">
        <v>414</v>
      </c>
      <c r="AD39" s="184">
        <v>4.0999999999999996</v>
      </c>
      <c r="AE39" s="184">
        <v>9</v>
      </c>
      <c r="AF39" s="184">
        <f t="shared" si="16"/>
        <v>49.2</v>
      </c>
      <c r="AG39" s="184">
        <f t="shared" si="16"/>
        <v>108</v>
      </c>
      <c r="AH39" s="184">
        <f t="shared" si="4"/>
        <v>50.86</v>
      </c>
      <c r="AI39" s="185">
        <f t="shared" si="5"/>
        <v>46.05</v>
      </c>
      <c r="AJ39" s="186">
        <f t="shared" si="6"/>
        <v>254.11</v>
      </c>
      <c r="AK39" s="167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</row>
    <row r="40" spans="1:62" x14ac:dyDescent="0.3">
      <c r="A40" s="198"/>
      <c r="B40" s="148"/>
      <c r="C40" s="73" t="s">
        <v>717</v>
      </c>
      <c r="D40" s="140"/>
      <c r="E40" s="141" t="s">
        <v>2</v>
      </c>
      <c r="F40" s="141" t="s">
        <v>413</v>
      </c>
      <c r="G40" s="167"/>
      <c r="H40" s="177">
        <v>33</v>
      </c>
      <c r="I40" s="177">
        <v>31</v>
      </c>
      <c r="J40" s="177">
        <v>-34</v>
      </c>
      <c r="K40" s="199" t="s">
        <v>420</v>
      </c>
      <c r="L40" s="177"/>
      <c r="M40" s="178">
        <v>19</v>
      </c>
      <c r="N40" s="178" cm="1">
        <f t="array" ref="N40">SUM((H40:J40)/3)</f>
        <v>10.000000000000002</v>
      </c>
      <c r="O40" s="179">
        <v>32</v>
      </c>
      <c r="P40" s="179">
        <f t="shared" si="0"/>
        <v>28.8</v>
      </c>
      <c r="Q40" s="167"/>
      <c r="R40" s="189"/>
      <c r="S40" s="190"/>
      <c r="T40" s="190"/>
      <c r="U40" s="189"/>
      <c r="V40" s="189"/>
      <c r="W40" s="167"/>
      <c r="X40" s="182">
        <v>1.63</v>
      </c>
      <c r="Y40" s="182">
        <v>1.64</v>
      </c>
      <c r="Z40" s="182">
        <f t="shared" si="14"/>
        <v>1.956</v>
      </c>
      <c r="AA40" s="182">
        <f t="shared" si="15"/>
        <v>1.968</v>
      </c>
      <c r="AB40" s="167"/>
      <c r="AC40" s="183" t="s">
        <v>414</v>
      </c>
      <c r="AD40" s="184">
        <v>4.0999999999999996</v>
      </c>
      <c r="AE40" s="184">
        <v>9</v>
      </c>
      <c r="AF40" s="184">
        <f t="shared" si="16"/>
        <v>49.2</v>
      </c>
      <c r="AG40" s="184">
        <f t="shared" si="16"/>
        <v>108</v>
      </c>
      <c r="AH40" s="184">
        <f t="shared" si="4"/>
        <v>62.59</v>
      </c>
      <c r="AI40" s="185">
        <f t="shared" si="5"/>
        <v>56.68</v>
      </c>
      <c r="AJ40" s="186">
        <f t="shared" si="6"/>
        <v>276.46999999999997</v>
      </c>
      <c r="AK40" s="167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</row>
    <row r="41" spans="1:62" x14ac:dyDescent="0.3">
      <c r="A41" s="198"/>
      <c r="B41" s="148"/>
      <c r="C41" s="73" t="s">
        <v>717</v>
      </c>
      <c r="D41" s="140"/>
      <c r="E41" s="141" t="s">
        <v>2</v>
      </c>
      <c r="F41" s="141" t="s">
        <v>413</v>
      </c>
      <c r="G41" s="167"/>
      <c r="H41" s="177">
        <v>13</v>
      </c>
      <c r="I41" s="177">
        <v>46</v>
      </c>
      <c r="J41" s="177">
        <v>5</v>
      </c>
      <c r="K41" s="199" t="s">
        <v>420</v>
      </c>
      <c r="L41" s="177"/>
      <c r="M41" s="178">
        <v>17</v>
      </c>
      <c r="N41" s="178" cm="1">
        <f t="array" ref="N41">SUM((H41:J41)/3)</f>
        <v>21.333333333333336</v>
      </c>
      <c r="O41" s="179">
        <v>30</v>
      </c>
      <c r="P41" s="179">
        <f t="shared" si="0"/>
        <v>27</v>
      </c>
      <c r="Q41" s="167"/>
      <c r="R41" s="189"/>
      <c r="S41" s="190"/>
      <c r="T41" s="190"/>
      <c r="U41" s="189"/>
      <c r="V41" s="189"/>
      <c r="W41" s="167"/>
      <c r="X41" s="182">
        <v>1.63</v>
      </c>
      <c r="Y41" s="182">
        <v>1.64</v>
      </c>
      <c r="Z41" s="182">
        <f t="shared" si="14"/>
        <v>1.956</v>
      </c>
      <c r="AA41" s="182">
        <f t="shared" si="15"/>
        <v>1.968</v>
      </c>
      <c r="AB41" s="167"/>
      <c r="AC41" s="183" t="s">
        <v>414</v>
      </c>
      <c r="AD41" s="184">
        <v>4.0999999999999996</v>
      </c>
      <c r="AE41" s="184">
        <v>9</v>
      </c>
      <c r="AF41" s="184">
        <f t="shared" si="16"/>
        <v>49.2</v>
      </c>
      <c r="AG41" s="184">
        <f t="shared" si="16"/>
        <v>108</v>
      </c>
      <c r="AH41" s="184">
        <f t="shared" si="4"/>
        <v>58.68</v>
      </c>
      <c r="AI41" s="185">
        <f t="shared" si="5"/>
        <v>53.14</v>
      </c>
      <c r="AJ41" s="186">
        <f t="shared" si="6"/>
        <v>269.02</v>
      </c>
      <c r="AK41" s="167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</row>
    <row r="42" spans="1:62" x14ac:dyDescent="0.3">
      <c r="A42" s="198"/>
      <c r="B42" s="148"/>
      <c r="C42" s="73" t="s">
        <v>717</v>
      </c>
      <c r="D42" s="140"/>
      <c r="E42" s="141" t="s">
        <v>2</v>
      </c>
      <c r="F42" s="141" t="s">
        <v>413</v>
      </c>
      <c r="G42" s="167"/>
      <c r="H42" s="177">
        <v>45</v>
      </c>
      <c r="I42" s="177">
        <v>41</v>
      </c>
      <c r="J42" s="177">
        <v>2</v>
      </c>
      <c r="K42" s="199" t="s">
        <v>420</v>
      </c>
      <c r="L42" s="177"/>
      <c r="M42" s="178">
        <v>23</v>
      </c>
      <c r="N42" s="178" cm="1">
        <f t="array" ref="N42">SUM((H42:J42)/3)</f>
        <v>29.333333333333332</v>
      </c>
      <c r="O42" s="179">
        <v>40</v>
      </c>
      <c r="P42" s="179">
        <f t="shared" si="0"/>
        <v>36</v>
      </c>
      <c r="Q42" s="167"/>
      <c r="R42" s="189"/>
      <c r="S42" s="190"/>
      <c r="T42" s="190"/>
      <c r="U42" s="189"/>
      <c r="V42" s="189"/>
      <c r="W42" s="167"/>
      <c r="X42" s="182">
        <v>1.63</v>
      </c>
      <c r="Y42" s="182">
        <v>1.64</v>
      </c>
      <c r="Z42" s="182">
        <f t="shared" si="14"/>
        <v>1.956</v>
      </c>
      <c r="AA42" s="182">
        <f t="shared" si="15"/>
        <v>1.968</v>
      </c>
      <c r="AB42" s="167"/>
      <c r="AC42" s="183" t="s">
        <v>414</v>
      </c>
      <c r="AD42" s="184">
        <v>4.0999999999999996</v>
      </c>
      <c r="AE42" s="184">
        <v>9</v>
      </c>
      <c r="AF42" s="184">
        <f t="shared" si="16"/>
        <v>49.2</v>
      </c>
      <c r="AG42" s="184">
        <f t="shared" si="16"/>
        <v>108</v>
      </c>
      <c r="AH42" s="184">
        <f t="shared" si="4"/>
        <v>78.239999999999995</v>
      </c>
      <c r="AI42" s="185">
        <f t="shared" si="5"/>
        <v>70.849999999999994</v>
      </c>
      <c r="AJ42" s="186">
        <f t="shared" si="6"/>
        <v>306.28999999999996</v>
      </c>
      <c r="AK42" s="167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</row>
    <row r="43" spans="1:62" x14ac:dyDescent="0.3">
      <c r="A43" s="198"/>
      <c r="B43" s="148"/>
      <c r="C43" s="73" t="s">
        <v>717</v>
      </c>
      <c r="D43" s="140"/>
      <c r="E43" s="141" t="s">
        <v>2</v>
      </c>
      <c r="F43" s="141" t="s">
        <v>413</v>
      </c>
      <c r="G43" s="167"/>
      <c r="H43" s="177">
        <v>13</v>
      </c>
      <c r="I43" s="177">
        <v>50</v>
      </c>
      <c r="J43" s="177">
        <v>-28</v>
      </c>
      <c r="K43" s="199" t="s">
        <v>420</v>
      </c>
      <c r="L43" s="177"/>
      <c r="M43" s="178">
        <v>28</v>
      </c>
      <c r="N43" s="178" cm="1">
        <f t="array" ref="N43">SUM((H43:J43)/3)</f>
        <v>11.666666666666666</v>
      </c>
      <c r="O43" s="179">
        <v>30</v>
      </c>
      <c r="P43" s="179">
        <f t="shared" si="0"/>
        <v>27</v>
      </c>
      <c r="Q43" s="167"/>
      <c r="R43" s="189"/>
      <c r="S43" s="190"/>
      <c r="T43" s="190"/>
      <c r="U43" s="189"/>
      <c r="V43" s="189"/>
      <c r="W43" s="167"/>
      <c r="X43" s="182">
        <v>1.63</v>
      </c>
      <c r="Y43" s="182">
        <v>1.64</v>
      </c>
      <c r="Z43" s="182">
        <f t="shared" si="14"/>
        <v>1.956</v>
      </c>
      <c r="AA43" s="182">
        <f t="shared" si="15"/>
        <v>1.968</v>
      </c>
      <c r="AB43" s="167"/>
      <c r="AC43" s="183" t="s">
        <v>414</v>
      </c>
      <c r="AD43" s="184">
        <v>3.97</v>
      </c>
      <c r="AE43" s="184">
        <v>9</v>
      </c>
      <c r="AF43" s="184">
        <f t="shared" si="16"/>
        <v>47.64</v>
      </c>
      <c r="AG43" s="184">
        <f t="shared" si="16"/>
        <v>108</v>
      </c>
      <c r="AH43" s="184">
        <f t="shared" si="4"/>
        <v>58.68</v>
      </c>
      <c r="AI43" s="185">
        <f t="shared" si="5"/>
        <v>53.14</v>
      </c>
      <c r="AJ43" s="186">
        <f t="shared" si="6"/>
        <v>267.45999999999998</v>
      </c>
      <c r="AK43" s="167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</row>
    <row r="44" spans="1:62" x14ac:dyDescent="0.3">
      <c r="A44" s="198"/>
      <c r="B44" s="148"/>
      <c r="C44" s="73" t="s">
        <v>717</v>
      </c>
      <c r="D44" s="140"/>
      <c r="E44" s="141" t="s">
        <v>2</v>
      </c>
      <c r="F44" s="141" t="s">
        <v>413</v>
      </c>
      <c r="G44" s="167"/>
      <c r="H44" s="177">
        <v>40</v>
      </c>
      <c r="I44" s="177">
        <v>59</v>
      </c>
      <c r="J44" s="177">
        <v>-24</v>
      </c>
      <c r="K44" s="199" t="s">
        <v>420</v>
      </c>
      <c r="L44" s="177"/>
      <c r="M44" s="178">
        <v>39</v>
      </c>
      <c r="N44" s="178" cm="1">
        <f t="array" ref="N44">SUM((H44:J44)/3)</f>
        <v>25</v>
      </c>
      <c r="O44" s="179">
        <v>50</v>
      </c>
      <c r="P44" s="179">
        <f t="shared" si="0"/>
        <v>45</v>
      </c>
      <c r="Q44" s="167"/>
      <c r="R44" s="189"/>
      <c r="S44" s="190"/>
      <c r="T44" s="190"/>
      <c r="U44" s="189"/>
      <c r="V44" s="189"/>
      <c r="W44" s="167"/>
      <c r="X44" s="182">
        <v>1.6312500000000001</v>
      </c>
      <c r="Y44" s="182">
        <v>1.64</v>
      </c>
      <c r="Z44" s="182">
        <f t="shared" si="14"/>
        <v>1.9575</v>
      </c>
      <c r="AA44" s="182">
        <f t="shared" si="15"/>
        <v>1.968</v>
      </c>
      <c r="AB44" s="167"/>
      <c r="AC44" s="183" t="s">
        <v>414</v>
      </c>
      <c r="AD44" s="184">
        <v>4.0999999999999996</v>
      </c>
      <c r="AE44" s="184">
        <v>9</v>
      </c>
      <c r="AF44" s="184">
        <f t="shared" si="16"/>
        <v>49.2</v>
      </c>
      <c r="AG44" s="184">
        <f t="shared" si="16"/>
        <v>108</v>
      </c>
      <c r="AH44" s="184">
        <f t="shared" si="4"/>
        <v>97.88</v>
      </c>
      <c r="AI44" s="185">
        <f t="shared" si="5"/>
        <v>88.56</v>
      </c>
      <c r="AJ44" s="186">
        <f t="shared" si="6"/>
        <v>343.64</v>
      </c>
      <c r="AK44" s="167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</row>
    <row r="45" spans="1:62" x14ac:dyDescent="0.3">
      <c r="A45" s="198"/>
      <c r="B45" s="148"/>
      <c r="C45" s="73" t="s">
        <v>717</v>
      </c>
      <c r="D45" s="140"/>
      <c r="E45" s="141" t="s">
        <v>2</v>
      </c>
      <c r="F45" s="141" t="s">
        <v>413</v>
      </c>
      <c r="G45" s="167"/>
      <c r="H45" s="177">
        <v>31</v>
      </c>
      <c r="I45" s="177">
        <v>29</v>
      </c>
      <c r="J45" s="177">
        <v>4</v>
      </c>
      <c r="K45" s="199" t="s">
        <v>420</v>
      </c>
      <c r="L45" s="177"/>
      <c r="M45" s="178">
        <v>203</v>
      </c>
      <c r="N45" s="178" cm="1">
        <f t="array" ref="N45">SUM((H45:J45)/3)</f>
        <v>21.333333333333332</v>
      </c>
      <c r="O45" s="179">
        <v>30</v>
      </c>
      <c r="P45" s="179">
        <f t="shared" si="0"/>
        <v>27</v>
      </c>
      <c r="Q45" s="167"/>
      <c r="R45" s="189"/>
      <c r="S45" s="190"/>
      <c r="T45" s="190"/>
      <c r="U45" s="189"/>
      <c r="V45" s="189"/>
      <c r="W45" s="167"/>
      <c r="X45" s="182">
        <v>1.6306700000000001</v>
      </c>
      <c r="Y45" s="182">
        <v>1.64</v>
      </c>
      <c r="Z45" s="182">
        <f t="shared" si="14"/>
        <v>1.956804</v>
      </c>
      <c r="AA45" s="182">
        <f t="shared" si="15"/>
        <v>1.968</v>
      </c>
      <c r="AB45" s="167"/>
      <c r="AC45" s="183" t="s">
        <v>414</v>
      </c>
      <c r="AD45" s="184">
        <v>4.0999999999999996</v>
      </c>
      <c r="AE45" s="184">
        <v>9</v>
      </c>
      <c r="AF45" s="184">
        <f t="shared" si="16"/>
        <v>49.2</v>
      </c>
      <c r="AG45" s="184">
        <f t="shared" si="16"/>
        <v>108</v>
      </c>
      <c r="AH45" s="184">
        <f t="shared" si="4"/>
        <v>58.7</v>
      </c>
      <c r="AI45" s="185">
        <f t="shared" si="5"/>
        <v>53.14</v>
      </c>
      <c r="AJ45" s="186">
        <f t="shared" si="6"/>
        <v>269.03999999999996</v>
      </c>
      <c r="AK45" s="167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</row>
    <row r="46" spans="1:62" x14ac:dyDescent="0.3">
      <c r="A46" s="198"/>
      <c r="B46" s="148"/>
      <c r="C46" s="73" t="s">
        <v>717</v>
      </c>
      <c r="D46" s="140"/>
      <c r="E46" s="141" t="s">
        <v>2</v>
      </c>
      <c r="F46" s="141" t="s">
        <v>413</v>
      </c>
      <c r="G46" s="167"/>
      <c r="H46" s="177">
        <v>8</v>
      </c>
      <c r="I46" s="177">
        <v>7</v>
      </c>
      <c r="J46" s="177">
        <v>-15</v>
      </c>
      <c r="K46" s="199" t="s">
        <v>420</v>
      </c>
      <c r="L46" s="177"/>
      <c r="M46" s="178">
        <v>12</v>
      </c>
      <c r="N46" s="178" cm="1">
        <f t="array" ref="N46">SUM((H46:J46)/3)</f>
        <v>0</v>
      </c>
      <c r="O46" s="179">
        <v>10</v>
      </c>
      <c r="P46" s="179">
        <f t="shared" si="0"/>
        <v>9</v>
      </c>
      <c r="Q46" s="167"/>
      <c r="R46" s="189"/>
      <c r="S46" s="190"/>
      <c r="T46" s="190"/>
      <c r="U46" s="189"/>
      <c r="V46" s="189"/>
      <c r="W46" s="167"/>
      <c r="X46" s="182">
        <v>1.63</v>
      </c>
      <c r="Y46" s="182">
        <v>1.64</v>
      </c>
      <c r="Z46" s="182">
        <f t="shared" si="14"/>
        <v>1.956</v>
      </c>
      <c r="AA46" s="182">
        <f t="shared" si="15"/>
        <v>1.968</v>
      </c>
      <c r="AB46" s="167"/>
      <c r="AC46" s="183" t="s">
        <v>414</v>
      </c>
      <c r="AD46" s="184">
        <v>4.0999999999999996</v>
      </c>
      <c r="AE46" s="184">
        <v>9</v>
      </c>
      <c r="AF46" s="184">
        <f t="shared" si="16"/>
        <v>49.2</v>
      </c>
      <c r="AG46" s="184">
        <f t="shared" si="16"/>
        <v>108</v>
      </c>
      <c r="AH46" s="184">
        <f t="shared" si="4"/>
        <v>19.559999999999999</v>
      </c>
      <c r="AI46" s="185">
        <f t="shared" si="5"/>
        <v>17.71</v>
      </c>
      <c r="AJ46" s="186">
        <f t="shared" si="6"/>
        <v>194.47</v>
      </c>
      <c r="AK46" s="167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</row>
    <row r="47" spans="1:62" x14ac:dyDescent="0.3">
      <c r="A47" s="198"/>
      <c r="B47" s="148"/>
      <c r="C47" s="73" t="s">
        <v>717</v>
      </c>
      <c r="D47" s="140"/>
      <c r="E47" s="141" t="s">
        <v>2</v>
      </c>
      <c r="F47" s="141" t="s">
        <v>413</v>
      </c>
      <c r="G47" s="167"/>
      <c r="H47" s="177">
        <v>22</v>
      </c>
      <c r="I47" s="177">
        <v>39</v>
      </c>
      <c r="J47" s="177">
        <v>-23</v>
      </c>
      <c r="K47" s="199" t="s">
        <v>420</v>
      </c>
      <c r="L47" s="177"/>
      <c r="M47" s="178">
        <v>23</v>
      </c>
      <c r="N47" s="178" cm="1">
        <f t="array" ref="N47">SUM((H47:J47)/3)</f>
        <v>12.666666666666664</v>
      </c>
      <c r="O47" s="179">
        <v>30</v>
      </c>
      <c r="P47" s="179">
        <f t="shared" si="0"/>
        <v>27</v>
      </c>
      <c r="Q47" s="167"/>
      <c r="R47" s="189"/>
      <c r="S47" s="190"/>
      <c r="T47" s="190"/>
      <c r="U47" s="189"/>
      <c r="V47" s="189"/>
      <c r="W47" s="167"/>
      <c r="X47" s="182">
        <v>1.6319999999999999</v>
      </c>
      <c r="Y47" s="182">
        <v>1.64</v>
      </c>
      <c r="Z47" s="182">
        <f t="shared" si="14"/>
        <v>1.9583999999999999</v>
      </c>
      <c r="AA47" s="182">
        <f t="shared" si="15"/>
        <v>1.968</v>
      </c>
      <c r="AB47" s="167"/>
      <c r="AC47" s="183" t="s">
        <v>414</v>
      </c>
      <c r="AD47" s="184">
        <v>4.0999999999999996</v>
      </c>
      <c r="AE47" s="184">
        <v>9</v>
      </c>
      <c r="AF47" s="184">
        <f t="shared" si="16"/>
        <v>49.2</v>
      </c>
      <c r="AG47" s="184">
        <f t="shared" si="16"/>
        <v>108</v>
      </c>
      <c r="AH47" s="184">
        <f t="shared" si="4"/>
        <v>58.75</v>
      </c>
      <c r="AI47" s="185">
        <f t="shared" si="5"/>
        <v>53.14</v>
      </c>
      <c r="AJ47" s="186">
        <f t="shared" si="6"/>
        <v>269.08999999999997</v>
      </c>
      <c r="AK47" s="167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</row>
    <row r="48" spans="1:62" x14ac:dyDescent="0.3">
      <c r="A48" s="198"/>
      <c r="B48" s="148"/>
      <c r="C48" s="73" t="s">
        <v>717</v>
      </c>
      <c r="D48" s="140"/>
      <c r="E48" s="141" t="s">
        <v>2</v>
      </c>
      <c r="F48" s="141" t="s">
        <v>413</v>
      </c>
      <c r="G48" s="167"/>
      <c r="H48" s="177">
        <v>15</v>
      </c>
      <c r="I48" s="177">
        <v>17</v>
      </c>
      <c r="J48" s="177">
        <v>1</v>
      </c>
      <c r="K48" s="199" t="s">
        <v>420</v>
      </c>
      <c r="L48" s="177"/>
      <c r="M48" s="178">
        <v>9</v>
      </c>
      <c r="N48" s="178" cm="1">
        <f t="array" ref="N48">SUM((H48:J48)/3)</f>
        <v>11.000000000000002</v>
      </c>
      <c r="O48" s="179">
        <v>17</v>
      </c>
      <c r="P48" s="179">
        <f t="shared" si="0"/>
        <v>15.3</v>
      </c>
      <c r="Q48" s="167"/>
      <c r="R48" s="189"/>
      <c r="S48" s="190"/>
      <c r="T48" s="190"/>
      <c r="U48" s="189"/>
      <c r="V48" s="189"/>
      <c r="W48" s="167"/>
      <c r="X48" s="182">
        <v>1.63</v>
      </c>
      <c r="Y48" s="182">
        <v>1.64</v>
      </c>
      <c r="Z48" s="182">
        <f t="shared" si="14"/>
        <v>1.956</v>
      </c>
      <c r="AA48" s="182">
        <f t="shared" si="15"/>
        <v>1.968</v>
      </c>
      <c r="AB48" s="167"/>
      <c r="AC48" s="183" t="s">
        <v>414</v>
      </c>
      <c r="AD48" s="184">
        <v>4.0999999999999996</v>
      </c>
      <c r="AE48" s="184">
        <v>9</v>
      </c>
      <c r="AF48" s="184">
        <f t="shared" si="16"/>
        <v>49.2</v>
      </c>
      <c r="AG48" s="184">
        <f t="shared" si="16"/>
        <v>108</v>
      </c>
      <c r="AH48" s="184">
        <f t="shared" si="4"/>
        <v>33.25</v>
      </c>
      <c r="AI48" s="185">
        <f t="shared" si="5"/>
        <v>30.11</v>
      </c>
      <c r="AJ48" s="186">
        <f t="shared" si="6"/>
        <v>220.56</v>
      </c>
      <c r="AK48" s="167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</row>
    <row r="49" spans="1:62" x14ac:dyDescent="0.3">
      <c r="A49" s="198"/>
      <c r="B49" s="148"/>
      <c r="C49" s="73" t="s">
        <v>717</v>
      </c>
      <c r="D49" s="140"/>
      <c r="E49" s="141" t="s">
        <v>2</v>
      </c>
      <c r="F49" s="141" t="s">
        <v>413</v>
      </c>
      <c r="G49" s="167"/>
      <c r="H49" s="177">
        <v>29</v>
      </c>
      <c r="I49" s="177">
        <v>11</v>
      </c>
      <c r="J49" s="177">
        <v>-30</v>
      </c>
      <c r="K49" s="199" t="s">
        <v>420</v>
      </c>
      <c r="L49" s="177"/>
      <c r="M49" s="178">
        <v>17</v>
      </c>
      <c r="N49" s="178" cm="1">
        <f t="array" ref="N49">SUM((H49:J49)/3)</f>
        <v>3.3333333333333321</v>
      </c>
      <c r="O49" s="179">
        <v>20</v>
      </c>
      <c r="P49" s="179">
        <f t="shared" si="0"/>
        <v>18</v>
      </c>
      <c r="Q49" s="167"/>
      <c r="R49" s="189"/>
      <c r="S49" s="190"/>
      <c r="T49" s="190"/>
      <c r="U49" s="189"/>
      <c r="V49" s="189"/>
      <c r="W49" s="167"/>
      <c r="X49" s="182">
        <v>1.63</v>
      </c>
      <c r="Y49" s="182">
        <v>1.64</v>
      </c>
      <c r="Z49" s="182">
        <f t="shared" si="14"/>
        <v>1.956</v>
      </c>
      <c r="AA49" s="182">
        <f t="shared" si="15"/>
        <v>1.968</v>
      </c>
      <c r="AB49" s="167"/>
      <c r="AC49" s="183" t="s">
        <v>414</v>
      </c>
      <c r="AD49" s="184">
        <v>4.0999999999999996</v>
      </c>
      <c r="AE49" s="184">
        <v>9</v>
      </c>
      <c r="AF49" s="184">
        <f t="shared" si="16"/>
        <v>49.2</v>
      </c>
      <c r="AG49" s="184">
        <f t="shared" si="16"/>
        <v>108</v>
      </c>
      <c r="AH49" s="184">
        <f t="shared" si="4"/>
        <v>39.119999999999997</v>
      </c>
      <c r="AI49" s="185">
        <f t="shared" si="5"/>
        <v>35.42</v>
      </c>
      <c r="AJ49" s="186">
        <f t="shared" si="6"/>
        <v>231.74</v>
      </c>
      <c r="AK49" s="167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</row>
    <row r="50" spans="1:62" x14ac:dyDescent="0.3">
      <c r="A50" s="198"/>
      <c r="B50" s="148"/>
      <c r="C50" s="73" t="s">
        <v>717</v>
      </c>
      <c r="D50" s="140"/>
      <c r="E50" s="141" t="s">
        <v>2</v>
      </c>
      <c r="F50" s="141" t="s">
        <v>413</v>
      </c>
      <c r="G50" s="167"/>
      <c r="H50" s="177">
        <v>29</v>
      </c>
      <c r="I50" s="177">
        <v>23</v>
      </c>
      <c r="J50" s="177">
        <v>-14</v>
      </c>
      <c r="K50" s="199" t="s">
        <v>420</v>
      </c>
      <c r="L50" s="177"/>
      <c r="M50" s="178">
        <v>16</v>
      </c>
      <c r="N50" s="178" cm="1">
        <f t="array" ref="N50">SUM((H50:J50)/3)</f>
        <v>12.666666666666664</v>
      </c>
      <c r="O50" s="179">
        <v>26</v>
      </c>
      <c r="P50" s="179">
        <f t="shared" si="0"/>
        <v>23.4</v>
      </c>
      <c r="Q50" s="167"/>
      <c r="R50" s="189"/>
      <c r="S50" s="190"/>
      <c r="T50" s="190"/>
      <c r="U50" s="189"/>
      <c r="V50" s="189"/>
      <c r="W50" s="167"/>
      <c r="X50" s="182">
        <v>1.63</v>
      </c>
      <c r="Y50" s="182">
        <v>1.64</v>
      </c>
      <c r="Z50" s="182">
        <f t="shared" si="14"/>
        <v>1.956</v>
      </c>
      <c r="AA50" s="182">
        <f t="shared" si="15"/>
        <v>1.968</v>
      </c>
      <c r="AB50" s="167"/>
      <c r="AC50" s="183" t="s">
        <v>414</v>
      </c>
      <c r="AD50" s="184">
        <v>4.0999999999999996</v>
      </c>
      <c r="AE50" s="184">
        <v>9</v>
      </c>
      <c r="AF50" s="184">
        <f t="shared" si="16"/>
        <v>49.2</v>
      </c>
      <c r="AG50" s="184">
        <f t="shared" si="16"/>
        <v>108</v>
      </c>
      <c r="AH50" s="184">
        <f t="shared" si="4"/>
        <v>50.86</v>
      </c>
      <c r="AI50" s="185">
        <f t="shared" si="5"/>
        <v>46.05</v>
      </c>
      <c r="AJ50" s="186">
        <f t="shared" si="6"/>
        <v>254.11</v>
      </c>
      <c r="AK50" s="167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</row>
    <row r="51" spans="1:62" x14ac:dyDescent="0.3">
      <c r="A51" s="198"/>
      <c r="B51" s="148"/>
      <c r="C51" s="73" t="s">
        <v>717</v>
      </c>
      <c r="D51" s="140"/>
      <c r="E51" s="141" t="s">
        <v>2</v>
      </c>
      <c r="F51" s="141" t="s">
        <v>413</v>
      </c>
      <c r="G51" s="167"/>
      <c r="H51" s="177">
        <v>34</v>
      </c>
      <c r="I51" s="177">
        <v>37</v>
      </c>
      <c r="J51" s="177">
        <v>-20</v>
      </c>
      <c r="K51" s="199" t="s">
        <v>420</v>
      </c>
      <c r="L51" s="177"/>
      <c r="M51" s="178">
        <v>18</v>
      </c>
      <c r="N51" s="178" cm="1">
        <f t="array" ref="N51">SUM((H51:J51)/3)</f>
        <v>17</v>
      </c>
      <c r="O51" s="179">
        <v>35</v>
      </c>
      <c r="P51" s="179">
        <f t="shared" si="0"/>
        <v>31.5</v>
      </c>
      <c r="Q51" s="167"/>
      <c r="R51" s="189"/>
      <c r="S51" s="190"/>
      <c r="T51" s="190"/>
      <c r="U51" s="189"/>
      <c r="V51" s="189"/>
      <c r="W51" s="167"/>
      <c r="X51" s="182">
        <v>1.63</v>
      </c>
      <c r="Y51" s="182">
        <v>1.64</v>
      </c>
      <c r="Z51" s="182">
        <f t="shared" si="14"/>
        <v>1.956</v>
      </c>
      <c r="AA51" s="182">
        <f t="shared" si="15"/>
        <v>1.968</v>
      </c>
      <c r="AB51" s="167"/>
      <c r="AC51" s="183" t="s">
        <v>414</v>
      </c>
      <c r="AD51" s="184">
        <v>4.0999999999999996</v>
      </c>
      <c r="AE51" s="184">
        <v>9</v>
      </c>
      <c r="AF51" s="184">
        <f t="shared" si="16"/>
        <v>49.2</v>
      </c>
      <c r="AG51" s="184">
        <f t="shared" si="16"/>
        <v>108</v>
      </c>
      <c r="AH51" s="184">
        <f t="shared" si="4"/>
        <v>68.459999999999994</v>
      </c>
      <c r="AI51" s="185">
        <f t="shared" si="5"/>
        <v>61.99</v>
      </c>
      <c r="AJ51" s="186">
        <f t="shared" si="6"/>
        <v>287.64999999999998</v>
      </c>
      <c r="AK51" s="167"/>
      <c r="AL51" s="148"/>
      <c r="AM51" s="148"/>
      <c r="AN51" s="148"/>
      <c r="AO51" s="148"/>
      <c r="AP51" s="148"/>
      <c r="AQ51" s="148"/>
      <c r="AR51" s="148"/>
      <c r="AS51" s="148"/>
      <c r="AT51" s="148"/>
      <c r="AU51" s="148"/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8"/>
      <c r="BG51" s="148"/>
      <c r="BH51" s="148"/>
      <c r="BI51" s="148"/>
      <c r="BJ51" s="148"/>
    </row>
    <row r="52" spans="1:62" x14ac:dyDescent="0.3">
      <c r="A52" s="198"/>
      <c r="B52" s="148"/>
      <c r="C52" s="73" t="s">
        <v>717</v>
      </c>
      <c r="D52" s="140"/>
      <c r="E52" s="141" t="s">
        <v>2</v>
      </c>
      <c r="F52" s="141" t="s">
        <v>413</v>
      </c>
      <c r="G52" s="167"/>
      <c r="H52" s="177">
        <v>35</v>
      </c>
      <c r="I52" s="177">
        <v>43</v>
      </c>
      <c r="J52" s="177">
        <v>-46</v>
      </c>
      <c r="K52" s="199" t="s">
        <v>420</v>
      </c>
      <c r="L52" s="177"/>
      <c r="M52" s="178">
        <v>19</v>
      </c>
      <c r="N52" s="178" cm="1">
        <f t="array" ref="N52">SUM((H52:J52)/3)</f>
        <v>10.666666666666666</v>
      </c>
      <c r="O52" s="179">
        <v>39</v>
      </c>
      <c r="P52" s="179">
        <f t="shared" si="0"/>
        <v>35.1</v>
      </c>
      <c r="Q52" s="167"/>
      <c r="R52" s="189"/>
      <c r="S52" s="190"/>
      <c r="T52" s="190"/>
      <c r="U52" s="189"/>
      <c r="V52" s="189"/>
      <c r="W52" s="167"/>
      <c r="X52" s="182">
        <v>1.63</v>
      </c>
      <c r="Y52" s="182">
        <v>1.64</v>
      </c>
      <c r="Z52" s="182">
        <f t="shared" si="14"/>
        <v>1.956</v>
      </c>
      <c r="AA52" s="182">
        <f t="shared" si="15"/>
        <v>1.968</v>
      </c>
      <c r="AB52" s="167"/>
      <c r="AC52" s="183" t="s">
        <v>414</v>
      </c>
      <c r="AD52" s="184">
        <v>4.0999999999999996</v>
      </c>
      <c r="AE52" s="184">
        <v>9</v>
      </c>
      <c r="AF52" s="184">
        <f t="shared" si="16"/>
        <v>49.2</v>
      </c>
      <c r="AG52" s="184">
        <f t="shared" si="16"/>
        <v>108</v>
      </c>
      <c r="AH52" s="184">
        <f t="shared" si="4"/>
        <v>76.28</v>
      </c>
      <c r="AI52" s="185">
        <f t="shared" si="5"/>
        <v>69.08</v>
      </c>
      <c r="AJ52" s="186">
        <f t="shared" si="6"/>
        <v>302.56</v>
      </c>
      <c r="AK52" s="167"/>
      <c r="AL52" s="148"/>
      <c r="AM52" s="148"/>
      <c r="AN52" s="148"/>
      <c r="AO52" s="148"/>
      <c r="AP52" s="148"/>
      <c r="AQ52" s="148"/>
      <c r="AR52" s="148"/>
      <c r="AS52" s="148"/>
      <c r="AT52" s="148"/>
      <c r="AU52" s="148"/>
      <c r="AV52" s="148"/>
      <c r="AW52" s="148"/>
      <c r="AX52" s="148"/>
      <c r="AY52" s="148"/>
      <c r="AZ52" s="148"/>
      <c r="BA52" s="148"/>
      <c r="BB52" s="148"/>
      <c r="BC52" s="148"/>
      <c r="BD52" s="148"/>
      <c r="BE52" s="148"/>
      <c r="BF52" s="148"/>
      <c r="BG52" s="148"/>
      <c r="BH52" s="148"/>
      <c r="BI52" s="148"/>
      <c r="BJ52" s="148"/>
    </row>
    <row r="53" spans="1:62" x14ac:dyDescent="0.3">
      <c r="A53" s="198"/>
      <c r="B53" s="148"/>
      <c r="C53" s="73" t="s">
        <v>717</v>
      </c>
      <c r="D53" s="140"/>
      <c r="E53" s="141" t="s">
        <v>2</v>
      </c>
      <c r="F53" s="141" t="s">
        <v>413</v>
      </c>
      <c r="G53" s="167"/>
      <c r="H53" s="177">
        <v>38</v>
      </c>
      <c r="I53" s="177">
        <v>21</v>
      </c>
      <c r="J53" s="177">
        <v>-13</v>
      </c>
      <c r="K53" s="199" t="s">
        <v>420</v>
      </c>
      <c r="L53" s="177"/>
      <c r="M53" s="178">
        <v>29</v>
      </c>
      <c r="N53" s="178" cm="1">
        <f t="array" ref="N53">SUM((H53:J53)/3)</f>
        <v>15.333333333333332</v>
      </c>
      <c r="O53" s="179">
        <v>30</v>
      </c>
      <c r="P53" s="179">
        <f t="shared" si="0"/>
        <v>27</v>
      </c>
      <c r="Q53" s="167"/>
      <c r="R53" s="189"/>
      <c r="S53" s="190"/>
      <c r="T53" s="190"/>
      <c r="U53" s="189"/>
      <c r="V53" s="189"/>
      <c r="W53" s="167"/>
      <c r="X53" s="182">
        <v>1.6319999999999999</v>
      </c>
      <c r="Y53" s="182">
        <v>1.64</v>
      </c>
      <c r="Z53" s="182">
        <f t="shared" si="14"/>
        <v>1.9583999999999999</v>
      </c>
      <c r="AA53" s="182">
        <f t="shared" si="15"/>
        <v>1.968</v>
      </c>
      <c r="AB53" s="167"/>
      <c r="AC53" s="183" t="s">
        <v>414</v>
      </c>
      <c r="AD53" s="184">
        <v>4.0999999999999996</v>
      </c>
      <c r="AE53" s="184">
        <v>9</v>
      </c>
      <c r="AF53" s="184">
        <f t="shared" si="16"/>
        <v>49.2</v>
      </c>
      <c r="AG53" s="184">
        <f t="shared" si="16"/>
        <v>108</v>
      </c>
      <c r="AH53" s="184">
        <f t="shared" si="4"/>
        <v>58.75</v>
      </c>
      <c r="AI53" s="185">
        <f t="shared" si="5"/>
        <v>53.14</v>
      </c>
      <c r="AJ53" s="186">
        <f t="shared" si="6"/>
        <v>269.08999999999997</v>
      </c>
      <c r="AK53" s="167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</row>
    <row r="54" spans="1:62" x14ac:dyDescent="0.3">
      <c r="A54" s="198"/>
      <c r="B54" s="148"/>
      <c r="C54" s="73" t="s">
        <v>717</v>
      </c>
      <c r="D54" s="140"/>
      <c r="E54" s="141" t="s">
        <v>2</v>
      </c>
      <c r="F54" s="141" t="s">
        <v>413</v>
      </c>
      <c r="G54" s="167"/>
      <c r="H54" s="177">
        <v>23</v>
      </c>
      <c r="I54" s="177">
        <v>41</v>
      </c>
      <c r="J54" s="177">
        <v>-3</v>
      </c>
      <c r="K54" s="199" t="s">
        <v>420</v>
      </c>
      <c r="L54" s="177"/>
      <c r="M54" s="178">
        <v>5</v>
      </c>
      <c r="N54" s="178" cm="1">
        <f t="array" ref="N54">SUM((H54:J54)/3)</f>
        <v>20.333333333333332</v>
      </c>
      <c r="O54" s="179">
        <v>32</v>
      </c>
      <c r="P54" s="179">
        <f t="shared" si="0"/>
        <v>28.8</v>
      </c>
      <c r="Q54" s="167"/>
      <c r="R54" s="189"/>
      <c r="S54" s="190"/>
      <c r="T54" s="190"/>
      <c r="U54" s="189"/>
      <c r="V54" s="189"/>
      <c r="W54" s="167"/>
      <c r="X54" s="182">
        <v>1.63</v>
      </c>
      <c r="Y54" s="182">
        <v>1.64</v>
      </c>
      <c r="Z54" s="182">
        <f t="shared" si="14"/>
        <v>1.956</v>
      </c>
      <c r="AA54" s="182">
        <f t="shared" si="15"/>
        <v>1.968</v>
      </c>
      <c r="AB54" s="167"/>
      <c r="AC54" s="183" t="s">
        <v>414</v>
      </c>
      <c r="AD54" s="184">
        <v>4.0999999999999996</v>
      </c>
      <c r="AE54" s="184">
        <v>9</v>
      </c>
      <c r="AF54" s="184">
        <f t="shared" si="16"/>
        <v>49.2</v>
      </c>
      <c r="AG54" s="184">
        <f t="shared" si="16"/>
        <v>108</v>
      </c>
      <c r="AH54" s="184">
        <f t="shared" si="4"/>
        <v>62.59</v>
      </c>
      <c r="AI54" s="185">
        <f t="shared" si="5"/>
        <v>56.68</v>
      </c>
      <c r="AJ54" s="186">
        <f t="shared" si="6"/>
        <v>276.46999999999997</v>
      </c>
      <c r="AK54" s="167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</row>
    <row r="55" spans="1:62" x14ac:dyDescent="0.3">
      <c r="A55" s="198"/>
      <c r="B55" s="148"/>
      <c r="C55" s="73" t="s">
        <v>717</v>
      </c>
      <c r="D55" s="140"/>
      <c r="E55" s="141" t="s">
        <v>2</v>
      </c>
      <c r="F55" s="141" t="s">
        <v>413</v>
      </c>
      <c r="G55" s="167"/>
      <c r="H55" s="177">
        <v>36</v>
      </c>
      <c r="I55" s="177">
        <v>35</v>
      </c>
      <c r="J55" s="177">
        <v>-7</v>
      </c>
      <c r="K55" s="199" t="s">
        <v>420</v>
      </c>
      <c r="L55" s="177"/>
      <c r="M55" s="178">
        <v>16</v>
      </c>
      <c r="N55" s="178" cm="1">
        <f t="array" ref="N55">SUM((H55:J55)/3)</f>
        <v>21.333333333333332</v>
      </c>
      <c r="O55" s="179">
        <v>35</v>
      </c>
      <c r="P55" s="179">
        <f t="shared" si="0"/>
        <v>31.5</v>
      </c>
      <c r="Q55" s="167"/>
      <c r="R55" s="189"/>
      <c r="S55" s="190"/>
      <c r="T55" s="190"/>
      <c r="U55" s="189"/>
      <c r="V55" s="189"/>
      <c r="W55" s="167"/>
      <c r="X55" s="182">
        <v>1.63</v>
      </c>
      <c r="Y55" s="182">
        <v>1.64</v>
      </c>
      <c r="Z55" s="182">
        <f t="shared" si="14"/>
        <v>1.956</v>
      </c>
      <c r="AA55" s="182">
        <f t="shared" si="15"/>
        <v>1.968</v>
      </c>
      <c r="AB55" s="167"/>
      <c r="AC55" s="183" t="s">
        <v>414</v>
      </c>
      <c r="AD55" s="184">
        <v>4.0999999999999996</v>
      </c>
      <c r="AE55" s="184">
        <v>9</v>
      </c>
      <c r="AF55" s="184">
        <f t="shared" si="16"/>
        <v>49.2</v>
      </c>
      <c r="AG55" s="184">
        <f t="shared" si="16"/>
        <v>108</v>
      </c>
      <c r="AH55" s="184">
        <f t="shared" si="4"/>
        <v>68.459999999999994</v>
      </c>
      <c r="AI55" s="185">
        <f t="shared" si="5"/>
        <v>61.99</v>
      </c>
      <c r="AJ55" s="186">
        <f t="shared" si="6"/>
        <v>287.64999999999998</v>
      </c>
      <c r="AK55" s="167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</row>
    <row r="56" spans="1:62" x14ac:dyDescent="0.3">
      <c r="A56" s="198"/>
      <c r="B56" s="148"/>
      <c r="C56" s="73" t="s">
        <v>717</v>
      </c>
      <c r="D56" s="140"/>
      <c r="E56" s="141" t="s">
        <v>2</v>
      </c>
      <c r="F56" s="141" t="s">
        <v>413</v>
      </c>
      <c r="G56" s="167"/>
      <c r="H56" s="177">
        <v>53</v>
      </c>
      <c r="I56" s="177">
        <v>54</v>
      </c>
      <c r="J56" s="177">
        <v>-27</v>
      </c>
      <c r="K56" s="199" t="s">
        <v>420</v>
      </c>
      <c r="L56" s="177"/>
      <c r="M56" s="178">
        <v>1</v>
      </c>
      <c r="N56" s="178" cm="1">
        <f t="array" ref="N56">SUM((H56:J56)/3)</f>
        <v>26.666666666666671</v>
      </c>
      <c r="O56" s="179">
        <v>53</v>
      </c>
      <c r="P56" s="179">
        <f t="shared" si="0"/>
        <v>47.7</v>
      </c>
      <c r="Q56" s="167"/>
      <c r="R56" s="189"/>
      <c r="S56" s="190"/>
      <c r="T56" s="190"/>
      <c r="U56" s="189"/>
      <c r="V56" s="189"/>
      <c r="W56" s="167"/>
      <c r="X56" s="182">
        <v>1.63</v>
      </c>
      <c r="Y56" s="182">
        <v>1.64</v>
      </c>
      <c r="Z56" s="182">
        <f t="shared" si="14"/>
        <v>1.956</v>
      </c>
      <c r="AA56" s="182">
        <f t="shared" si="15"/>
        <v>1.968</v>
      </c>
      <c r="AB56" s="167"/>
      <c r="AC56" s="183" t="s">
        <v>414</v>
      </c>
      <c r="AD56" s="184">
        <v>4.0999999999999996</v>
      </c>
      <c r="AE56" s="184">
        <v>9</v>
      </c>
      <c r="AF56" s="184">
        <f t="shared" si="16"/>
        <v>49.2</v>
      </c>
      <c r="AG56" s="184">
        <f t="shared" si="16"/>
        <v>108</v>
      </c>
      <c r="AH56" s="184">
        <f t="shared" si="4"/>
        <v>103.67</v>
      </c>
      <c r="AI56" s="185">
        <f t="shared" si="5"/>
        <v>93.87</v>
      </c>
      <c r="AJ56" s="186">
        <f t="shared" si="6"/>
        <v>354.74</v>
      </c>
      <c r="AK56" s="167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</row>
    <row r="57" spans="1:62" x14ac:dyDescent="0.3">
      <c r="A57" s="148"/>
      <c r="B57" s="148"/>
      <c r="C57" s="73" t="s">
        <v>28</v>
      </c>
      <c r="D57" s="140"/>
      <c r="E57" s="141" t="s">
        <v>2</v>
      </c>
      <c r="F57" s="141" t="s">
        <v>413</v>
      </c>
      <c r="G57" s="167"/>
      <c r="H57" s="177">
        <v>1064</v>
      </c>
      <c r="I57" s="177">
        <v>1185</v>
      </c>
      <c r="J57" s="177">
        <v>958</v>
      </c>
      <c r="K57" s="177"/>
      <c r="L57" s="177"/>
      <c r="M57" s="178">
        <v>769</v>
      </c>
      <c r="N57" s="178" cm="1">
        <f t="array" ref="N57">SUM((H57:J57)/3)</f>
        <v>1069</v>
      </c>
      <c r="O57" s="179">
        <v>950</v>
      </c>
      <c r="P57" s="179">
        <f t="shared" si="0"/>
        <v>855</v>
      </c>
      <c r="Q57" s="167"/>
      <c r="R57" s="189"/>
      <c r="S57" s="190"/>
      <c r="T57" s="190"/>
      <c r="U57" s="189"/>
      <c r="V57" s="189"/>
      <c r="W57" s="167"/>
      <c r="X57" s="182">
        <v>1.6305400000000001</v>
      </c>
      <c r="Y57" s="182">
        <v>1.8569899999999999</v>
      </c>
      <c r="Z57" s="182">
        <f t="shared" si="14"/>
        <v>1.9566480000000002</v>
      </c>
      <c r="AA57" s="182">
        <f t="shared" si="15"/>
        <v>2.2283879999999998</v>
      </c>
      <c r="AB57" s="167"/>
      <c r="AC57" s="183" t="s">
        <v>414</v>
      </c>
      <c r="AD57" s="184">
        <v>4.0999999999999996</v>
      </c>
      <c r="AE57" s="184">
        <v>9.83</v>
      </c>
      <c r="AF57" s="184">
        <f t="shared" si="16"/>
        <v>49.2</v>
      </c>
      <c r="AG57" s="184">
        <f t="shared" si="16"/>
        <v>117.96</v>
      </c>
      <c r="AH57" s="184">
        <f t="shared" si="4"/>
        <v>1858.82</v>
      </c>
      <c r="AI57" s="185">
        <f t="shared" si="5"/>
        <v>1905.27</v>
      </c>
      <c r="AJ57" s="186">
        <f t="shared" si="6"/>
        <v>3931.25</v>
      </c>
      <c r="AK57" s="167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</row>
    <row r="58" spans="1:62" x14ac:dyDescent="0.3">
      <c r="A58" s="148"/>
      <c r="B58" s="148"/>
      <c r="C58" s="73" t="s">
        <v>388</v>
      </c>
      <c r="D58" s="140"/>
      <c r="E58" s="141"/>
      <c r="F58" s="141" t="s">
        <v>413</v>
      </c>
      <c r="G58" s="167"/>
      <c r="H58" s="177"/>
      <c r="I58" s="177"/>
      <c r="J58" s="177"/>
      <c r="K58" s="177"/>
      <c r="L58" s="177"/>
      <c r="M58" s="178"/>
      <c r="N58" s="178" cm="1">
        <f t="array" ref="N58">SUM((H58:J58)/3)</f>
        <v>0</v>
      </c>
      <c r="O58" s="179"/>
      <c r="P58" s="179"/>
      <c r="Q58" s="167"/>
      <c r="R58" s="189"/>
      <c r="S58" s="190"/>
      <c r="T58" s="190"/>
      <c r="U58" s="189"/>
      <c r="V58" s="189"/>
      <c r="W58" s="167"/>
      <c r="X58" s="182">
        <v>1.6305400000000001</v>
      </c>
      <c r="Y58" s="182">
        <v>1.8569899999999999</v>
      </c>
      <c r="Z58" s="182">
        <f t="shared" ref="Z58" si="17">SUM(X58+X58*$AA$3)</f>
        <v>1.9566480000000002</v>
      </c>
      <c r="AA58" s="182">
        <f t="shared" si="15"/>
        <v>2.2283879999999998</v>
      </c>
      <c r="AB58" s="167"/>
      <c r="AC58" s="183" t="s">
        <v>414</v>
      </c>
      <c r="AD58" s="184">
        <v>4.0999999999999996</v>
      </c>
      <c r="AE58" s="184">
        <v>9.83</v>
      </c>
      <c r="AF58" s="184">
        <f t="shared" si="16"/>
        <v>49.2</v>
      </c>
      <c r="AG58" s="184">
        <f t="shared" si="16"/>
        <v>117.96</v>
      </c>
      <c r="AH58" s="184">
        <f t="shared" si="4"/>
        <v>0</v>
      </c>
      <c r="AI58" s="185">
        <f t="shared" si="5"/>
        <v>0</v>
      </c>
      <c r="AJ58" s="186">
        <f t="shared" si="6"/>
        <v>167.16</v>
      </c>
      <c r="AK58" s="167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</row>
    <row r="59" spans="1:62" x14ac:dyDescent="0.3">
      <c r="A59" s="148"/>
      <c r="B59" s="148"/>
      <c r="C59" s="73" t="s">
        <v>12</v>
      </c>
      <c r="D59" s="140"/>
      <c r="E59" s="141" t="s">
        <v>2</v>
      </c>
      <c r="F59" s="141" t="s">
        <v>413</v>
      </c>
      <c r="G59" s="167"/>
      <c r="H59" s="177">
        <v>2071</v>
      </c>
      <c r="I59" s="177">
        <v>1950</v>
      </c>
      <c r="J59" s="177">
        <v>1850</v>
      </c>
      <c r="K59" s="177"/>
      <c r="L59" s="177"/>
      <c r="M59" s="178">
        <v>475</v>
      </c>
      <c r="N59" s="178" cm="1">
        <f t="array" ref="N59">SUM((H59:J59)/3)</f>
        <v>1957</v>
      </c>
      <c r="O59" s="179">
        <v>1800</v>
      </c>
      <c r="P59" s="179">
        <f t="shared" ref="P59:P71" si="18">ROUND(O59*0.9,2)</f>
        <v>1620</v>
      </c>
      <c r="Q59" s="167"/>
      <c r="R59" s="189"/>
      <c r="S59" s="190"/>
      <c r="T59" s="190"/>
      <c r="U59" s="189"/>
      <c r="V59" s="189"/>
      <c r="W59" s="167"/>
      <c r="X59" s="182">
        <v>1.6306</v>
      </c>
      <c r="Y59" s="182">
        <v>1.857</v>
      </c>
      <c r="Z59" s="182">
        <f t="shared" ref="Z59:AA71" si="19">SUM(X59+X59*$AA$3)</f>
        <v>1.95672</v>
      </c>
      <c r="AA59" s="182">
        <f t="shared" si="15"/>
        <v>2.2284000000000002</v>
      </c>
      <c r="AB59" s="167"/>
      <c r="AC59" s="183" t="s">
        <v>221</v>
      </c>
      <c r="AD59" s="184">
        <v>0</v>
      </c>
      <c r="AE59" s="184">
        <v>0</v>
      </c>
      <c r="AF59" s="184">
        <f>0.4825*365</f>
        <v>176.11249999999998</v>
      </c>
      <c r="AG59" s="184">
        <f>1.1575*365</f>
        <v>422.48750000000001</v>
      </c>
      <c r="AH59" s="184">
        <f t="shared" si="4"/>
        <v>3522.1</v>
      </c>
      <c r="AI59" s="185">
        <f t="shared" si="5"/>
        <v>3610.01</v>
      </c>
      <c r="AJ59" s="186">
        <f t="shared" si="6"/>
        <v>7730.71</v>
      </c>
      <c r="AK59" s="167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</row>
    <row r="60" spans="1:62" x14ac:dyDescent="0.3">
      <c r="A60" s="148"/>
      <c r="B60" s="148"/>
      <c r="C60" s="73" t="s">
        <v>29</v>
      </c>
      <c r="D60" s="140"/>
      <c r="E60" s="141" t="s">
        <v>2</v>
      </c>
      <c r="F60" s="141" t="s">
        <v>413</v>
      </c>
      <c r="G60" s="167"/>
      <c r="H60" s="177">
        <v>4751</v>
      </c>
      <c r="I60" s="177">
        <v>2664</v>
      </c>
      <c r="J60" s="177">
        <v>2265</v>
      </c>
      <c r="K60" s="177"/>
      <c r="L60" s="177"/>
      <c r="M60" s="178">
        <v>617</v>
      </c>
      <c r="N60" s="178" cm="1">
        <f t="array" ref="N60">SUM((H60:J60)/3)</f>
        <v>3226.666666666667</v>
      </c>
      <c r="O60" s="179">
        <v>2400</v>
      </c>
      <c r="P60" s="179">
        <f t="shared" si="18"/>
        <v>2160</v>
      </c>
      <c r="Q60" s="167"/>
      <c r="R60" s="189"/>
      <c r="S60" s="190"/>
      <c r="T60" s="190"/>
      <c r="U60" s="189"/>
      <c r="V60" s="189"/>
      <c r="W60" s="167"/>
      <c r="X60" s="182">
        <v>1.6853</v>
      </c>
      <c r="Y60" s="182">
        <v>1.71</v>
      </c>
      <c r="Z60" s="182">
        <f t="shared" si="19"/>
        <v>2.0223599999999999</v>
      </c>
      <c r="AA60" s="182">
        <f t="shared" si="15"/>
        <v>2.052</v>
      </c>
      <c r="AB60" s="167"/>
      <c r="AC60" s="183" t="s">
        <v>221</v>
      </c>
      <c r="AD60" s="184">
        <v>0</v>
      </c>
      <c r="AE60" s="184">
        <v>0</v>
      </c>
      <c r="AF60" s="184">
        <f>0.0835*365</f>
        <v>30.477500000000003</v>
      </c>
      <c r="AG60" s="184">
        <f>0.2541*365</f>
        <v>92.746499999999997</v>
      </c>
      <c r="AH60" s="184">
        <f t="shared" si="4"/>
        <v>4853.66</v>
      </c>
      <c r="AI60" s="185">
        <f t="shared" si="5"/>
        <v>4432.32</v>
      </c>
      <c r="AJ60" s="186">
        <f t="shared" si="6"/>
        <v>9409.2039999999997</v>
      </c>
      <c r="AK60" s="167"/>
      <c r="AL60" s="148"/>
      <c r="AM60" s="148"/>
      <c r="AN60" s="148"/>
      <c r="AO60" s="148"/>
      <c r="AP60" s="148"/>
      <c r="AQ60" s="148"/>
      <c r="AR60" s="148"/>
      <c r="AS60" s="148"/>
      <c r="AT60" s="148"/>
      <c r="AU60" s="148"/>
      <c r="AV60" s="148"/>
      <c r="AW60" s="148"/>
      <c r="AX60" s="148"/>
      <c r="AY60" s="148"/>
      <c r="AZ60" s="148"/>
      <c r="BA60" s="148"/>
      <c r="BB60" s="148"/>
      <c r="BC60" s="148"/>
      <c r="BD60" s="148"/>
      <c r="BE60" s="148"/>
      <c r="BF60" s="148"/>
      <c r="BG60" s="148"/>
      <c r="BH60" s="148"/>
      <c r="BI60" s="148"/>
      <c r="BJ60" s="148"/>
    </row>
    <row r="61" spans="1:62" x14ac:dyDescent="0.3">
      <c r="A61" s="187"/>
      <c r="B61" s="148"/>
      <c r="C61" s="73" t="s">
        <v>720</v>
      </c>
      <c r="D61" s="140"/>
      <c r="E61" s="141" t="s">
        <v>2</v>
      </c>
      <c r="F61" s="141" t="s">
        <v>413</v>
      </c>
      <c r="G61" s="167"/>
      <c r="H61" s="177">
        <v>1536</v>
      </c>
      <c r="I61" s="177">
        <v>812</v>
      </c>
      <c r="J61" s="177">
        <v>69</v>
      </c>
      <c r="K61" s="177">
        <v>13</v>
      </c>
      <c r="L61" s="177">
        <v>22</v>
      </c>
      <c r="M61" s="178">
        <v>6</v>
      </c>
      <c r="N61" s="178" cm="1">
        <f t="array" ref="N61">SUM((H61:J61)/3)</f>
        <v>805.66666666666674</v>
      </c>
      <c r="O61" s="179">
        <v>1500</v>
      </c>
      <c r="P61" s="179">
        <f t="shared" si="18"/>
        <v>1350</v>
      </c>
      <c r="Q61" s="167"/>
      <c r="R61" s="189"/>
      <c r="S61" s="190"/>
      <c r="T61" s="190"/>
      <c r="U61" s="189"/>
      <c r="V61" s="189"/>
      <c r="W61" s="167"/>
      <c r="X61" s="182">
        <v>1.49</v>
      </c>
      <c r="Y61" s="182">
        <v>1.81111</v>
      </c>
      <c r="Z61" s="182">
        <f t="shared" si="19"/>
        <v>1.788</v>
      </c>
      <c r="AA61" s="182">
        <f t="shared" si="15"/>
        <v>2.1733320000000003</v>
      </c>
      <c r="AB61" s="167"/>
      <c r="AC61" s="183" t="s">
        <v>414</v>
      </c>
      <c r="AD61" s="184">
        <v>11.75</v>
      </c>
      <c r="AE61" s="184">
        <v>20.51</v>
      </c>
      <c r="AF61" s="184">
        <f t="shared" ref="AF61:AG61" si="20">ROUND(AD61*12,2)</f>
        <v>141</v>
      </c>
      <c r="AG61" s="184">
        <f t="shared" si="20"/>
        <v>246.12</v>
      </c>
      <c r="AH61" s="184">
        <f t="shared" si="4"/>
        <v>2682</v>
      </c>
      <c r="AI61" s="185">
        <f t="shared" si="5"/>
        <v>2934</v>
      </c>
      <c r="AJ61" s="186">
        <f t="shared" si="6"/>
        <v>6003.12</v>
      </c>
      <c r="AK61" s="167"/>
      <c r="AL61" s="148"/>
      <c r="AM61" s="148"/>
      <c r="AN61" s="148"/>
      <c r="AO61" s="148"/>
      <c r="AP61" s="148"/>
      <c r="AQ61" s="148"/>
      <c r="AR61" s="148"/>
      <c r="AS61" s="148"/>
      <c r="AT61" s="148"/>
      <c r="AU61" s="148"/>
      <c r="AV61" s="148"/>
      <c r="AW61" s="148"/>
      <c r="AX61" s="148"/>
      <c r="AY61" s="148"/>
      <c r="AZ61" s="148"/>
      <c r="BA61" s="148"/>
      <c r="BB61" s="148"/>
      <c r="BC61" s="148"/>
      <c r="BD61" s="148"/>
      <c r="BE61" s="148"/>
      <c r="BF61" s="148"/>
      <c r="BG61" s="148"/>
      <c r="BH61" s="148"/>
      <c r="BI61" s="148"/>
      <c r="BJ61" s="148"/>
    </row>
    <row r="62" spans="1:62" x14ac:dyDescent="0.3">
      <c r="A62" s="148"/>
      <c r="B62" s="148"/>
      <c r="C62" s="73" t="s">
        <v>20</v>
      </c>
      <c r="D62" s="140"/>
      <c r="E62" s="141" t="s">
        <v>2</v>
      </c>
      <c r="F62" s="141" t="s">
        <v>415</v>
      </c>
      <c r="G62" s="167"/>
      <c r="H62" s="197">
        <v>0</v>
      </c>
      <c r="I62" s="197">
        <v>163.47490347490347</v>
      </c>
      <c r="J62" s="197">
        <v>300.5250965250965</v>
      </c>
      <c r="K62" s="197">
        <v>0</v>
      </c>
      <c r="L62" s="197">
        <v>232</v>
      </c>
      <c r="M62" s="178">
        <v>0</v>
      </c>
      <c r="N62" s="178" cm="1">
        <f t="array" ref="N62">SUM((H62:J62)/3)</f>
        <v>154.66666666666666</v>
      </c>
      <c r="O62" s="179">
        <v>155</v>
      </c>
      <c r="P62" s="179">
        <f t="shared" si="18"/>
        <v>139.5</v>
      </c>
      <c r="Q62" s="167"/>
      <c r="R62" s="189">
        <v>232</v>
      </c>
      <c r="S62" s="190">
        <v>261.35000000000002</v>
      </c>
      <c r="T62" s="190">
        <v>282.89999999999998</v>
      </c>
      <c r="U62" s="189">
        <v>0.14910000000000001</v>
      </c>
      <c r="V62" s="189">
        <v>0.15090000000000001</v>
      </c>
      <c r="W62" s="167"/>
      <c r="X62" s="182">
        <v>0.14910000000000001</v>
      </c>
      <c r="Y62" s="182">
        <v>0.15090000000000001</v>
      </c>
      <c r="Z62" s="182">
        <f t="shared" si="19"/>
        <v>0.17892000000000002</v>
      </c>
      <c r="AA62" s="182">
        <f t="shared" si="15"/>
        <v>0.18108000000000002</v>
      </c>
      <c r="AB62" s="167"/>
      <c r="AC62" s="183" t="s">
        <v>416</v>
      </c>
      <c r="AD62" s="184">
        <v>0</v>
      </c>
      <c r="AE62" s="184">
        <v>0</v>
      </c>
      <c r="AF62" s="184">
        <v>261.35000000000002</v>
      </c>
      <c r="AG62" s="184">
        <v>282.89999999999998</v>
      </c>
      <c r="AH62" s="184">
        <f t="shared" si="4"/>
        <v>41.51</v>
      </c>
      <c r="AI62" s="185">
        <f t="shared" si="5"/>
        <v>42.01</v>
      </c>
      <c r="AJ62" s="186">
        <f t="shared" si="6"/>
        <v>627.77</v>
      </c>
      <c r="AK62" s="167"/>
      <c r="AL62" s="148"/>
      <c r="AM62" s="148"/>
      <c r="AN62" s="148"/>
      <c r="AO62" s="148"/>
      <c r="AP62" s="148"/>
      <c r="AQ62" s="148"/>
      <c r="AR62" s="148"/>
      <c r="AS62" s="148"/>
      <c r="AT62" s="148"/>
      <c r="AU62" s="148"/>
      <c r="AV62" s="148"/>
      <c r="AW62" s="148"/>
      <c r="AX62" s="148"/>
      <c r="AY62" s="148"/>
      <c r="AZ62" s="148"/>
      <c r="BA62" s="148"/>
      <c r="BB62" s="148"/>
      <c r="BC62" s="148"/>
      <c r="BD62" s="148"/>
      <c r="BE62" s="148"/>
      <c r="BF62" s="148"/>
      <c r="BG62" s="148"/>
      <c r="BH62" s="148"/>
      <c r="BI62" s="148"/>
      <c r="BJ62" s="148"/>
    </row>
    <row r="63" spans="1:62" x14ac:dyDescent="0.3">
      <c r="A63" s="148"/>
      <c r="B63" s="148"/>
      <c r="C63" s="73" t="s">
        <v>20</v>
      </c>
      <c r="D63" s="140"/>
      <c r="E63" s="141" t="s">
        <v>2</v>
      </c>
      <c r="F63" s="141" t="s">
        <v>415</v>
      </c>
      <c r="G63" s="167"/>
      <c r="H63" s="197">
        <v>0</v>
      </c>
      <c r="I63" s="197">
        <v>148</v>
      </c>
      <c r="J63" s="197">
        <v>148</v>
      </c>
      <c r="K63" s="197">
        <v>0</v>
      </c>
      <c r="L63" s="197">
        <v>148</v>
      </c>
      <c r="M63" s="178">
        <v>148</v>
      </c>
      <c r="N63" s="178" cm="1">
        <f t="array" ref="N63">SUM((H63:J63)/3)</f>
        <v>98.666666666666671</v>
      </c>
      <c r="O63" s="179">
        <v>150</v>
      </c>
      <c r="P63" s="179">
        <f t="shared" si="18"/>
        <v>135</v>
      </c>
      <c r="Q63" s="167"/>
      <c r="R63" s="189">
        <v>148</v>
      </c>
      <c r="S63" s="190">
        <v>274.35000000000002</v>
      </c>
      <c r="T63" s="190">
        <v>307</v>
      </c>
      <c r="U63" s="189">
        <v>0.15558</v>
      </c>
      <c r="V63" s="189">
        <v>0.1583</v>
      </c>
      <c r="W63" s="167"/>
      <c r="X63" s="182">
        <v>0.15558</v>
      </c>
      <c r="Y63" s="182">
        <v>0.1583</v>
      </c>
      <c r="Z63" s="182">
        <f t="shared" si="19"/>
        <v>0.186696</v>
      </c>
      <c r="AA63" s="182">
        <f t="shared" si="15"/>
        <v>0.18995999999999999</v>
      </c>
      <c r="AB63" s="167"/>
      <c r="AC63" s="183" t="s">
        <v>416</v>
      </c>
      <c r="AD63" s="184">
        <v>0</v>
      </c>
      <c r="AE63" s="184">
        <v>0</v>
      </c>
      <c r="AF63" s="184">
        <v>274.35000000000002</v>
      </c>
      <c r="AG63" s="184">
        <v>307</v>
      </c>
      <c r="AH63" s="184">
        <f t="shared" si="4"/>
        <v>27.63</v>
      </c>
      <c r="AI63" s="185">
        <f t="shared" si="5"/>
        <v>28.11</v>
      </c>
      <c r="AJ63" s="186">
        <f t="shared" si="6"/>
        <v>637.09</v>
      </c>
      <c r="AK63" s="167"/>
      <c r="AL63" s="148"/>
      <c r="AM63" s="148"/>
      <c r="AN63" s="148"/>
      <c r="AO63" s="148"/>
      <c r="AP63" s="148"/>
      <c r="AQ63" s="148"/>
      <c r="AR63" s="148"/>
      <c r="AS63" s="148"/>
      <c r="AT63" s="148"/>
      <c r="AU63" s="148"/>
      <c r="AV63" s="148"/>
      <c r="AW63" s="148"/>
      <c r="AX63" s="148"/>
      <c r="AY63" s="148"/>
      <c r="AZ63" s="148"/>
      <c r="BA63" s="148"/>
      <c r="BB63" s="148"/>
      <c r="BC63" s="148"/>
      <c r="BD63" s="148"/>
      <c r="BE63" s="148"/>
      <c r="BF63" s="148"/>
      <c r="BG63" s="148"/>
      <c r="BH63" s="148"/>
      <c r="BI63" s="148"/>
      <c r="BJ63" s="148"/>
    </row>
    <row r="64" spans="1:62" x14ac:dyDescent="0.3">
      <c r="A64" s="148"/>
      <c r="B64" s="148"/>
      <c r="C64" s="73" t="s">
        <v>14</v>
      </c>
      <c r="D64" s="140"/>
      <c r="E64" s="141" t="s">
        <v>2</v>
      </c>
      <c r="F64" s="141" t="s">
        <v>413</v>
      </c>
      <c r="G64" s="167"/>
      <c r="H64" s="197">
        <v>2055.8387545010382</v>
      </c>
      <c r="I64" s="197">
        <v>1856.3214451134786</v>
      </c>
      <c r="J64" s="197">
        <v>1891.5253322815124</v>
      </c>
      <c r="K64" s="197">
        <v>1861.9702675332164</v>
      </c>
      <c r="L64" s="197">
        <v>2051.8594178676758</v>
      </c>
      <c r="M64" s="178">
        <v>1638.6783310901751</v>
      </c>
      <c r="N64" s="178" cm="1">
        <f t="array" ref="N64">SUM((H64:J64)/3)</f>
        <v>1934.5618439653431</v>
      </c>
      <c r="O64" s="179">
        <v>1900</v>
      </c>
      <c r="P64" s="179">
        <f t="shared" si="18"/>
        <v>1710</v>
      </c>
      <c r="Q64" s="167"/>
      <c r="R64" s="189"/>
      <c r="S64" s="190"/>
      <c r="T64" s="190"/>
      <c r="U64" s="189"/>
      <c r="V64" s="189"/>
      <c r="W64" s="167"/>
      <c r="X64" s="182">
        <v>1.48729</v>
      </c>
      <c r="Y64" s="182">
        <v>1.8145800000000001</v>
      </c>
      <c r="Z64" s="182">
        <f t="shared" si="19"/>
        <v>1.784748</v>
      </c>
      <c r="AA64" s="182">
        <f t="shared" si="15"/>
        <v>2.1774960000000001</v>
      </c>
      <c r="AB64" s="167"/>
      <c r="AC64" s="183" t="s">
        <v>414</v>
      </c>
      <c r="AD64" s="184">
        <v>11.75</v>
      </c>
      <c r="AE64" s="184">
        <v>20.51</v>
      </c>
      <c r="AF64" s="184">
        <f t="shared" ref="AF64:AG64" si="21">ROUND(AD64*12,2)</f>
        <v>141</v>
      </c>
      <c r="AG64" s="184">
        <f t="shared" si="21"/>
        <v>246.12</v>
      </c>
      <c r="AH64" s="184">
        <f t="shared" si="4"/>
        <v>3391.02</v>
      </c>
      <c r="AI64" s="185">
        <f t="shared" si="5"/>
        <v>3723.52</v>
      </c>
      <c r="AJ64" s="186">
        <f t="shared" si="6"/>
        <v>7501.66</v>
      </c>
      <c r="AK64" s="167"/>
      <c r="AL64" s="148"/>
      <c r="AM64" s="148"/>
      <c r="AN64" s="148"/>
      <c r="AO64" s="148"/>
      <c r="AP64" s="148"/>
      <c r="AQ64" s="148"/>
      <c r="AR64" s="148"/>
      <c r="AS64" s="148"/>
      <c r="AT64" s="148"/>
      <c r="AU64" s="148"/>
      <c r="AV64" s="148"/>
      <c r="AW64" s="148"/>
      <c r="AX64" s="148"/>
      <c r="AY64" s="148"/>
      <c r="AZ64" s="148"/>
      <c r="BA64" s="148"/>
      <c r="BB64" s="148"/>
      <c r="BC64" s="148"/>
      <c r="BD64" s="148"/>
      <c r="BE64" s="148"/>
      <c r="BF64" s="148"/>
      <c r="BG64" s="148"/>
      <c r="BH64" s="148"/>
      <c r="BI64" s="148"/>
      <c r="BJ64" s="148"/>
    </row>
    <row r="65" spans="1:62" x14ac:dyDescent="0.3">
      <c r="A65" s="148"/>
      <c r="B65" s="148"/>
      <c r="C65" s="73" t="s">
        <v>22</v>
      </c>
      <c r="D65" s="140"/>
      <c r="E65" s="141" t="s">
        <v>2</v>
      </c>
      <c r="F65" s="141" t="s">
        <v>415</v>
      </c>
      <c r="G65" s="167"/>
      <c r="H65" s="197">
        <v>0</v>
      </c>
      <c r="I65" s="197">
        <v>1109</v>
      </c>
      <c r="J65" s="197">
        <v>1109</v>
      </c>
      <c r="K65" s="197"/>
      <c r="L65" s="197"/>
      <c r="M65" s="178">
        <v>1109</v>
      </c>
      <c r="N65" s="178" cm="1">
        <f t="array" ref="N65">SUM((H65:J65)/3)</f>
        <v>739.33333333333337</v>
      </c>
      <c r="O65" s="179">
        <v>1110</v>
      </c>
      <c r="P65" s="179">
        <f t="shared" si="18"/>
        <v>999</v>
      </c>
      <c r="Q65" s="167"/>
      <c r="R65" s="189">
        <v>1109</v>
      </c>
      <c r="S65" s="190">
        <v>522.15</v>
      </c>
      <c r="T65" s="190">
        <v>525.79999999999995</v>
      </c>
      <c r="U65" s="189">
        <v>0.15579999999999999</v>
      </c>
      <c r="V65" s="189">
        <v>0.1583</v>
      </c>
      <c r="W65" s="167"/>
      <c r="X65" s="182">
        <v>0.15579999999999999</v>
      </c>
      <c r="Y65" s="182">
        <v>0.15579999999999999</v>
      </c>
      <c r="Z65" s="182">
        <f t="shared" si="19"/>
        <v>0.18695999999999999</v>
      </c>
      <c r="AA65" s="182">
        <f t="shared" si="15"/>
        <v>0.18695999999999999</v>
      </c>
      <c r="AB65" s="167"/>
      <c r="AC65" s="183" t="s">
        <v>416</v>
      </c>
      <c r="AD65" s="184">
        <v>0</v>
      </c>
      <c r="AE65" s="184">
        <v>0</v>
      </c>
      <c r="AF65" s="184">
        <v>525.15</v>
      </c>
      <c r="AG65" s="184">
        <v>525.79999999999995</v>
      </c>
      <c r="AH65" s="184">
        <f t="shared" si="4"/>
        <v>207.34</v>
      </c>
      <c r="AI65" s="185">
        <f t="shared" si="5"/>
        <v>207.34</v>
      </c>
      <c r="AJ65" s="186">
        <f t="shared" si="6"/>
        <v>1465.6299999999997</v>
      </c>
      <c r="AK65" s="167"/>
      <c r="AL65" s="148"/>
      <c r="AM65" s="148"/>
      <c r="AN65" s="148"/>
      <c r="AO65" s="148"/>
      <c r="AP65" s="148"/>
      <c r="AQ65" s="148"/>
      <c r="AR65" s="148"/>
      <c r="AS65" s="148"/>
      <c r="AT65" s="148"/>
      <c r="AU65" s="148"/>
      <c r="AV65" s="148"/>
      <c r="AW65" s="148"/>
      <c r="AX65" s="148"/>
      <c r="AY65" s="148"/>
      <c r="AZ65" s="148"/>
      <c r="BA65" s="148"/>
      <c r="BB65" s="148"/>
      <c r="BC65" s="148"/>
      <c r="BD65" s="148"/>
      <c r="BE65" s="148"/>
      <c r="BF65" s="148"/>
      <c r="BG65" s="148"/>
      <c r="BH65" s="148"/>
      <c r="BI65" s="148"/>
      <c r="BJ65" s="148"/>
    </row>
    <row r="66" spans="1:62" x14ac:dyDescent="0.3">
      <c r="A66" s="148"/>
      <c r="B66" s="148"/>
      <c r="C66" s="73" t="s">
        <v>23</v>
      </c>
      <c r="D66" s="140"/>
      <c r="E66" s="141" t="s">
        <v>2</v>
      </c>
      <c r="F66" s="141" t="s">
        <v>413</v>
      </c>
      <c r="G66" s="167"/>
      <c r="H66" s="197">
        <v>1914.7402545468201</v>
      </c>
      <c r="I66" s="197">
        <v>1879.5544455633501</v>
      </c>
      <c r="J66" s="197">
        <v>2295.34209333937</v>
      </c>
      <c r="K66" s="197">
        <v>2067.6529225192598</v>
      </c>
      <c r="L66" s="197">
        <v>2330.5131860512302</v>
      </c>
      <c r="M66" s="178">
        <v>1479.8909825033647</v>
      </c>
      <c r="N66" s="178" cm="1">
        <f t="array" ref="N66">SUM((H66:J66)/3)</f>
        <v>2029.8789311498467</v>
      </c>
      <c r="O66" s="179">
        <v>2100</v>
      </c>
      <c r="P66" s="179">
        <f t="shared" si="18"/>
        <v>1890</v>
      </c>
      <c r="Q66" s="167"/>
      <c r="R66" s="189"/>
      <c r="S66" s="190"/>
      <c r="T66" s="190"/>
      <c r="U66" s="189"/>
      <c r="V66" s="189"/>
      <c r="W66" s="167"/>
      <c r="X66" s="182">
        <v>1.4872799999999999</v>
      </c>
      <c r="Y66" s="182">
        <v>1.8146100000000001</v>
      </c>
      <c r="Z66" s="182">
        <f t="shared" si="19"/>
        <v>1.7847359999999999</v>
      </c>
      <c r="AA66" s="182">
        <f t="shared" si="15"/>
        <v>2.1775320000000002</v>
      </c>
      <c r="AB66" s="167"/>
      <c r="AC66" s="183" t="s">
        <v>414</v>
      </c>
      <c r="AD66" s="184">
        <v>11.75</v>
      </c>
      <c r="AE66" s="184">
        <v>20.51</v>
      </c>
      <c r="AF66" s="184">
        <f t="shared" ref="AF66:AG70" si="22">ROUND(AD66*12,2)</f>
        <v>141</v>
      </c>
      <c r="AG66" s="184">
        <f t="shared" si="22"/>
        <v>246.12</v>
      </c>
      <c r="AH66" s="184">
        <f t="shared" si="4"/>
        <v>3747.95</v>
      </c>
      <c r="AI66" s="185">
        <f t="shared" si="5"/>
        <v>4115.54</v>
      </c>
      <c r="AJ66" s="186">
        <f t="shared" si="6"/>
        <v>8250.61</v>
      </c>
      <c r="AK66" s="167"/>
      <c r="AL66" s="148"/>
      <c r="AM66" s="148"/>
      <c r="AN66" s="148"/>
      <c r="AO66" s="148"/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  <c r="BD66" s="148"/>
      <c r="BE66" s="148"/>
      <c r="BF66" s="148"/>
      <c r="BG66" s="148"/>
      <c r="BH66" s="148"/>
      <c r="BI66" s="148"/>
      <c r="BJ66" s="148"/>
    </row>
    <row r="67" spans="1:62" x14ac:dyDescent="0.3">
      <c r="A67" s="187"/>
      <c r="B67" s="148"/>
      <c r="C67" s="73" t="s">
        <v>721</v>
      </c>
      <c r="D67" s="140"/>
      <c r="E67" s="141" t="s">
        <v>2</v>
      </c>
      <c r="F67" s="141" t="s">
        <v>413</v>
      </c>
      <c r="G67" s="167"/>
      <c r="H67" s="177">
        <v>2098</v>
      </c>
      <c r="I67" s="177">
        <v>1200</v>
      </c>
      <c r="J67" s="177">
        <v>511</v>
      </c>
      <c r="K67" s="177">
        <v>16</v>
      </c>
      <c r="L67" s="177">
        <v>0</v>
      </c>
      <c r="M67" s="178">
        <v>0</v>
      </c>
      <c r="N67" s="178" cm="1">
        <f t="array" ref="N67">SUM((H67:J67)/3)</f>
        <v>1269.6666666666667</v>
      </c>
      <c r="O67" s="179">
        <v>1800</v>
      </c>
      <c r="P67" s="179">
        <f t="shared" si="18"/>
        <v>1620</v>
      </c>
      <c r="Q67" s="167"/>
      <c r="R67" s="189"/>
      <c r="S67" s="190"/>
      <c r="T67" s="190"/>
      <c r="U67" s="189"/>
      <c r="V67" s="189"/>
      <c r="W67" s="167"/>
      <c r="X67" s="182">
        <v>1.6</v>
      </c>
      <c r="Y67" s="182">
        <v>1.8</v>
      </c>
      <c r="Z67" s="182">
        <f t="shared" si="19"/>
        <v>1.9200000000000002</v>
      </c>
      <c r="AA67" s="182">
        <f t="shared" si="15"/>
        <v>2.16</v>
      </c>
      <c r="AB67" s="167"/>
      <c r="AC67" s="183" t="s">
        <v>414</v>
      </c>
      <c r="AD67" s="184">
        <v>4.0999999999999996</v>
      </c>
      <c r="AE67" s="184">
        <v>9.83</v>
      </c>
      <c r="AF67" s="184">
        <f t="shared" si="22"/>
        <v>49.2</v>
      </c>
      <c r="AG67" s="184">
        <f t="shared" si="22"/>
        <v>117.96</v>
      </c>
      <c r="AH67" s="184">
        <f t="shared" si="4"/>
        <v>3456</v>
      </c>
      <c r="AI67" s="185">
        <f t="shared" si="5"/>
        <v>3499.2</v>
      </c>
      <c r="AJ67" s="186">
        <f t="shared" si="6"/>
        <v>7122.36</v>
      </c>
      <c r="AK67" s="167"/>
      <c r="AL67" s="148"/>
      <c r="AM67" s="148"/>
      <c r="AN67" s="148"/>
      <c r="AO67" s="148"/>
      <c r="AP67" s="148"/>
      <c r="AQ67" s="148"/>
      <c r="AR67" s="148"/>
      <c r="AS67" s="148"/>
      <c r="AT67" s="148"/>
      <c r="AU67" s="148"/>
      <c r="AV67" s="148"/>
      <c r="AW67" s="148"/>
      <c r="AX67" s="148"/>
      <c r="AY67" s="148"/>
      <c r="AZ67" s="148"/>
      <c r="BA67" s="148"/>
      <c r="BB67" s="148"/>
      <c r="BC67" s="148"/>
      <c r="BD67" s="148"/>
      <c r="BE67" s="148"/>
      <c r="BF67" s="148"/>
      <c r="BG67" s="148"/>
      <c r="BH67" s="148"/>
      <c r="BI67" s="148"/>
      <c r="BJ67" s="148"/>
    </row>
    <row r="68" spans="1:62" x14ac:dyDescent="0.3">
      <c r="A68" s="148"/>
      <c r="B68" s="148"/>
      <c r="C68" s="73" t="s">
        <v>30</v>
      </c>
      <c r="D68" s="140"/>
      <c r="E68" s="141" t="s">
        <v>2</v>
      </c>
      <c r="F68" s="141" t="s">
        <v>413</v>
      </c>
      <c r="G68" s="167"/>
      <c r="H68" s="197">
        <v>1145.6201945345067</v>
      </c>
      <c r="I68" s="197">
        <v>1756.3455303381195</v>
      </c>
      <c r="J68" s="197">
        <v>1867.6806333500033</v>
      </c>
      <c r="K68" s="197">
        <v>1674.1544754966853</v>
      </c>
      <c r="L68" s="197">
        <v>1889.2826117719371</v>
      </c>
      <c r="M68" s="178">
        <v>1414.9165545087483</v>
      </c>
      <c r="N68" s="178" cm="1">
        <f t="array" ref="N68">SUM((H68:J68)/3)</f>
        <v>1589.8821194075431</v>
      </c>
      <c r="O68" s="179">
        <v>1700</v>
      </c>
      <c r="P68" s="179">
        <f t="shared" si="18"/>
        <v>1530</v>
      </c>
      <c r="Q68" s="167"/>
      <c r="R68" s="189"/>
      <c r="S68" s="190"/>
      <c r="T68" s="190"/>
      <c r="U68" s="189"/>
      <c r="V68" s="189"/>
      <c r="W68" s="167"/>
      <c r="X68" s="182">
        <v>1.48733</v>
      </c>
      <c r="Y68" s="182">
        <v>1.8145899999999999</v>
      </c>
      <c r="Z68" s="182">
        <f t="shared" si="19"/>
        <v>1.784796</v>
      </c>
      <c r="AA68" s="182">
        <f t="shared" si="15"/>
        <v>2.177508</v>
      </c>
      <c r="AB68" s="167"/>
      <c r="AC68" s="183" t="s">
        <v>414</v>
      </c>
      <c r="AD68" s="184">
        <v>11.75</v>
      </c>
      <c r="AE68" s="184">
        <v>20.51</v>
      </c>
      <c r="AF68" s="184">
        <f t="shared" si="22"/>
        <v>141</v>
      </c>
      <c r="AG68" s="184">
        <f t="shared" si="22"/>
        <v>246.12</v>
      </c>
      <c r="AH68" s="184">
        <f t="shared" si="4"/>
        <v>3034.15</v>
      </c>
      <c r="AI68" s="185">
        <f t="shared" si="5"/>
        <v>3331.59</v>
      </c>
      <c r="AJ68" s="186">
        <f t="shared" si="6"/>
        <v>6752.8600000000006</v>
      </c>
      <c r="AK68" s="167"/>
      <c r="AL68" s="148"/>
      <c r="AM68" s="148"/>
      <c r="AN68" s="148"/>
      <c r="AO68" s="148"/>
      <c r="AP68" s="148"/>
      <c r="AQ68" s="148"/>
      <c r="AR68" s="148"/>
      <c r="AS68" s="148"/>
      <c r="AT68" s="148"/>
      <c r="AU68" s="148"/>
      <c r="AV68" s="148"/>
      <c r="AW68" s="148"/>
      <c r="AX68" s="148"/>
      <c r="AY68" s="148"/>
      <c r="AZ68" s="148"/>
      <c r="BA68" s="148"/>
      <c r="BB68" s="148"/>
      <c r="BC68" s="148"/>
      <c r="BD68" s="148"/>
      <c r="BE68" s="148"/>
      <c r="BF68" s="148"/>
      <c r="BG68" s="148"/>
      <c r="BH68" s="148"/>
      <c r="BI68" s="148"/>
      <c r="BJ68" s="148"/>
    </row>
    <row r="69" spans="1:62" x14ac:dyDescent="0.3">
      <c r="A69" s="148"/>
      <c r="B69" s="148"/>
      <c r="C69" s="73" t="s">
        <v>114</v>
      </c>
      <c r="D69" s="140"/>
      <c r="E69" s="141" t="s">
        <v>2</v>
      </c>
      <c r="F69" s="141" t="s">
        <v>413</v>
      </c>
      <c r="G69" s="167"/>
      <c r="H69" s="197">
        <v>1703.2307746682141</v>
      </c>
      <c r="I69" s="197">
        <v>2023.7934426229508</v>
      </c>
      <c r="J69" s="197">
        <v>2124.0418419530952</v>
      </c>
      <c r="K69" s="197">
        <v>2282.0232634333215</v>
      </c>
      <c r="L69" s="197">
        <v>2507.2836314580109</v>
      </c>
      <c r="M69" s="178">
        <v>1606.82503364738</v>
      </c>
      <c r="N69" s="178" cm="1">
        <f t="array" ref="N69">SUM((H69:J69)/3)</f>
        <v>1950.3553530814197</v>
      </c>
      <c r="O69" s="179">
        <v>2100</v>
      </c>
      <c r="P69" s="179">
        <f t="shared" si="18"/>
        <v>1890</v>
      </c>
      <c r="Q69" s="167"/>
      <c r="R69" s="189"/>
      <c r="S69" s="190"/>
      <c r="T69" s="190"/>
      <c r="U69" s="189"/>
      <c r="V69" s="189"/>
      <c r="W69" s="167"/>
      <c r="X69" s="182">
        <v>1.4872700000000001</v>
      </c>
      <c r="Y69" s="182">
        <v>1.8145100000000001</v>
      </c>
      <c r="Z69" s="182">
        <f t="shared" si="19"/>
        <v>1.7847240000000002</v>
      </c>
      <c r="AA69" s="182">
        <f t="shared" si="15"/>
        <v>2.1774120000000003</v>
      </c>
      <c r="AB69" s="167"/>
      <c r="AC69" s="183" t="s">
        <v>414</v>
      </c>
      <c r="AD69" s="184">
        <v>11.75</v>
      </c>
      <c r="AE69" s="184">
        <v>20.51</v>
      </c>
      <c r="AF69" s="184">
        <f t="shared" si="22"/>
        <v>141</v>
      </c>
      <c r="AG69" s="184">
        <f t="shared" si="22"/>
        <v>246.12</v>
      </c>
      <c r="AH69" s="184">
        <f t="shared" si="4"/>
        <v>3747.92</v>
      </c>
      <c r="AI69" s="185">
        <f t="shared" si="5"/>
        <v>4115.3100000000004</v>
      </c>
      <c r="AJ69" s="186">
        <f t="shared" si="6"/>
        <v>8250.35</v>
      </c>
      <c r="AK69" s="167"/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AX69" s="148"/>
      <c r="AY69" s="148"/>
      <c r="AZ69" s="148"/>
      <c r="BA69" s="148"/>
      <c r="BB69" s="148"/>
      <c r="BC69" s="148"/>
      <c r="BD69" s="148"/>
      <c r="BE69" s="148"/>
      <c r="BF69" s="148"/>
      <c r="BG69" s="148"/>
      <c r="BH69" s="148"/>
      <c r="BI69" s="148"/>
      <c r="BJ69" s="148"/>
    </row>
    <row r="70" spans="1:62" x14ac:dyDescent="0.3">
      <c r="A70" s="148"/>
      <c r="B70" s="148"/>
      <c r="C70" s="73" t="s">
        <v>26</v>
      </c>
      <c r="D70" s="140"/>
      <c r="E70" s="141" t="s">
        <v>2</v>
      </c>
      <c r="F70" s="141" t="s">
        <v>413</v>
      </c>
      <c r="G70" s="167"/>
      <c r="H70" s="177">
        <v>1375</v>
      </c>
      <c r="I70" s="177">
        <v>1443</v>
      </c>
      <c r="J70" s="177">
        <v>1498</v>
      </c>
      <c r="K70" s="177"/>
      <c r="L70" s="177"/>
      <c r="M70" s="178">
        <v>819</v>
      </c>
      <c r="N70" s="178" cm="1">
        <f t="array" ref="N70">SUM((H70:J70)/3)</f>
        <v>1438.6666666666665</v>
      </c>
      <c r="O70" s="179">
        <v>1400</v>
      </c>
      <c r="P70" s="179">
        <f t="shared" si="18"/>
        <v>1260</v>
      </c>
      <c r="Q70" s="167"/>
      <c r="R70" s="189"/>
      <c r="S70" s="190"/>
      <c r="T70" s="190"/>
      <c r="U70" s="189"/>
      <c r="V70" s="189"/>
      <c r="W70" s="167"/>
      <c r="X70" s="182">
        <v>1.4873400000000001</v>
      </c>
      <c r="Y70" s="182">
        <v>1.8146100000000001</v>
      </c>
      <c r="Z70" s="182">
        <f t="shared" si="19"/>
        <v>1.7848080000000002</v>
      </c>
      <c r="AA70" s="182">
        <f t="shared" si="15"/>
        <v>2.1775320000000002</v>
      </c>
      <c r="AB70" s="167"/>
      <c r="AC70" s="183" t="s">
        <v>414</v>
      </c>
      <c r="AD70" s="184">
        <v>11.75</v>
      </c>
      <c r="AE70" s="184">
        <v>20.51</v>
      </c>
      <c r="AF70" s="184">
        <f t="shared" si="22"/>
        <v>141</v>
      </c>
      <c r="AG70" s="184">
        <f t="shared" si="22"/>
        <v>246.12</v>
      </c>
      <c r="AH70" s="184">
        <f t="shared" si="4"/>
        <v>2498.73</v>
      </c>
      <c r="AI70" s="185">
        <f t="shared" si="5"/>
        <v>2743.69</v>
      </c>
      <c r="AJ70" s="186">
        <f t="shared" si="6"/>
        <v>5629.54</v>
      </c>
      <c r="AK70" s="167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AX70" s="148"/>
      <c r="AY70" s="148"/>
      <c r="AZ70" s="148"/>
      <c r="BA70" s="148"/>
      <c r="BB70" s="148"/>
      <c r="BC70" s="148"/>
      <c r="BD70" s="148"/>
      <c r="BE70" s="148"/>
      <c r="BF70" s="148"/>
      <c r="BG70" s="148"/>
      <c r="BH70" s="148"/>
      <c r="BI70" s="148"/>
      <c r="BJ70" s="148"/>
    </row>
    <row r="71" spans="1:62" x14ac:dyDescent="0.3">
      <c r="A71" s="148"/>
      <c r="B71" s="148"/>
      <c r="C71" s="73" t="s">
        <v>8</v>
      </c>
      <c r="D71" s="140"/>
      <c r="E71" s="141" t="s">
        <v>2</v>
      </c>
      <c r="F71" s="141" t="s">
        <v>413</v>
      </c>
      <c r="G71" s="167"/>
      <c r="H71" s="197">
        <v>1671.787292994856</v>
      </c>
      <c r="I71" s="197">
        <v>1774.0295175651197</v>
      </c>
      <c r="J71" s="197">
        <v>1908.2169667156113</v>
      </c>
      <c r="K71" s="197">
        <v>1946.7649864365544</v>
      </c>
      <c r="L71" s="197">
        <v>1789.1136612238533</v>
      </c>
      <c r="M71" s="178">
        <v>747.13802595359812</v>
      </c>
      <c r="N71" s="178" cm="1">
        <f t="array" ref="N71">SUM((H71:J71)/3)</f>
        <v>1784.677925758529</v>
      </c>
      <c r="O71" s="179">
        <v>1800</v>
      </c>
      <c r="P71" s="179">
        <f t="shared" si="18"/>
        <v>1620</v>
      </c>
      <c r="Q71" s="167"/>
      <c r="R71" s="189"/>
      <c r="S71" s="190"/>
      <c r="T71" s="190"/>
      <c r="U71" s="189"/>
      <c r="V71" s="189"/>
      <c r="W71" s="167"/>
      <c r="X71" s="182">
        <v>1.6853</v>
      </c>
      <c r="Y71" s="182">
        <v>1.71</v>
      </c>
      <c r="Z71" s="182">
        <f t="shared" si="19"/>
        <v>2.0223599999999999</v>
      </c>
      <c r="AA71" s="182">
        <f t="shared" si="19"/>
        <v>2.052</v>
      </c>
      <c r="AB71" s="167"/>
      <c r="AC71" s="183" t="s">
        <v>221</v>
      </c>
      <c r="AD71" s="184">
        <v>0</v>
      </c>
      <c r="AE71" s="184">
        <v>0</v>
      </c>
      <c r="AF71" s="184">
        <f>0.0835*365</f>
        <v>30.477500000000003</v>
      </c>
      <c r="AG71" s="184">
        <f>0.2541*365</f>
        <v>92.746499999999997</v>
      </c>
      <c r="AH71" s="184">
        <f t="shared" si="4"/>
        <v>3640.25</v>
      </c>
      <c r="AI71" s="185">
        <f t="shared" si="5"/>
        <v>3324.24</v>
      </c>
      <c r="AJ71" s="186">
        <f t="shared" si="6"/>
        <v>7087.7139999999999</v>
      </c>
      <c r="AK71" s="167"/>
      <c r="AL71" s="148"/>
      <c r="AM71" s="148"/>
      <c r="AN71" s="148"/>
      <c r="AO71" s="148"/>
      <c r="AP71" s="148"/>
      <c r="AQ71" s="148"/>
      <c r="AR71" s="148"/>
      <c r="AS71" s="148"/>
      <c r="AT71" s="148"/>
      <c r="AU71" s="148"/>
      <c r="AV71" s="148"/>
      <c r="AW71" s="148"/>
      <c r="AX71" s="148"/>
      <c r="AY71" s="148"/>
      <c r="AZ71" s="148"/>
      <c r="BA71" s="148"/>
      <c r="BB71" s="148"/>
      <c r="BC71" s="148"/>
      <c r="BD71" s="148"/>
      <c r="BE71" s="148"/>
      <c r="BF71" s="148"/>
      <c r="BG71" s="148"/>
      <c r="BH71" s="148"/>
      <c r="BI71" s="148"/>
      <c r="BJ71" s="148"/>
    </row>
    <row r="72" spans="1:62" x14ac:dyDescent="0.3">
      <c r="A72" s="148"/>
      <c r="B72" s="148"/>
      <c r="C72" s="148"/>
      <c r="D72" s="140"/>
      <c r="E72" s="141"/>
      <c r="F72" s="141"/>
      <c r="G72" s="167"/>
      <c r="H72" s="177"/>
      <c r="I72" s="177"/>
      <c r="J72" s="177"/>
      <c r="K72" s="177"/>
      <c r="L72" s="177"/>
      <c r="M72" s="178"/>
      <c r="N72" s="178"/>
      <c r="O72" s="179"/>
      <c r="P72" s="179"/>
      <c r="Q72" s="167"/>
      <c r="R72" s="189"/>
      <c r="S72" s="190"/>
      <c r="T72" s="190"/>
      <c r="U72" s="189"/>
      <c r="V72" s="189"/>
      <c r="W72" s="167"/>
      <c r="X72" s="182"/>
      <c r="Y72" s="182"/>
      <c r="Z72" s="182"/>
      <c r="AA72" s="182"/>
      <c r="AB72" s="167"/>
      <c r="AC72" s="183"/>
      <c r="AD72" s="184"/>
      <c r="AE72" s="184"/>
      <c r="AF72" s="184"/>
      <c r="AG72" s="184"/>
      <c r="AH72" s="184"/>
      <c r="AI72" s="185"/>
      <c r="AJ72" s="186"/>
      <c r="AK72" s="167"/>
      <c r="AL72" s="148"/>
      <c r="AM72" s="148"/>
      <c r="AN72" s="148"/>
      <c r="AO72" s="148"/>
      <c r="AP72" s="148"/>
      <c r="AQ72" s="148"/>
      <c r="AR72" s="148"/>
      <c r="AS72" s="148"/>
      <c r="AT72" s="148"/>
      <c r="AU72" s="148"/>
      <c r="AV72" s="148"/>
      <c r="AW72" s="148"/>
      <c r="AX72" s="148"/>
      <c r="AY72" s="148"/>
      <c r="AZ72" s="148"/>
      <c r="BA72" s="148"/>
      <c r="BB72" s="148"/>
      <c r="BC72" s="148"/>
      <c r="BD72" s="148"/>
      <c r="BE72" s="148"/>
      <c r="BF72" s="148"/>
      <c r="BG72" s="148"/>
      <c r="BH72" s="148"/>
      <c r="BI72" s="148"/>
      <c r="BJ72" s="148"/>
    </row>
    <row r="73" spans="1:62" x14ac:dyDescent="0.3">
      <c r="A73" s="140"/>
      <c r="B73" s="140"/>
      <c r="C73" s="140"/>
      <c r="D73" s="140"/>
      <c r="E73" s="141"/>
      <c r="F73" s="141"/>
      <c r="G73" s="167"/>
      <c r="H73" s="177"/>
      <c r="I73" s="177"/>
      <c r="J73" s="177"/>
      <c r="K73" s="177"/>
      <c r="L73" s="177"/>
      <c r="M73" s="178"/>
      <c r="N73" s="178"/>
      <c r="O73" s="179"/>
      <c r="P73" s="179"/>
      <c r="Q73" s="167"/>
      <c r="R73" s="189"/>
      <c r="S73" s="190"/>
      <c r="T73" s="190"/>
      <c r="U73" s="189"/>
      <c r="V73" s="189"/>
      <c r="W73" s="167"/>
      <c r="X73" s="182"/>
      <c r="Y73" s="182"/>
      <c r="Z73" s="182"/>
      <c r="AA73" s="182"/>
      <c r="AB73" s="167"/>
      <c r="AC73" s="200"/>
      <c r="AD73" s="185"/>
      <c r="AE73" s="185"/>
      <c r="AF73" s="185"/>
      <c r="AG73" s="185"/>
      <c r="AH73" s="185"/>
      <c r="AI73" s="185"/>
      <c r="AJ73" s="186"/>
      <c r="AK73" s="167"/>
      <c r="AL73" s="148"/>
      <c r="AM73" s="148"/>
      <c r="AN73" s="148"/>
      <c r="AO73" s="148"/>
      <c r="AP73" s="148"/>
      <c r="AQ73" s="148"/>
      <c r="AR73" s="148"/>
      <c r="AS73" s="148"/>
      <c r="AT73" s="148"/>
      <c r="AU73" s="148"/>
      <c r="AV73" s="148"/>
      <c r="AW73" s="148"/>
      <c r="AX73" s="148"/>
      <c r="AY73" s="148"/>
      <c r="AZ73" s="148"/>
      <c r="BA73" s="148"/>
      <c r="BB73" s="148"/>
      <c r="BC73" s="148"/>
      <c r="BD73" s="148"/>
      <c r="BE73" s="148"/>
      <c r="BF73" s="148"/>
      <c r="BG73" s="148"/>
      <c r="BH73" s="148"/>
      <c r="BI73" s="148"/>
      <c r="BJ73" s="148"/>
    </row>
    <row r="74" spans="1:62" x14ac:dyDescent="0.3">
      <c r="A74" s="140"/>
      <c r="B74" s="140"/>
      <c r="C74" s="140"/>
      <c r="D74" s="140"/>
      <c r="E74" s="141"/>
      <c r="F74" s="141"/>
      <c r="G74" s="167"/>
      <c r="H74" s="141"/>
      <c r="I74" s="141"/>
      <c r="J74" s="141"/>
      <c r="K74" s="141"/>
      <c r="L74" s="141"/>
      <c r="N74" s="143"/>
      <c r="Q74" s="167"/>
      <c r="R74" s="189"/>
      <c r="S74" s="190"/>
      <c r="T74" s="190"/>
      <c r="U74" s="189"/>
      <c r="V74" s="189"/>
      <c r="W74" s="167"/>
      <c r="X74" s="201"/>
      <c r="Y74" s="201"/>
      <c r="Z74" s="201"/>
      <c r="AA74" s="201"/>
      <c r="AB74" s="167"/>
      <c r="AC74" s="200"/>
      <c r="AD74" s="185"/>
      <c r="AE74" s="185"/>
      <c r="AF74" s="185"/>
      <c r="AG74" s="185"/>
      <c r="AH74" s="185"/>
      <c r="AI74" s="185"/>
      <c r="AJ74" s="186"/>
      <c r="AK74" s="167"/>
      <c r="AL74" s="148"/>
      <c r="AM74" s="148"/>
      <c r="AN74" s="148"/>
      <c r="AO74" s="148"/>
      <c r="AP74" s="148"/>
      <c r="AQ74" s="148"/>
      <c r="AR74" s="148"/>
      <c r="AS74" s="148"/>
      <c r="AT74" s="148"/>
      <c r="AU74" s="148"/>
      <c r="AV74" s="148"/>
      <c r="AW74" s="148"/>
      <c r="AX74" s="148"/>
      <c r="AY74" s="148"/>
      <c r="AZ74" s="148"/>
      <c r="BA74" s="148"/>
      <c r="BB74" s="148"/>
      <c r="BC74" s="148"/>
      <c r="BD74" s="148"/>
      <c r="BE74" s="148"/>
      <c r="BF74" s="148"/>
      <c r="BG74" s="148"/>
      <c r="BH74" s="148"/>
      <c r="BI74" s="148"/>
      <c r="BJ74" s="148"/>
    </row>
    <row r="75" spans="1:62" x14ac:dyDescent="0.3">
      <c r="A75" s="140"/>
      <c r="B75" s="140"/>
      <c r="C75" s="140"/>
      <c r="D75" s="140"/>
      <c r="E75" s="141"/>
      <c r="F75" s="141"/>
      <c r="G75" s="167"/>
      <c r="H75" s="141"/>
      <c r="I75" s="141"/>
      <c r="J75" s="141"/>
      <c r="K75" s="141"/>
      <c r="L75" s="141"/>
      <c r="N75" s="143"/>
      <c r="Q75" s="167"/>
      <c r="R75" s="189"/>
      <c r="S75" s="190"/>
      <c r="T75" s="190"/>
      <c r="U75" s="189"/>
      <c r="V75" s="189"/>
      <c r="W75" s="167"/>
      <c r="X75" s="201"/>
      <c r="Y75" s="201"/>
      <c r="Z75" s="201"/>
      <c r="AA75" s="201"/>
      <c r="AB75" s="167"/>
      <c r="AC75" s="200"/>
      <c r="AD75" s="185"/>
      <c r="AE75" s="185"/>
      <c r="AF75" s="185"/>
      <c r="AG75" s="185"/>
      <c r="AH75" s="185"/>
      <c r="AI75" s="185"/>
      <c r="AJ75" s="186"/>
      <c r="AK75" s="167"/>
      <c r="AL75" s="148"/>
      <c r="AM75" s="148"/>
      <c r="AN75" s="148"/>
      <c r="AO75" s="148"/>
      <c r="AP75" s="148"/>
      <c r="AQ75" s="148"/>
      <c r="AR75" s="148"/>
      <c r="AS75" s="148"/>
      <c r="AT75" s="148"/>
      <c r="AU75" s="148"/>
      <c r="AV75" s="148"/>
      <c r="AW75" s="148"/>
      <c r="AX75" s="148"/>
      <c r="AY75" s="148"/>
      <c r="AZ75" s="148"/>
      <c r="BA75" s="148"/>
      <c r="BB75" s="148"/>
      <c r="BC75" s="148"/>
      <c r="BD75" s="148"/>
      <c r="BE75" s="148"/>
      <c r="BF75" s="148"/>
      <c r="BG75" s="148"/>
      <c r="BH75" s="148"/>
      <c r="BI75" s="148"/>
      <c r="BJ75" s="148"/>
    </row>
    <row r="76" spans="1:62" x14ac:dyDescent="0.3">
      <c r="A76" s="140"/>
      <c r="B76" s="140"/>
      <c r="C76" s="140"/>
      <c r="D76" s="140"/>
      <c r="E76" s="141"/>
      <c r="F76" s="141"/>
      <c r="G76" s="167"/>
      <c r="H76" s="141"/>
      <c r="I76" s="141"/>
      <c r="J76" s="141"/>
      <c r="K76" s="141"/>
      <c r="L76" s="141"/>
      <c r="N76" s="143"/>
      <c r="Q76" s="167"/>
      <c r="R76" s="189"/>
      <c r="S76" s="190"/>
      <c r="T76" s="190"/>
      <c r="U76" s="189"/>
      <c r="V76" s="189"/>
      <c r="W76" s="167"/>
      <c r="X76" s="201"/>
      <c r="Y76" s="201"/>
      <c r="Z76" s="201"/>
      <c r="AA76" s="201"/>
      <c r="AB76" s="167"/>
      <c r="AC76" s="200"/>
      <c r="AD76" s="185"/>
      <c r="AE76" s="185"/>
      <c r="AF76" s="185"/>
      <c r="AG76" s="185"/>
      <c r="AH76" s="185"/>
      <c r="AI76" s="185"/>
      <c r="AJ76" s="186"/>
      <c r="AK76" s="167"/>
      <c r="AL76" s="148"/>
      <c r="AM76" s="148"/>
      <c r="AN76" s="148"/>
      <c r="AO76" s="148"/>
      <c r="AP76" s="148"/>
      <c r="AQ76" s="148"/>
      <c r="AR76" s="148"/>
      <c r="AS76" s="148"/>
      <c r="AT76" s="148"/>
      <c r="AU76" s="148"/>
      <c r="AV76" s="148"/>
      <c r="AW76" s="148"/>
      <c r="AX76" s="148"/>
      <c r="AY76" s="148"/>
      <c r="AZ76" s="148"/>
      <c r="BA76" s="148"/>
      <c r="BB76" s="148"/>
      <c r="BC76" s="148"/>
      <c r="BD76" s="148"/>
      <c r="BE76" s="148"/>
      <c r="BF76" s="148"/>
      <c r="BG76" s="148"/>
      <c r="BH76" s="148"/>
      <c r="BI76" s="148"/>
      <c r="BJ76" s="148"/>
    </row>
    <row r="77" spans="1:62" x14ac:dyDescent="0.3">
      <c r="A77" s="140"/>
      <c r="B77" s="140"/>
      <c r="C77" s="140"/>
      <c r="D77" s="140"/>
      <c r="E77" s="141"/>
      <c r="F77" s="141"/>
      <c r="G77" s="167"/>
      <c r="H77" s="141"/>
      <c r="I77" s="141"/>
      <c r="J77" s="141"/>
      <c r="K77" s="141"/>
      <c r="L77" s="141"/>
      <c r="N77" s="143"/>
      <c r="Q77" s="167"/>
      <c r="R77" s="189"/>
      <c r="S77" s="190"/>
      <c r="T77" s="190"/>
      <c r="U77" s="189"/>
      <c r="V77" s="189"/>
      <c r="W77" s="167"/>
      <c r="X77" s="201"/>
      <c r="Y77" s="201"/>
      <c r="Z77" s="201"/>
      <c r="AA77" s="201"/>
      <c r="AB77" s="167"/>
      <c r="AC77" s="200"/>
      <c r="AD77" s="185"/>
      <c r="AE77" s="185"/>
      <c r="AF77" s="185"/>
      <c r="AG77" s="185"/>
      <c r="AH77" s="185"/>
      <c r="AI77" s="185"/>
      <c r="AJ77" s="186"/>
      <c r="AK77" s="167"/>
      <c r="AL77" s="148"/>
      <c r="AM77" s="148"/>
      <c r="AN77" s="148"/>
      <c r="AO77" s="148"/>
      <c r="AP77" s="148"/>
      <c r="AQ77" s="148"/>
      <c r="AR77" s="148"/>
      <c r="AS77" s="148"/>
      <c r="AT77" s="148"/>
      <c r="AU77" s="148"/>
      <c r="AV77" s="148"/>
      <c r="AW77" s="148"/>
      <c r="AX77" s="148"/>
      <c r="AY77" s="148"/>
      <c r="AZ77" s="148"/>
      <c r="BA77" s="148"/>
      <c r="BB77" s="148"/>
      <c r="BC77" s="148"/>
      <c r="BD77" s="148"/>
      <c r="BE77" s="148"/>
      <c r="BF77" s="148"/>
      <c r="BG77" s="148"/>
      <c r="BH77" s="148"/>
      <c r="BI77" s="148"/>
      <c r="BJ77" s="148"/>
    </row>
    <row r="78" spans="1:62" x14ac:dyDescent="0.3">
      <c r="A78" s="140"/>
      <c r="B78" s="140"/>
      <c r="C78" s="140"/>
      <c r="D78" s="140"/>
      <c r="E78" s="141"/>
      <c r="F78" s="141"/>
      <c r="G78" s="167"/>
      <c r="H78" s="141"/>
      <c r="I78" s="141"/>
      <c r="J78" s="141"/>
      <c r="K78" s="141"/>
      <c r="L78" s="141"/>
      <c r="N78" s="143"/>
      <c r="Q78" s="167"/>
      <c r="R78" s="189"/>
      <c r="S78" s="190"/>
      <c r="T78" s="190"/>
      <c r="U78" s="189"/>
      <c r="V78" s="189"/>
      <c r="W78" s="167"/>
      <c r="X78" s="201"/>
      <c r="Y78" s="201"/>
      <c r="Z78" s="201"/>
      <c r="AA78" s="201"/>
      <c r="AB78" s="167"/>
      <c r="AC78" s="200"/>
      <c r="AD78" s="185"/>
      <c r="AE78" s="185"/>
      <c r="AF78" s="185"/>
      <c r="AG78" s="185"/>
      <c r="AH78" s="185"/>
      <c r="AI78" s="185"/>
      <c r="AJ78" s="186"/>
      <c r="AK78" s="167"/>
      <c r="AL78" s="148"/>
      <c r="AM78" s="148"/>
      <c r="AN78" s="148"/>
      <c r="AO78" s="148"/>
      <c r="AP78" s="148"/>
      <c r="AQ78" s="148"/>
      <c r="AR78" s="148"/>
      <c r="AS78" s="148"/>
      <c r="AT78" s="148"/>
      <c r="AU78" s="148"/>
      <c r="AV78" s="148"/>
      <c r="AW78" s="148"/>
      <c r="AX78" s="148"/>
      <c r="AY78" s="148"/>
      <c r="AZ78" s="148"/>
      <c r="BA78" s="148"/>
      <c r="BB78" s="148"/>
      <c r="BC78" s="148"/>
      <c r="BD78" s="148"/>
      <c r="BE78" s="148"/>
      <c r="BF78" s="148"/>
      <c r="BG78" s="148"/>
      <c r="BH78" s="148"/>
      <c r="BI78" s="148"/>
      <c r="BJ78" s="148"/>
    </row>
    <row r="79" spans="1:62" x14ac:dyDescent="0.3">
      <c r="A79" s="140"/>
      <c r="B79" s="140"/>
      <c r="C79" s="140"/>
      <c r="D79" s="140"/>
      <c r="E79" s="141"/>
      <c r="F79" s="141"/>
      <c r="G79" s="167"/>
      <c r="H79" s="141"/>
      <c r="I79" s="141"/>
      <c r="J79" s="141"/>
      <c r="K79" s="141"/>
      <c r="L79" s="141"/>
      <c r="N79" s="143"/>
      <c r="Q79" s="167"/>
      <c r="R79" s="189"/>
      <c r="S79" s="190"/>
      <c r="T79" s="190"/>
      <c r="U79" s="189"/>
      <c r="V79" s="189"/>
      <c r="W79" s="167"/>
      <c r="X79" s="201"/>
      <c r="Y79" s="201"/>
      <c r="Z79" s="201"/>
      <c r="AA79" s="201"/>
      <c r="AB79" s="167"/>
      <c r="AC79" s="200"/>
      <c r="AD79" s="185"/>
      <c r="AE79" s="185"/>
      <c r="AF79" s="185"/>
      <c r="AG79" s="185"/>
      <c r="AH79" s="185"/>
      <c r="AI79" s="185"/>
      <c r="AJ79" s="186"/>
      <c r="AK79" s="167"/>
      <c r="AL79" s="148"/>
      <c r="AM79" s="148"/>
      <c r="AN79" s="148"/>
      <c r="AO79" s="148"/>
      <c r="AP79" s="148"/>
      <c r="AQ79" s="148"/>
      <c r="AR79" s="148"/>
      <c r="AS79" s="148"/>
      <c r="AT79" s="148"/>
      <c r="AU79" s="148"/>
      <c r="AV79" s="148"/>
      <c r="AW79" s="148"/>
      <c r="AX79" s="148"/>
      <c r="AY79" s="148"/>
      <c r="AZ79" s="148"/>
      <c r="BA79" s="148"/>
      <c r="BB79" s="148"/>
      <c r="BC79" s="148"/>
      <c r="BD79" s="148"/>
      <c r="BE79" s="148"/>
      <c r="BF79" s="148"/>
      <c r="BG79" s="148"/>
      <c r="BH79" s="148"/>
      <c r="BI79" s="148"/>
      <c r="BJ79" s="148"/>
    </row>
    <row r="80" spans="1:62" x14ac:dyDescent="0.3">
      <c r="A80" s="140"/>
      <c r="B80" s="140"/>
      <c r="C80" s="140"/>
      <c r="D80" s="140"/>
      <c r="E80" s="141"/>
      <c r="F80" s="141"/>
      <c r="G80" s="167"/>
      <c r="H80" s="141"/>
      <c r="I80" s="141"/>
      <c r="J80" s="141"/>
      <c r="K80" s="141"/>
      <c r="L80" s="141"/>
      <c r="N80" s="143"/>
      <c r="Q80" s="167"/>
      <c r="R80" s="189"/>
      <c r="S80" s="190"/>
      <c r="T80" s="190"/>
      <c r="U80" s="189"/>
      <c r="V80" s="189"/>
      <c r="W80" s="167"/>
      <c r="X80" s="201"/>
      <c r="Y80" s="201"/>
      <c r="Z80" s="201"/>
      <c r="AA80" s="201"/>
      <c r="AB80" s="167"/>
      <c r="AC80" s="200"/>
      <c r="AD80" s="185"/>
      <c r="AE80" s="185"/>
      <c r="AF80" s="185"/>
      <c r="AG80" s="185"/>
      <c r="AH80" s="185"/>
      <c r="AI80" s="185"/>
      <c r="AJ80" s="186"/>
      <c r="AK80" s="167"/>
      <c r="AL80" s="148"/>
      <c r="AM80" s="148"/>
      <c r="AN80" s="148"/>
      <c r="AO80" s="148"/>
      <c r="AP80" s="148"/>
      <c r="AQ80" s="148"/>
      <c r="AR80" s="148"/>
      <c r="AS80" s="148"/>
      <c r="AT80" s="148"/>
      <c r="AU80" s="148"/>
      <c r="AV80" s="148"/>
      <c r="AW80" s="148"/>
      <c r="AX80" s="148"/>
      <c r="AY80" s="148"/>
      <c r="AZ80" s="148"/>
      <c r="BA80" s="148"/>
      <c r="BB80" s="148"/>
      <c r="BC80" s="148"/>
      <c r="BD80" s="148"/>
      <c r="BE80" s="148"/>
      <c r="BF80" s="148"/>
      <c r="BG80" s="148"/>
      <c r="BH80" s="148"/>
      <c r="BI80" s="148"/>
      <c r="BJ80" s="148"/>
    </row>
    <row r="81" spans="1:62" x14ac:dyDescent="0.3">
      <c r="A81" s="140"/>
      <c r="B81" s="140"/>
      <c r="C81" s="140"/>
      <c r="D81" s="140"/>
      <c r="E81" s="141"/>
      <c r="F81" s="141"/>
      <c r="G81" s="167"/>
      <c r="H81" s="141"/>
      <c r="I81" s="141"/>
      <c r="J81" s="141"/>
      <c r="K81" s="141"/>
      <c r="L81" s="141"/>
      <c r="N81" s="143"/>
      <c r="Q81" s="167"/>
      <c r="R81" s="189"/>
      <c r="S81" s="190"/>
      <c r="T81" s="190"/>
      <c r="U81" s="189"/>
      <c r="V81" s="189"/>
      <c r="W81" s="167"/>
      <c r="X81" s="201"/>
      <c r="Y81" s="201"/>
      <c r="Z81" s="201"/>
      <c r="AA81" s="201"/>
      <c r="AB81" s="167"/>
      <c r="AC81" s="200"/>
      <c r="AD81" s="185"/>
      <c r="AE81" s="185"/>
      <c r="AF81" s="185"/>
      <c r="AG81" s="185"/>
      <c r="AH81" s="185"/>
      <c r="AI81" s="185"/>
      <c r="AJ81" s="186"/>
      <c r="AK81" s="167"/>
      <c r="AL81" s="148"/>
      <c r="AM81" s="148"/>
      <c r="AN81" s="148"/>
      <c r="AO81" s="148"/>
      <c r="AP81" s="148"/>
      <c r="AQ81" s="148"/>
      <c r="AR81" s="148"/>
      <c r="AS81" s="148"/>
      <c r="AT81" s="148"/>
      <c r="AU81" s="148"/>
      <c r="AV81" s="148"/>
      <c r="AW81" s="148"/>
      <c r="AX81" s="148"/>
      <c r="AY81" s="148"/>
      <c r="AZ81" s="148"/>
      <c r="BA81" s="148"/>
      <c r="BB81" s="148"/>
      <c r="BC81" s="148"/>
      <c r="BD81" s="148"/>
      <c r="BE81" s="148"/>
      <c r="BF81" s="148"/>
      <c r="BG81" s="148"/>
      <c r="BH81" s="148"/>
      <c r="BI81" s="148"/>
      <c r="BJ81" s="148"/>
    </row>
    <row r="82" spans="1:62" x14ac:dyDescent="0.3">
      <c r="A82" s="140"/>
      <c r="B82" s="140"/>
      <c r="C82" s="140"/>
      <c r="D82" s="140"/>
      <c r="E82" s="141"/>
      <c r="F82" s="141"/>
      <c r="G82" s="167"/>
      <c r="H82" s="141"/>
      <c r="I82" s="141"/>
      <c r="J82" s="141"/>
      <c r="K82" s="141"/>
      <c r="L82" s="141"/>
      <c r="N82" s="143"/>
      <c r="Q82" s="167"/>
      <c r="R82" s="189"/>
      <c r="S82" s="190"/>
      <c r="T82" s="190"/>
      <c r="U82" s="189"/>
      <c r="V82" s="189"/>
      <c r="W82" s="167"/>
      <c r="X82" s="201"/>
      <c r="Y82" s="201"/>
      <c r="Z82" s="201"/>
      <c r="AA82" s="201"/>
      <c r="AB82" s="167"/>
      <c r="AC82" s="200"/>
      <c r="AD82" s="185"/>
      <c r="AE82" s="185"/>
      <c r="AF82" s="185"/>
      <c r="AG82" s="185"/>
      <c r="AH82" s="185"/>
      <c r="AI82" s="185"/>
      <c r="AJ82" s="186"/>
      <c r="AK82" s="167"/>
      <c r="AL82" s="148"/>
      <c r="AM82" s="148"/>
      <c r="AN82" s="148"/>
      <c r="AO82" s="148"/>
      <c r="AP82" s="148"/>
      <c r="AQ82" s="148"/>
      <c r="AR82" s="148"/>
      <c r="AS82" s="148"/>
      <c r="AT82" s="148"/>
      <c r="AU82" s="148"/>
      <c r="AV82" s="148"/>
      <c r="AW82" s="148"/>
      <c r="AX82" s="148"/>
      <c r="AY82" s="148"/>
      <c r="AZ82" s="148"/>
      <c r="BA82" s="148"/>
      <c r="BB82" s="148"/>
      <c r="BC82" s="148"/>
      <c r="BD82" s="148"/>
      <c r="BE82" s="148"/>
      <c r="BF82" s="148"/>
      <c r="BG82" s="148"/>
      <c r="BH82" s="148"/>
      <c r="BI82" s="148"/>
      <c r="BJ82" s="148"/>
    </row>
    <row r="83" spans="1:62" x14ac:dyDescent="0.3">
      <c r="A83" s="140"/>
      <c r="B83" s="140"/>
      <c r="C83" s="140"/>
      <c r="D83" s="140"/>
      <c r="E83" s="141"/>
      <c r="F83" s="141"/>
      <c r="G83" s="167"/>
      <c r="H83" s="141"/>
      <c r="I83" s="141"/>
      <c r="J83" s="141"/>
      <c r="K83" s="141"/>
      <c r="L83" s="141"/>
      <c r="N83" s="143"/>
      <c r="Q83" s="167"/>
      <c r="R83" s="189"/>
      <c r="S83" s="190"/>
      <c r="T83" s="190"/>
      <c r="U83" s="189"/>
      <c r="V83" s="189"/>
      <c r="W83" s="167"/>
      <c r="X83" s="201"/>
      <c r="Y83" s="201"/>
      <c r="Z83" s="201"/>
      <c r="AA83" s="201"/>
      <c r="AB83" s="167"/>
      <c r="AC83" s="200"/>
      <c r="AD83" s="185"/>
      <c r="AE83" s="185"/>
      <c r="AF83" s="185"/>
      <c r="AG83" s="185"/>
      <c r="AH83" s="185"/>
      <c r="AI83" s="185"/>
      <c r="AJ83" s="186"/>
      <c r="AK83" s="167"/>
      <c r="AL83" s="148"/>
      <c r="AM83" s="148"/>
      <c r="AN83" s="148"/>
      <c r="AO83" s="148"/>
      <c r="AP83" s="148"/>
      <c r="AQ83" s="148"/>
      <c r="AR83" s="148"/>
      <c r="AS83" s="148"/>
      <c r="AT83" s="148"/>
      <c r="AU83" s="148"/>
      <c r="AV83" s="148"/>
      <c r="AW83" s="148"/>
      <c r="AX83" s="148"/>
      <c r="AY83" s="148"/>
      <c r="AZ83" s="148"/>
      <c r="BA83" s="148"/>
      <c r="BB83" s="148"/>
      <c r="BC83" s="148"/>
      <c r="BD83" s="148"/>
      <c r="BE83" s="148"/>
      <c r="BF83" s="148"/>
      <c r="BG83" s="148"/>
      <c r="BH83" s="148"/>
      <c r="BI83" s="148"/>
      <c r="BJ83" s="148"/>
    </row>
    <row r="84" spans="1:62" x14ac:dyDescent="0.3">
      <c r="A84" s="140"/>
      <c r="B84" s="140"/>
      <c r="C84" s="140"/>
      <c r="D84" s="140"/>
      <c r="E84" s="141"/>
      <c r="F84" s="141"/>
      <c r="G84" s="167"/>
      <c r="H84" s="141"/>
      <c r="I84" s="141"/>
      <c r="J84" s="141"/>
      <c r="K84" s="141"/>
      <c r="L84" s="141"/>
      <c r="N84" s="143"/>
      <c r="Q84" s="167"/>
      <c r="R84" s="189"/>
      <c r="S84" s="190"/>
      <c r="T84" s="190"/>
      <c r="U84" s="189"/>
      <c r="V84" s="189"/>
      <c r="W84" s="167"/>
      <c r="X84" s="201"/>
      <c r="Y84" s="201"/>
      <c r="Z84" s="201"/>
      <c r="AA84" s="201"/>
      <c r="AB84" s="167"/>
      <c r="AC84" s="200"/>
      <c r="AD84" s="185"/>
      <c r="AE84" s="185"/>
      <c r="AF84" s="185"/>
      <c r="AG84" s="185"/>
      <c r="AH84" s="185"/>
      <c r="AI84" s="185"/>
      <c r="AJ84" s="186"/>
      <c r="AK84" s="167"/>
      <c r="AL84" s="148"/>
      <c r="AM84" s="148"/>
      <c r="AN84" s="148"/>
      <c r="AO84" s="148"/>
      <c r="AP84" s="148"/>
      <c r="AQ84" s="148"/>
      <c r="AR84" s="148"/>
      <c r="AS84" s="148"/>
      <c r="AT84" s="148"/>
      <c r="AU84" s="148"/>
      <c r="AV84" s="148"/>
      <c r="AW84" s="148"/>
      <c r="AX84" s="148"/>
      <c r="AY84" s="148"/>
      <c r="AZ84" s="148"/>
      <c r="BA84" s="148"/>
      <c r="BB84" s="148"/>
      <c r="BC84" s="148"/>
      <c r="BD84" s="148"/>
      <c r="BE84" s="148"/>
      <c r="BF84" s="148"/>
      <c r="BG84" s="148"/>
      <c r="BH84" s="148"/>
      <c r="BI84" s="148"/>
      <c r="BJ84" s="148"/>
    </row>
    <row r="85" spans="1:62" x14ac:dyDescent="0.3">
      <c r="A85" s="140"/>
      <c r="B85" s="140"/>
      <c r="C85" s="140"/>
      <c r="D85" s="140"/>
      <c r="E85" s="141"/>
      <c r="F85" s="141"/>
      <c r="G85" s="167"/>
      <c r="H85" s="141"/>
      <c r="I85" s="141"/>
      <c r="J85" s="141"/>
      <c r="K85" s="141"/>
      <c r="L85" s="141"/>
      <c r="N85" s="143"/>
      <c r="Q85" s="167"/>
      <c r="R85" s="189"/>
      <c r="S85" s="190"/>
      <c r="T85" s="190"/>
      <c r="U85" s="189"/>
      <c r="V85" s="189"/>
      <c r="W85" s="167"/>
      <c r="X85" s="201"/>
      <c r="Y85" s="201"/>
      <c r="Z85" s="201"/>
      <c r="AA85" s="201"/>
      <c r="AB85" s="167"/>
      <c r="AC85" s="200"/>
      <c r="AD85" s="185"/>
      <c r="AE85" s="185"/>
      <c r="AF85" s="185"/>
      <c r="AG85" s="185"/>
      <c r="AH85" s="185"/>
      <c r="AI85" s="185"/>
      <c r="AJ85" s="186"/>
      <c r="AK85" s="167"/>
      <c r="AL85" s="148"/>
      <c r="AM85" s="148"/>
      <c r="AN85" s="148"/>
      <c r="AO85" s="148"/>
      <c r="AP85" s="148"/>
      <c r="AQ85" s="148"/>
      <c r="AR85" s="148"/>
      <c r="AS85" s="148"/>
      <c r="AT85" s="148"/>
      <c r="AU85" s="148"/>
      <c r="AV85" s="148"/>
      <c r="AW85" s="148"/>
      <c r="AX85" s="148"/>
      <c r="AY85" s="148"/>
      <c r="AZ85" s="148"/>
      <c r="BA85" s="148"/>
      <c r="BB85" s="148"/>
      <c r="BC85" s="148"/>
      <c r="BD85" s="148"/>
      <c r="BE85" s="148"/>
      <c r="BF85" s="148"/>
      <c r="BG85" s="148"/>
      <c r="BH85" s="148"/>
      <c r="BI85" s="148"/>
      <c r="BJ85" s="148"/>
    </row>
    <row r="86" spans="1:62" x14ac:dyDescent="0.3">
      <c r="A86" s="140"/>
      <c r="B86" s="140"/>
      <c r="C86" s="140"/>
      <c r="D86" s="140"/>
      <c r="E86" s="141"/>
      <c r="F86" s="141"/>
      <c r="G86" s="167"/>
      <c r="H86" s="141"/>
      <c r="I86" s="141"/>
      <c r="J86" s="141"/>
      <c r="K86" s="141"/>
      <c r="L86" s="141"/>
      <c r="N86" s="143"/>
      <c r="Q86" s="167"/>
      <c r="R86" s="189"/>
      <c r="S86" s="190"/>
      <c r="T86" s="190"/>
      <c r="U86" s="189"/>
      <c r="V86" s="189"/>
      <c r="W86" s="167"/>
      <c r="X86" s="201"/>
      <c r="Y86" s="201"/>
      <c r="Z86" s="201"/>
      <c r="AA86" s="201"/>
      <c r="AB86" s="167"/>
      <c r="AC86" s="200"/>
      <c r="AD86" s="185"/>
      <c r="AE86" s="185"/>
      <c r="AF86" s="185"/>
      <c r="AG86" s="185"/>
      <c r="AH86" s="185"/>
      <c r="AI86" s="185"/>
      <c r="AJ86" s="186"/>
      <c r="AK86" s="167"/>
      <c r="AL86" s="148"/>
      <c r="AM86" s="148"/>
      <c r="AN86" s="148"/>
      <c r="AO86" s="148"/>
      <c r="AP86" s="148"/>
      <c r="AQ86" s="148"/>
      <c r="AR86" s="148"/>
      <c r="AS86" s="148"/>
      <c r="AT86" s="148"/>
      <c r="AU86" s="148"/>
      <c r="AV86" s="148"/>
      <c r="AW86" s="148"/>
      <c r="AX86" s="148"/>
      <c r="AY86" s="148"/>
      <c r="AZ86" s="148"/>
      <c r="BA86" s="148"/>
      <c r="BB86" s="148"/>
      <c r="BC86" s="148"/>
      <c r="BD86" s="148"/>
      <c r="BE86" s="148"/>
      <c r="BF86" s="148"/>
      <c r="BG86" s="148"/>
      <c r="BH86" s="148"/>
      <c r="BI86" s="148"/>
      <c r="BJ86" s="148"/>
    </row>
    <row r="87" spans="1:62" x14ac:dyDescent="0.3">
      <c r="A87" s="140"/>
      <c r="B87" s="140"/>
      <c r="C87" s="140"/>
      <c r="D87" s="140"/>
      <c r="E87" s="141"/>
      <c r="F87" s="141"/>
      <c r="G87" s="167"/>
      <c r="H87" s="141"/>
      <c r="I87" s="141"/>
      <c r="J87" s="141"/>
      <c r="K87" s="141"/>
      <c r="L87" s="141"/>
      <c r="N87" s="143"/>
      <c r="Q87" s="167"/>
      <c r="R87" s="189"/>
      <c r="S87" s="190"/>
      <c r="T87" s="190"/>
      <c r="U87" s="189"/>
      <c r="V87" s="189"/>
      <c r="W87" s="167"/>
      <c r="X87" s="201"/>
      <c r="Y87" s="201"/>
      <c r="Z87" s="201"/>
      <c r="AA87" s="201"/>
      <c r="AB87" s="167"/>
      <c r="AC87" s="200"/>
      <c r="AD87" s="185"/>
      <c r="AE87" s="185"/>
      <c r="AF87" s="185"/>
      <c r="AG87" s="185"/>
      <c r="AH87" s="185"/>
      <c r="AI87" s="185"/>
      <c r="AJ87" s="186"/>
      <c r="AK87" s="167"/>
      <c r="AL87" s="148"/>
      <c r="AM87" s="148"/>
      <c r="AN87" s="148"/>
      <c r="AO87" s="148"/>
      <c r="AP87" s="148"/>
      <c r="AQ87" s="148"/>
      <c r="AR87" s="148"/>
      <c r="AS87" s="148"/>
      <c r="AT87" s="148"/>
      <c r="AU87" s="148"/>
      <c r="AV87" s="148"/>
      <c r="AW87" s="148"/>
      <c r="AX87" s="148"/>
      <c r="AY87" s="148"/>
      <c r="AZ87" s="148"/>
      <c r="BA87" s="148"/>
      <c r="BB87" s="148"/>
      <c r="BC87" s="148"/>
      <c r="BD87" s="148"/>
      <c r="BE87" s="148"/>
      <c r="BF87" s="148"/>
      <c r="BG87" s="148"/>
      <c r="BH87" s="148"/>
      <c r="BI87" s="148"/>
      <c r="BJ87" s="148"/>
    </row>
    <row r="88" spans="1:62" x14ac:dyDescent="0.3">
      <c r="A88" s="140"/>
      <c r="B88" s="140"/>
      <c r="C88" s="140"/>
      <c r="D88" s="140"/>
      <c r="E88" s="141"/>
      <c r="F88" s="141"/>
      <c r="G88" s="167"/>
      <c r="H88" s="141"/>
      <c r="I88" s="141"/>
      <c r="J88" s="141"/>
      <c r="K88" s="141"/>
      <c r="L88" s="141"/>
      <c r="N88" s="143"/>
      <c r="Q88" s="167"/>
      <c r="R88" s="189"/>
      <c r="S88" s="190"/>
      <c r="T88" s="190"/>
      <c r="U88" s="189"/>
      <c r="V88" s="189"/>
      <c r="W88" s="167"/>
      <c r="X88" s="201"/>
      <c r="Y88" s="201"/>
      <c r="Z88" s="201"/>
      <c r="AA88" s="201"/>
      <c r="AB88" s="167"/>
      <c r="AC88" s="200"/>
      <c r="AD88" s="185"/>
      <c r="AE88" s="185"/>
      <c r="AF88" s="185"/>
      <c r="AG88" s="185"/>
      <c r="AH88" s="185"/>
      <c r="AI88" s="185"/>
      <c r="AJ88" s="186"/>
      <c r="AK88" s="167"/>
      <c r="AL88" s="148"/>
      <c r="AM88" s="148"/>
      <c r="AN88" s="148"/>
      <c r="AO88" s="148"/>
      <c r="AP88" s="148"/>
      <c r="AQ88" s="148"/>
      <c r="AR88" s="148"/>
      <c r="AS88" s="148"/>
      <c r="AT88" s="148"/>
      <c r="AU88" s="148"/>
      <c r="AV88" s="148"/>
      <c r="AW88" s="148"/>
      <c r="AX88" s="148"/>
      <c r="AY88" s="148"/>
      <c r="AZ88" s="148"/>
      <c r="BA88" s="148"/>
      <c r="BB88" s="148"/>
      <c r="BC88" s="148"/>
      <c r="BD88" s="148"/>
      <c r="BE88" s="148"/>
      <c r="BF88" s="148"/>
      <c r="BG88" s="148"/>
      <c r="BH88" s="148"/>
      <c r="BI88" s="148"/>
      <c r="BJ88" s="148"/>
    </row>
    <row r="89" spans="1:62" x14ac:dyDescent="0.3">
      <c r="A89" s="140"/>
      <c r="B89" s="140"/>
      <c r="C89" s="140"/>
      <c r="D89" s="140"/>
      <c r="E89" s="141"/>
      <c r="F89" s="141"/>
      <c r="G89" s="167"/>
      <c r="H89" s="141"/>
      <c r="I89" s="141"/>
      <c r="J89" s="141"/>
      <c r="K89" s="141"/>
      <c r="L89" s="141"/>
      <c r="N89" s="143"/>
      <c r="Q89" s="167"/>
      <c r="R89" s="189"/>
      <c r="S89" s="190"/>
      <c r="T89" s="190"/>
      <c r="U89" s="189"/>
      <c r="V89" s="189"/>
      <c r="W89" s="167"/>
      <c r="X89" s="201"/>
      <c r="Y89" s="201"/>
      <c r="Z89" s="201"/>
      <c r="AA89" s="201"/>
      <c r="AB89" s="167"/>
      <c r="AC89" s="200"/>
      <c r="AD89" s="185"/>
      <c r="AE89" s="185"/>
      <c r="AF89" s="185"/>
      <c r="AG89" s="185"/>
      <c r="AH89" s="185"/>
      <c r="AI89" s="185"/>
      <c r="AJ89" s="186"/>
      <c r="AK89" s="167"/>
      <c r="AL89" s="148"/>
      <c r="AM89" s="148"/>
      <c r="AN89" s="148"/>
      <c r="AO89" s="148"/>
      <c r="AP89" s="148"/>
      <c r="AQ89" s="148"/>
      <c r="AR89" s="148"/>
      <c r="AS89" s="148"/>
      <c r="AT89" s="148"/>
      <c r="AU89" s="148"/>
      <c r="AV89" s="148"/>
      <c r="AW89" s="148"/>
      <c r="AX89" s="148"/>
      <c r="AY89" s="148"/>
      <c r="AZ89" s="148"/>
      <c r="BA89" s="148"/>
      <c r="BB89" s="148"/>
      <c r="BC89" s="148"/>
      <c r="BD89" s="148"/>
      <c r="BE89" s="148"/>
      <c r="BF89" s="148"/>
      <c r="BG89" s="148"/>
      <c r="BH89" s="148"/>
      <c r="BI89" s="148"/>
      <c r="BJ89" s="148"/>
    </row>
    <row r="90" spans="1:62" x14ac:dyDescent="0.3">
      <c r="A90" s="140"/>
      <c r="B90" s="140"/>
      <c r="C90" s="140"/>
      <c r="D90" s="140"/>
      <c r="E90" s="141"/>
      <c r="F90" s="141"/>
      <c r="G90" s="167"/>
      <c r="H90" s="141"/>
      <c r="I90" s="141"/>
      <c r="J90" s="141"/>
      <c r="K90" s="141"/>
      <c r="L90" s="141"/>
      <c r="N90" s="143"/>
      <c r="Q90" s="167"/>
      <c r="R90" s="189"/>
      <c r="S90" s="190"/>
      <c r="T90" s="190"/>
      <c r="U90" s="189"/>
      <c r="V90" s="189"/>
      <c r="W90" s="167"/>
      <c r="X90" s="201"/>
      <c r="Y90" s="201"/>
      <c r="Z90" s="201"/>
      <c r="AA90" s="201"/>
      <c r="AB90" s="167"/>
      <c r="AC90" s="200"/>
      <c r="AD90" s="185"/>
      <c r="AE90" s="185"/>
      <c r="AF90" s="185"/>
      <c r="AG90" s="185"/>
      <c r="AH90" s="185"/>
      <c r="AI90" s="185"/>
      <c r="AJ90" s="186"/>
      <c r="AK90" s="167"/>
      <c r="AL90" s="148"/>
      <c r="AM90" s="148"/>
      <c r="AN90" s="148"/>
      <c r="AO90" s="148"/>
      <c r="AP90" s="148"/>
      <c r="AQ90" s="148"/>
      <c r="AR90" s="148"/>
      <c r="AS90" s="148"/>
      <c r="AT90" s="148"/>
      <c r="AU90" s="148"/>
      <c r="AV90" s="148"/>
      <c r="AW90" s="148"/>
      <c r="AX90" s="148"/>
      <c r="AY90" s="148"/>
      <c r="AZ90" s="148"/>
      <c r="BA90" s="148"/>
      <c r="BB90" s="148"/>
      <c r="BC90" s="148"/>
      <c r="BD90" s="148"/>
      <c r="BE90" s="148"/>
      <c r="BF90" s="148"/>
      <c r="BG90" s="148"/>
      <c r="BH90" s="148"/>
      <c r="BI90" s="148"/>
      <c r="BJ90" s="148"/>
    </row>
    <row r="91" spans="1:62" x14ac:dyDescent="0.3">
      <c r="A91" s="140"/>
      <c r="B91" s="140"/>
      <c r="C91" s="140"/>
      <c r="D91" s="140"/>
      <c r="E91" s="141"/>
      <c r="F91" s="141"/>
      <c r="G91" s="167"/>
      <c r="H91" s="141"/>
      <c r="I91" s="141"/>
      <c r="J91" s="141"/>
      <c r="K91" s="141"/>
      <c r="L91" s="141"/>
      <c r="N91" s="143"/>
      <c r="Q91" s="167"/>
      <c r="R91" s="189"/>
      <c r="S91" s="190"/>
      <c r="T91" s="190"/>
      <c r="U91" s="189"/>
      <c r="V91" s="189"/>
      <c r="W91" s="167"/>
      <c r="X91" s="201"/>
      <c r="Y91" s="201"/>
      <c r="Z91" s="201"/>
      <c r="AA91" s="201"/>
      <c r="AB91" s="167"/>
      <c r="AC91" s="200"/>
      <c r="AD91" s="185"/>
      <c r="AE91" s="185"/>
      <c r="AF91" s="185"/>
      <c r="AG91" s="185"/>
      <c r="AH91" s="185"/>
      <c r="AI91" s="185"/>
      <c r="AJ91" s="186"/>
      <c r="AK91" s="167"/>
      <c r="AL91" s="148"/>
      <c r="AM91" s="148"/>
      <c r="AN91" s="148"/>
      <c r="AO91" s="148"/>
      <c r="AP91" s="148"/>
      <c r="AQ91" s="148"/>
      <c r="AR91" s="148"/>
      <c r="AS91" s="148"/>
      <c r="AT91" s="148"/>
      <c r="AU91" s="148"/>
      <c r="AV91" s="148"/>
      <c r="AW91" s="148"/>
      <c r="AX91" s="148"/>
      <c r="AY91" s="148"/>
      <c r="AZ91" s="148"/>
      <c r="BA91" s="148"/>
      <c r="BB91" s="148"/>
      <c r="BC91" s="148"/>
      <c r="BD91" s="148"/>
      <c r="BE91" s="148"/>
      <c r="BF91" s="148"/>
      <c r="BG91" s="148"/>
      <c r="BH91" s="148"/>
      <c r="BI91" s="148"/>
      <c r="BJ91" s="148"/>
    </row>
    <row r="92" spans="1:62" x14ac:dyDescent="0.3">
      <c r="A92" s="140"/>
      <c r="B92" s="140"/>
      <c r="C92" s="140"/>
      <c r="D92" s="140"/>
      <c r="E92" s="141"/>
      <c r="F92" s="141"/>
      <c r="G92" s="167"/>
      <c r="H92" s="141"/>
      <c r="I92" s="141"/>
      <c r="J92" s="141"/>
      <c r="K92" s="141"/>
      <c r="L92" s="141"/>
      <c r="N92" s="143"/>
      <c r="Q92" s="167"/>
      <c r="R92" s="189"/>
      <c r="S92" s="190"/>
      <c r="T92" s="190"/>
      <c r="U92" s="189"/>
      <c r="V92" s="189"/>
      <c r="W92" s="167"/>
      <c r="X92" s="201"/>
      <c r="Y92" s="201"/>
      <c r="Z92" s="201"/>
      <c r="AA92" s="201"/>
      <c r="AB92" s="167"/>
      <c r="AC92" s="200"/>
      <c r="AD92" s="185"/>
      <c r="AE92" s="185"/>
      <c r="AF92" s="185"/>
      <c r="AG92" s="185"/>
      <c r="AH92" s="185"/>
      <c r="AI92" s="185"/>
      <c r="AJ92" s="186"/>
      <c r="AK92" s="167"/>
      <c r="AL92" s="148"/>
      <c r="AM92" s="148"/>
      <c r="AN92" s="148"/>
      <c r="AO92" s="148"/>
      <c r="AP92" s="148"/>
      <c r="AQ92" s="148"/>
      <c r="AR92" s="148"/>
      <c r="AS92" s="148"/>
      <c r="AT92" s="148"/>
      <c r="AU92" s="148"/>
      <c r="AV92" s="148"/>
      <c r="AW92" s="148"/>
      <c r="AX92" s="148"/>
      <c r="AY92" s="148"/>
      <c r="AZ92" s="148"/>
      <c r="BA92" s="148"/>
      <c r="BB92" s="148"/>
      <c r="BC92" s="148"/>
      <c r="BD92" s="148"/>
      <c r="BE92" s="148"/>
      <c r="BF92" s="148"/>
      <c r="BG92" s="148"/>
      <c r="BH92" s="148"/>
      <c r="BI92" s="148"/>
      <c r="BJ92" s="148"/>
    </row>
    <row r="93" spans="1:62" x14ac:dyDescent="0.3">
      <c r="A93" s="140"/>
      <c r="B93" s="140"/>
      <c r="C93" s="140"/>
      <c r="D93" s="140"/>
      <c r="E93" s="141"/>
      <c r="F93" s="141"/>
      <c r="G93" s="167"/>
      <c r="H93" s="141"/>
      <c r="I93" s="141"/>
      <c r="J93" s="141"/>
      <c r="K93" s="141"/>
      <c r="L93" s="141"/>
      <c r="N93" s="143"/>
      <c r="Q93" s="167"/>
      <c r="R93" s="189"/>
      <c r="S93" s="190"/>
      <c r="T93" s="190"/>
      <c r="U93" s="189"/>
      <c r="V93" s="189"/>
      <c r="W93" s="167"/>
      <c r="X93" s="201"/>
      <c r="Y93" s="201"/>
      <c r="Z93" s="201"/>
      <c r="AA93" s="201"/>
      <c r="AB93" s="167"/>
      <c r="AC93" s="200"/>
      <c r="AD93" s="185"/>
      <c r="AE93" s="185"/>
      <c r="AF93" s="185"/>
      <c r="AG93" s="185"/>
      <c r="AH93" s="185"/>
      <c r="AI93" s="185"/>
      <c r="AJ93" s="186"/>
      <c r="AK93" s="167"/>
      <c r="AL93" s="148"/>
      <c r="AM93" s="148"/>
      <c r="AN93" s="148"/>
      <c r="AO93" s="148"/>
      <c r="AP93" s="148"/>
      <c r="AQ93" s="148"/>
      <c r="AR93" s="148"/>
      <c r="AS93" s="148"/>
      <c r="AT93" s="148"/>
      <c r="AU93" s="148"/>
      <c r="AV93" s="148"/>
      <c r="AW93" s="148"/>
      <c r="AX93" s="148"/>
      <c r="AY93" s="148"/>
      <c r="AZ93" s="148"/>
      <c r="BA93" s="148"/>
      <c r="BB93" s="148"/>
      <c r="BC93" s="148"/>
      <c r="BD93" s="148"/>
      <c r="BE93" s="148"/>
      <c r="BF93" s="148"/>
      <c r="BG93" s="148"/>
      <c r="BH93" s="148"/>
      <c r="BI93" s="148"/>
      <c r="BJ93" s="148"/>
    </row>
    <row r="94" spans="1:62" x14ac:dyDescent="0.3">
      <c r="A94" s="140"/>
      <c r="B94" s="140"/>
      <c r="C94" s="140"/>
      <c r="D94" s="140"/>
      <c r="E94" s="141"/>
      <c r="F94" s="141"/>
      <c r="G94" s="167"/>
      <c r="H94" s="141"/>
      <c r="I94" s="141"/>
      <c r="J94" s="141"/>
      <c r="K94" s="141"/>
      <c r="L94" s="141"/>
      <c r="N94" s="143"/>
      <c r="Q94" s="167"/>
      <c r="R94" s="189"/>
      <c r="S94" s="190"/>
      <c r="T94" s="190"/>
      <c r="U94" s="189"/>
      <c r="V94" s="189"/>
      <c r="W94" s="167"/>
      <c r="X94" s="201"/>
      <c r="Y94" s="201"/>
      <c r="Z94" s="201"/>
      <c r="AA94" s="201"/>
      <c r="AB94" s="167"/>
      <c r="AC94" s="200"/>
      <c r="AD94" s="185"/>
      <c r="AE94" s="185"/>
      <c r="AF94" s="185"/>
      <c r="AG94" s="185"/>
      <c r="AH94" s="185"/>
      <c r="AI94" s="185"/>
      <c r="AJ94" s="186"/>
      <c r="AK94" s="167"/>
      <c r="AL94" s="148"/>
      <c r="AM94" s="148"/>
      <c r="AN94" s="148"/>
      <c r="AO94" s="148"/>
      <c r="AP94" s="148"/>
      <c r="AQ94" s="148"/>
      <c r="AR94" s="148"/>
      <c r="AS94" s="148"/>
      <c r="AT94" s="148"/>
      <c r="AU94" s="148"/>
      <c r="AV94" s="148"/>
      <c r="AW94" s="148"/>
      <c r="AX94" s="148"/>
      <c r="AY94" s="148"/>
      <c r="AZ94" s="148"/>
      <c r="BA94" s="148"/>
      <c r="BB94" s="148"/>
      <c r="BC94" s="148"/>
      <c r="BD94" s="148"/>
      <c r="BE94" s="148"/>
      <c r="BF94" s="148"/>
      <c r="BG94" s="148"/>
      <c r="BH94" s="148"/>
      <c r="BI94" s="148"/>
      <c r="BJ94" s="148"/>
    </row>
    <row r="95" spans="1:62" x14ac:dyDescent="0.3">
      <c r="A95" s="140"/>
      <c r="B95" s="140"/>
      <c r="C95" s="140"/>
      <c r="D95" s="140"/>
      <c r="E95" s="141"/>
      <c r="F95" s="141"/>
      <c r="G95" s="167"/>
      <c r="H95" s="141"/>
      <c r="I95" s="141"/>
      <c r="J95" s="141"/>
      <c r="K95" s="141"/>
      <c r="L95" s="141"/>
      <c r="N95" s="143"/>
      <c r="Q95" s="167"/>
      <c r="R95" s="189"/>
      <c r="S95" s="190"/>
      <c r="T95" s="190"/>
      <c r="U95" s="189"/>
      <c r="V95" s="189"/>
      <c r="W95" s="167"/>
      <c r="X95" s="201"/>
      <c r="Y95" s="201"/>
      <c r="Z95" s="201"/>
      <c r="AA95" s="201"/>
      <c r="AB95" s="167"/>
      <c r="AC95" s="200"/>
      <c r="AD95" s="185"/>
      <c r="AE95" s="185"/>
      <c r="AF95" s="185"/>
      <c r="AG95" s="185"/>
      <c r="AH95" s="185"/>
      <c r="AI95" s="185"/>
      <c r="AJ95" s="186"/>
      <c r="AK95" s="167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</row>
    <row r="96" spans="1:62" x14ac:dyDescent="0.3">
      <c r="A96" s="140"/>
      <c r="B96" s="140"/>
      <c r="C96" s="140"/>
      <c r="D96" s="140"/>
      <c r="E96" s="141"/>
      <c r="F96" s="141"/>
      <c r="G96" s="167"/>
      <c r="H96" s="141"/>
      <c r="I96" s="141"/>
      <c r="J96" s="141"/>
      <c r="K96" s="141"/>
      <c r="L96" s="141"/>
      <c r="N96" s="143"/>
      <c r="Q96" s="167"/>
      <c r="R96" s="189"/>
      <c r="S96" s="190"/>
      <c r="T96" s="190"/>
      <c r="U96" s="189"/>
      <c r="V96" s="189"/>
      <c r="W96" s="167"/>
      <c r="X96" s="201"/>
      <c r="Y96" s="201"/>
      <c r="Z96" s="201"/>
      <c r="AA96" s="201"/>
      <c r="AB96" s="167"/>
      <c r="AC96" s="200"/>
      <c r="AD96" s="185"/>
      <c r="AE96" s="185"/>
      <c r="AF96" s="185"/>
      <c r="AG96" s="185"/>
      <c r="AH96" s="185"/>
      <c r="AI96" s="185"/>
      <c r="AJ96" s="186"/>
      <c r="AK96" s="167"/>
      <c r="AL96" s="148"/>
      <c r="AM96" s="148"/>
      <c r="AN96" s="148"/>
      <c r="AO96" s="148"/>
      <c r="AP96" s="148"/>
      <c r="AQ96" s="148"/>
      <c r="AR96" s="148"/>
      <c r="AS96" s="148"/>
      <c r="AT96" s="148"/>
      <c r="AU96" s="148"/>
      <c r="AV96" s="148"/>
      <c r="AW96" s="148"/>
      <c r="AX96" s="148"/>
      <c r="AY96" s="148"/>
      <c r="AZ96" s="148"/>
      <c r="BA96" s="148"/>
      <c r="BB96" s="148"/>
      <c r="BC96" s="148"/>
      <c r="BD96" s="148"/>
      <c r="BE96" s="148"/>
      <c r="BF96" s="148"/>
      <c r="BG96" s="148"/>
      <c r="BH96" s="148"/>
      <c r="BI96" s="148"/>
      <c r="BJ96" s="148"/>
    </row>
    <row r="97" spans="1:62" x14ac:dyDescent="0.3">
      <c r="A97" s="140"/>
      <c r="B97" s="140"/>
      <c r="C97" s="140"/>
      <c r="D97" s="140"/>
      <c r="E97" s="141"/>
      <c r="F97" s="141"/>
      <c r="G97" s="167"/>
      <c r="H97" s="141"/>
      <c r="I97" s="141"/>
      <c r="J97" s="141"/>
      <c r="K97" s="141"/>
      <c r="L97" s="141"/>
      <c r="N97" s="143"/>
      <c r="Q97" s="167"/>
      <c r="R97" s="189"/>
      <c r="S97" s="190"/>
      <c r="T97" s="190"/>
      <c r="U97" s="189"/>
      <c r="V97" s="189"/>
      <c r="W97" s="167"/>
      <c r="X97" s="201"/>
      <c r="Y97" s="201"/>
      <c r="Z97" s="201"/>
      <c r="AA97" s="201"/>
      <c r="AB97" s="167"/>
      <c r="AC97" s="200"/>
      <c r="AD97" s="185"/>
      <c r="AE97" s="185"/>
      <c r="AF97" s="185"/>
      <c r="AG97" s="185"/>
      <c r="AH97" s="185"/>
      <c r="AI97" s="185"/>
      <c r="AJ97" s="186"/>
      <c r="AK97" s="167"/>
      <c r="AL97" s="148"/>
      <c r="AM97" s="148"/>
      <c r="AN97" s="148"/>
      <c r="AO97" s="148"/>
      <c r="AP97" s="148"/>
      <c r="AQ97" s="148"/>
      <c r="AR97" s="148"/>
      <c r="AS97" s="148"/>
      <c r="AT97" s="148"/>
      <c r="AU97" s="148"/>
      <c r="AV97" s="148"/>
      <c r="AW97" s="148"/>
      <c r="AX97" s="148"/>
      <c r="AY97" s="148"/>
      <c r="AZ97" s="148"/>
      <c r="BA97" s="148"/>
      <c r="BB97" s="148"/>
      <c r="BC97" s="148"/>
      <c r="BD97" s="148"/>
      <c r="BE97" s="148"/>
      <c r="BF97" s="148"/>
      <c r="BG97" s="148"/>
      <c r="BH97" s="148"/>
      <c r="BI97" s="148"/>
      <c r="BJ97" s="148"/>
    </row>
    <row r="98" spans="1:62" x14ac:dyDescent="0.3">
      <c r="A98" s="140"/>
      <c r="B98" s="140"/>
      <c r="C98" s="140"/>
      <c r="D98" s="140"/>
      <c r="E98" s="141"/>
      <c r="F98" s="141"/>
      <c r="G98" s="167"/>
      <c r="H98" s="141"/>
      <c r="I98" s="141"/>
      <c r="J98" s="141"/>
      <c r="K98" s="141"/>
      <c r="L98" s="141"/>
      <c r="N98" s="143"/>
      <c r="Q98" s="167"/>
      <c r="R98" s="180"/>
      <c r="S98" s="181"/>
      <c r="T98" s="181"/>
      <c r="U98" s="180"/>
      <c r="V98" s="180"/>
      <c r="W98" s="167"/>
      <c r="X98" s="201"/>
      <c r="Y98" s="201"/>
      <c r="Z98" s="201"/>
      <c r="AA98" s="201"/>
      <c r="AB98" s="167"/>
      <c r="AC98" s="200"/>
      <c r="AD98" s="185"/>
      <c r="AE98" s="185"/>
      <c r="AF98" s="185"/>
      <c r="AG98" s="185"/>
      <c r="AH98" s="185"/>
      <c r="AI98" s="185"/>
      <c r="AJ98" s="186"/>
      <c r="AK98" s="167"/>
      <c r="AL98" s="148"/>
      <c r="AM98" s="148"/>
      <c r="AN98" s="148"/>
      <c r="AO98" s="148"/>
      <c r="AP98" s="148"/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  <c r="BI98" s="148"/>
      <c r="BJ98" s="148"/>
    </row>
    <row r="99" spans="1:62" x14ac:dyDescent="0.3">
      <c r="A99" s="140"/>
      <c r="B99" s="140"/>
      <c r="C99" s="140"/>
      <c r="D99" s="140"/>
      <c r="E99" s="141"/>
      <c r="F99" s="141"/>
      <c r="G99" s="167"/>
      <c r="H99" s="141"/>
      <c r="I99" s="141"/>
      <c r="J99" s="141"/>
      <c r="K99" s="141"/>
      <c r="L99" s="141"/>
      <c r="N99" s="143"/>
      <c r="Q99" s="167"/>
      <c r="R99" s="180"/>
      <c r="S99" s="181"/>
      <c r="T99" s="181"/>
      <c r="U99" s="180"/>
      <c r="V99" s="180"/>
      <c r="W99" s="167"/>
      <c r="X99" s="201"/>
      <c r="Y99" s="201"/>
      <c r="Z99" s="201"/>
      <c r="AA99" s="201"/>
      <c r="AB99" s="167"/>
      <c r="AC99" s="200"/>
      <c r="AD99" s="185"/>
      <c r="AE99" s="185"/>
      <c r="AF99" s="185"/>
      <c r="AG99" s="185"/>
      <c r="AH99" s="185"/>
      <c r="AI99" s="185"/>
      <c r="AJ99" s="186"/>
      <c r="AK99" s="167"/>
      <c r="AL99" s="148"/>
      <c r="AM99" s="148"/>
      <c r="AN99" s="148"/>
      <c r="AO99" s="148"/>
      <c r="AP99" s="148"/>
      <c r="AQ99" s="148"/>
      <c r="AR99" s="148"/>
      <c r="AS99" s="148"/>
      <c r="AT99" s="148"/>
      <c r="AU99" s="148"/>
      <c r="AV99" s="148"/>
      <c r="AW99" s="148"/>
      <c r="AX99" s="148"/>
      <c r="AY99" s="148"/>
      <c r="AZ99" s="148"/>
      <c r="BA99" s="148"/>
      <c r="BB99" s="148"/>
      <c r="BC99" s="148"/>
      <c r="BD99" s="148"/>
      <c r="BE99" s="148"/>
      <c r="BF99" s="148"/>
      <c r="BG99" s="148"/>
      <c r="BH99" s="148"/>
      <c r="BI99" s="148"/>
      <c r="BJ99" s="148"/>
    </row>
    <row r="100" spans="1:62" x14ac:dyDescent="0.3">
      <c r="A100" s="140"/>
      <c r="B100" s="140"/>
      <c r="C100" s="140"/>
      <c r="D100" s="140"/>
      <c r="E100" s="141"/>
      <c r="F100" s="141"/>
      <c r="G100" s="167"/>
      <c r="H100" s="141"/>
      <c r="I100" s="141"/>
      <c r="J100" s="141"/>
      <c r="K100" s="141"/>
      <c r="L100" s="141"/>
      <c r="N100" s="143"/>
      <c r="Q100" s="167"/>
      <c r="R100" s="180"/>
      <c r="S100" s="181"/>
      <c r="T100" s="181"/>
      <c r="U100" s="180"/>
      <c r="V100" s="180"/>
      <c r="W100" s="167"/>
      <c r="X100" s="201"/>
      <c r="Y100" s="201"/>
      <c r="Z100" s="201"/>
      <c r="AA100" s="201"/>
      <c r="AB100" s="167"/>
      <c r="AC100" s="200"/>
      <c r="AD100" s="185"/>
      <c r="AE100" s="185"/>
      <c r="AF100" s="185"/>
      <c r="AG100" s="185"/>
      <c r="AH100" s="185"/>
      <c r="AI100" s="185"/>
      <c r="AJ100" s="186"/>
      <c r="AK100" s="167"/>
      <c r="AL100" s="148"/>
      <c r="AM100" s="148"/>
      <c r="AN100" s="148"/>
      <c r="AO100" s="148"/>
      <c r="AP100" s="148"/>
      <c r="AQ100" s="148"/>
      <c r="AR100" s="148"/>
      <c r="AS100" s="148"/>
      <c r="AT100" s="148"/>
      <c r="AU100" s="148"/>
      <c r="AV100" s="148"/>
      <c r="AW100" s="148"/>
      <c r="AX100" s="148"/>
      <c r="AY100" s="148"/>
      <c r="AZ100" s="148"/>
      <c r="BA100" s="148"/>
      <c r="BB100" s="148"/>
      <c r="BC100" s="148"/>
      <c r="BD100" s="148"/>
      <c r="BE100" s="148"/>
      <c r="BF100" s="148"/>
      <c r="BG100" s="148"/>
      <c r="BH100" s="148"/>
      <c r="BI100" s="148"/>
      <c r="BJ100" s="148"/>
    </row>
    <row r="101" spans="1:62" x14ac:dyDescent="0.3">
      <c r="A101" s="140"/>
      <c r="B101" s="140"/>
      <c r="C101" s="140"/>
      <c r="D101" s="140"/>
      <c r="E101" s="141"/>
      <c r="F101" s="141"/>
      <c r="G101" s="167"/>
      <c r="H101" s="141"/>
      <c r="I101" s="141"/>
      <c r="J101" s="141"/>
      <c r="K101" s="141"/>
      <c r="L101" s="141"/>
      <c r="N101" s="143"/>
      <c r="Q101" s="167"/>
      <c r="R101" s="180"/>
      <c r="S101" s="181"/>
      <c r="T101" s="181"/>
      <c r="U101" s="180"/>
      <c r="V101" s="180"/>
      <c r="W101" s="167"/>
      <c r="X101" s="201"/>
      <c r="Y101" s="201"/>
      <c r="Z101" s="201"/>
      <c r="AA101" s="201"/>
      <c r="AB101" s="167"/>
      <c r="AC101" s="200"/>
      <c r="AD101" s="185"/>
      <c r="AE101" s="185"/>
      <c r="AF101" s="185"/>
      <c r="AG101" s="185"/>
      <c r="AH101" s="185"/>
      <c r="AI101" s="185"/>
      <c r="AJ101" s="186"/>
      <c r="AK101" s="167"/>
      <c r="AL101" s="148"/>
      <c r="AM101" s="148"/>
      <c r="AN101" s="148"/>
      <c r="AO101" s="148"/>
      <c r="AP101" s="148"/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  <c r="BI101" s="148"/>
      <c r="BJ101" s="148"/>
    </row>
    <row r="102" spans="1:62" x14ac:dyDescent="0.3">
      <c r="A102" s="140"/>
      <c r="B102" s="140"/>
      <c r="C102" s="140"/>
      <c r="D102" s="140"/>
      <c r="E102" s="141"/>
      <c r="F102" s="141"/>
      <c r="G102" s="167"/>
      <c r="H102" s="141"/>
      <c r="I102" s="141"/>
      <c r="J102" s="141"/>
      <c r="K102" s="141"/>
      <c r="L102" s="141"/>
      <c r="N102" s="143"/>
      <c r="Q102" s="167"/>
      <c r="R102" s="180"/>
      <c r="S102" s="181"/>
      <c r="T102" s="181"/>
      <c r="U102" s="180"/>
      <c r="V102" s="180"/>
      <c r="W102" s="167"/>
      <c r="X102" s="201"/>
      <c r="Y102" s="201"/>
      <c r="Z102" s="201"/>
      <c r="AA102" s="201"/>
      <c r="AB102" s="167"/>
      <c r="AC102" s="200"/>
      <c r="AD102" s="185"/>
      <c r="AE102" s="185"/>
      <c r="AF102" s="185"/>
      <c r="AG102" s="185"/>
      <c r="AH102" s="185"/>
      <c r="AI102" s="185"/>
      <c r="AJ102" s="186"/>
      <c r="AK102" s="167"/>
      <c r="AL102" s="148"/>
      <c r="AM102" s="148"/>
      <c r="AN102" s="148"/>
      <c r="AO102" s="148"/>
      <c r="AP102" s="148"/>
      <c r="AQ102" s="148"/>
      <c r="AR102" s="148"/>
      <c r="AS102" s="148"/>
      <c r="AT102" s="148"/>
      <c r="AU102" s="148"/>
      <c r="AV102" s="148"/>
      <c r="AW102" s="148"/>
      <c r="AX102" s="148"/>
      <c r="AY102" s="148"/>
      <c r="AZ102" s="148"/>
      <c r="BA102" s="148"/>
      <c r="BB102" s="148"/>
      <c r="BC102" s="148"/>
      <c r="BD102" s="148"/>
      <c r="BE102" s="148"/>
      <c r="BF102" s="148"/>
      <c r="BG102" s="148"/>
      <c r="BH102" s="148"/>
      <c r="BI102" s="148"/>
      <c r="BJ102" s="148"/>
    </row>
    <row r="103" spans="1:62" x14ac:dyDescent="0.3">
      <c r="A103" s="140"/>
      <c r="B103" s="140"/>
      <c r="C103" s="140"/>
      <c r="D103" s="140"/>
      <c r="E103" s="141"/>
      <c r="F103" s="141"/>
      <c r="G103" s="167"/>
      <c r="H103" s="141"/>
      <c r="I103" s="141"/>
      <c r="J103" s="141"/>
      <c r="K103" s="141"/>
      <c r="L103" s="141"/>
      <c r="N103" s="143"/>
      <c r="Q103" s="167"/>
      <c r="R103" s="180"/>
      <c r="S103" s="181"/>
      <c r="T103" s="181"/>
      <c r="U103" s="180"/>
      <c r="V103" s="180"/>
      <c r="W103" s="167"/>
      <c r="X103" s="201"/>
      <c r="Y103" s="201"/>
      <c r="Z103" s="201"/>
      <c r="AA103" s="201"/>
      <c r="AB103" s="167"/>
      <c r="AC103" s="200"/>
      <c r="AD103" s="185"/>
      <c r="AE103" s="185"/>
      <c r="AF103" s="185"/>
      <c r="AG103" s="185"/>
      <c r="AH103" s="185"/>
      <c r="AI103" s="185"/>
      <c r="AJ103" s="186"/>
      <c r="AK103" s="167"/>
      <c r="AL103" s="148"/>
      <c r="AM103" s="148"/>
      <c r="AN103" s="148"/>
      <c r="AO103" s="148"/>
      <c r="AP103" s="148"/>
      <c r="AQ103" s="148"/>
      <c r="AR103" s="148"/>
      <c r="AS103" s="148"/>
      <c r="AT103" s="148"/>
      <c r="AU103" s="148"/>
      <c r="AV103" s="148"/>
      <c r="AW103" s="148"/>
      <c r="AX103" s="148"/>
      <c r="AY103" s="148"/>
      <c r="AZ103" s="148"/>
      <c r="BA103" s="148"/>
      <c r="BB103" s="148"/>
      <c r="BC103" s="148"/>
      <c r="BD103" s="148"/>
      <c r="BE103" s="148"/>
      <c r="BF103" s="148"/>
      <c r="BG103" s="148"/>
      <c r="BH103" s="148"/>
      <c r="BI103" s="148"/>
      <c r="BJ103" s="148"/>
    </row>
    <row r="104" spans="1:62" x14ac:dyDescent="0.3">
      <c r="A104" s="140"/>
      <c r="B104" s="140"/>
      <c r="C104" s="140"/>
      <c r="D104" s="140"/>
      <c r="E104" s="141"/>
      <c r="F104" s="141"/>
      <c r="G104" s="167"/>
      <c r="H104" s="141"/>
      <c r="I104" s="141"/>
      <c r="J104" s="141"/>
      <c r="K104" s="141"/>
      <c r="L104" s="141"/>
      <c r="N104" s="143"/>
      <c r="Q104" s="167"/>
      <c r="R104" s="180"/>
      <c r="S104" s="181"/>
      <c r="T104" s="181"/>
      <c r="U104" s="180"/>
      <c r="V104" s="180"/>
      <c r="W104" s="167"/>
      <c r="X104" s="201"/>
      <c r="Y104" s="201"/>
      <c r="Z104" s="201"/>
      <c r="AA104" s="201"/>
      <c r="AB104" s="167"/>
      <c r="AC104" s="200"/>
      <c r="AD104" s="185"/>
      <c r="AE104" s="185"/>
      <c r="AF104" s="185"/>
      <c r="AG104" s="185"/>
      <c r="AH104" s="185"/>
      <c r="AI104" s="185"/>
      <c r="AJ104" s="186"/>
      <c r="AK104" s="167"/>
      <c r="AL104" s="148"/>
      <c r="AM104" s="148"/>
      <c r="AN104" s="148"/>
      <c r="AO104" s="148"/>
      <c r="AP104" s="148"/>
      <c r="AQ104" s="148"/>
      <c r="AR104" s="148"/>
      <c r="AS104" s="148"/>
      <c r="AT104" s="148"/>
      <c r="AU104" s="148"/>
      <c r="AV104" s="148"/>
      <c r="AW104" s="148"/>
      <c r="AX104" s="148"/>
      <c r="AY104" s="148"/>
      <c r="AZ104" s="148"/>
      <c r="BA104" s="148"/>
      <c r="BB104" s="148"/>
      <c r="BC104" s="148"/>
      <c r="BD104" s="148"/>
      <c r="BE104" s="148"/>
      <c r="BF104" s="148"/>
      <c r="BG104" s="148"/>
      <c r="BH104" s="148"/>
      <c r="BI104" s="148"/>
      <c r="BJ104" s="148"/>
    </row>
    <row r="105" spans="1:62" x14ac:dyDescent="0.3">
      <c r="A105" s="140"/>
      <c r="B105" s="140"/>
      <c r="C105" s="140"/>
      <c r="D105" s="140"/>
      <c r="E105" s="141"/>
      <c r="F105" s="141"/>
      <c r="G105" s="167"/>
      <c r="H105" s="141"/>
      <c r="I105" s="141"/>
      <c r="J105" s="141"/>
      <c r="K105" s="141"/>
      <c r="L105" s="141"/>
      <c r="N105" s="143"/>
      <c r="Q105" s="167"/>
      <c r="R105" s="180"/>
      <c r="S105" s="181"/>
      <c r="T105" s="181"/>
      <c r="U105" s="180"/>
      <c r="V105" s="180"/>
      <c r="W105" s="167"/>
      <c r="X105" s="201"/>
      <c r="Y105" s="201"/>
      <c r="Z105" s="201"/>
      <c r="AA105" s="201"/>
      <c r="AB105" s="167"/>
      <c r="AC105" s="200"/>
      <c r="AD105" s="185"/>
      <c r="AE105" s="185"/>
      <c r="AF105" s="185"/>
      <c r="AG105" s="185"/>
      <c r="AH105" s="185"/>
      <c r="AI105" s="185"/>
      <c r="AJ105" s="186"/>
      <c r="AK105" s="167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</row>
    <row r="106" spans="1:62" x14ac:dyDescent="0.3">
      <c r="A106" s="140"/>
      <c r="B106" s="140"/>
      <c r="C106" s="140"/>
      <c r="D106" s="140"/>
      <c r="E106" s="141"/>
      <c r="F106" s="141"/>
      <c r="G106" s="167"/>
      <c r="H106" s="141"/>
      <c r="I106" s="141"/>
      <c r="J106" s="141"/>
      <c r="K106" s="141"/>
      <c r="L106" s="141"/>
      <c r="N106" s="143"/>
      <c r="Q106" s="167"/>
      <c r="R106" s="180"/>
      <c r="S106" s="181"/>
      <c r="T106" s="181"/>
      <c r="U106" s="180"/>
      <c r="V106" s="180"/>
      <c r="W106" s="167"/>
      <c r="X106" s="201"/>
      <c r="Y106" s="201"/>
      <c r="Z106" s="201"/>
      <c r="AA106" s="201"/>
      <c r="AB106" s="167"/>
      <c r="AC106" s="200"/>
      <c r="AD106" s="185"/>
      <c r="AE106" s="185"/>
      <c r="AF106" s="185"/>
      <c r="AG106" s="185"/>
      <c r="AH106" s="185"/>
      <c r="AI106" s="185"/>
      <c r="AJ106" s="186"/>
      <c r="AK106" s="167"/>
      <c r="AL106" s="148"/>
      <c r="AM106" s="148"/>
      <c r="AN106" s="148"/>
      <c r="AO106" s="148"/>
      <c r="AP106" s="148"/>
      <c r="AQ106" s="148"/>
      <c r="AR106" s="148"/>
      <c r="AS106" s="148"/>
      <c r="AT106" s="148"/>
      <c r="AU106" s="148"/>
      <c r="AV106" s="148"/>
      <c r="AW106" s="148"/>
      <c r="AX106" s="148"/>
      <c r="AY106" s="148"/>
      <c r="AZ106" s="148"/>
      <c r="BA106" s="148"/>
      <c r="BB106" s="148"/>
      <c r="BC106" s="148"/>
      <c r="BD106" s="148"/>
      <c r="BE106" s="148"/>
      <c r="BF106" s="148"/>
      <c r="BG106" s="148"/>
      <c r="BH106" s="148"/>
      <c r="BI106" s="148"/>
      <c r="BJ106" s="148"/>
    </row>
    <row r="107" spans="1:62" x14ac:dyDescent="0.3">
      <c r="A107" s="140"/>
      <c r="B107" s="140"/>
      <c r="C107" s="140"/>
      <c r="D107" s="140"/>
      <c r="E107" s="141"/>
      <c r="F107" s="141"/>
      <c r="G107" s="167"/>
      <c r="H107" s="141"/>
      <c r="I107" s="141"/>
      <c r="J107" s="141"/>
      <c r="K107" s="141"/>
      <c r="L107" s="141"/>
      <c r="N107" s="143"/>
      <c r="Q107" s="167"/>
      <c r="R107" s="180"/>
      <c r="S107" s="181"/>
      <c r="T107" s="181"/>
      <c r="U107" s="180"/>
      <c r="V107" s="180"/>
      <c r="W107" s="167"/>
      <c r="X107" s="201"/>
      <c r="Y107" s="201"/>
      <c r="Z107" s="201"/>
      <c r="AA107" s="201"/>
      <c r="AB107" s="167"/>
      <c r="AC107" s="200"/>
      <c r="AD107" s="185"/>
      <c r="AE107" s="185"/>
      <c r="AF107" s="185"/>
      <c r="AG107" s="185"/>
      <c r="AH107" s="185"/>
      <c r="AI107" s="185"/>
      <c r="AJ107" s="186"/>
      <c r="AK107" s="167"/>
      <c r="AL107" s="148"/>
      <c r="AM107" s="148"/>
      <c r="AN107" s="148"/>
      <c r="AO107" s="148"/>
      <c r="AP107" s="148"/>
      <c r="AQ107" s="148"/>
      <c r="AR107" s="148"/>
      <c r="AS107" s="148"/>
      <c r="AT107" s="148"/>
      <c r="AU107" s="148"/>
      <c r="AV107" s="148"/>
      <c r="AW107" s="148"/>
      <c r="AX107" s="148"/>
      <c r="AY107" s="148"/>
      <c r="AZ107" s="148"/>
      <c r="BA107" s="148"/>
      <c r="BB107" s="148"/>
      <c r="BC107" s="148"/>
      <c r="BD107" s="148"/>
      <c r="BE107" s="148"/>
      <c r="BF107" s="148"/>
      <c r="BG107" s="148"/>
      <c r="BH107" s="148"/>
      <c r="BI107" s="148"/>
      <c r="BJ107" s="148"/>
    </row>
    <row r="108" spans="1:62" x14ac:dyDescent="0.3">
      <c r="A108" s="140"/>
      <c r="B108" s="140"/>
      <c r="C108" s="140"/>
      <c r="D108" s="140"/>
      <c r="E108" s="141"/>
      <c r="F108" s="141"/>
      <c r="G108" s="167"/>
      <c r="H108" s="141"/>
      <c r="I108" s="141"/>
      <c r="J108" s="141"/>
      <c r="K108" s="141"/>
      <c r="L108" s="141"/>
      <c r="N108" s="143"/>
      <c r="Q108" s="167"/>
      <c r="R108" s="180"/>
      <c r="S108" s="181"/>
      <c r="T108" s="181"/>
      <c r="U108" s="180"/>
      <c r="V108" s="180"/>
      <c r="W108" s="167"/>
      <c r="X108" s="201"/>
      <c r="Y108" s="201"/>
      <c r="Z108" s="201"/>
      <c r="AA108" s="201"/>
      <c r="AB108" s="167"/>
      <c r="AC108" s="200"/>
      <c r="AD108" s="185"/>
      <c r="AE108" s="185"/>
      <c r="AF108" s="185"/>
      <c r="AG108" s="185"/>
      <c r="AH108" s="185"/>
      <c r="AI108" s="185"/>
      <c r="AJ108" s="186"/>
      <c r="AK108" s="167"/>
      <c r="AL108" s="148"/>
      <c r="AM108" s="148"/>
      <c r="AN108" s="148"/>
      <c r="AO108" s="148"/>
      <c r="AP108" s="148"/>
      <c r="AQ108" s="148"/>
      <c r="AR108" s="148"/>
      <c r="AS108" s="148"/>
      <c r="AT108" s="148"/>
      <c r="AU108" s="148"/>
      <c r="AV108" s="148"/>
      <c r="AW108" s="148"/>
      <c r="AX108" s="148"/>
      <c r="AY108" s="148"/>
      <c r="AZ108" s="148"/>
      <c r="BA108" s="148"/>
      <c r="BB108" s="148"/>
      <c r="BC108" s="148"/>
      <c r="BD108" s="148"/>
      <c r="BE108" s="148"/>
      <c r="BF108" s="148"/>
      <c r="BG108" s="148"/>
      <c r="BH108" s="148"/>
      <c r="BI108" s="148"/>
      <c r="BJ108" s="148"/>
    </row>
    <row r="109" spans="1:62" x14ac:dyDescent="0.3">
      <c r="A109" s="140"/>
      <c r="B109" s="140"/>
      <c r="C109" s="140"/>
      <c r="D109" s="140"/>
      <c r="E109" s="141"/>
      <c r="F109" s="141"/>
      <c r="G109" s="167"/>
      <c r="H109" s="141"/>
      <c r="I109" s="141"/>
      <c r="J109" s="141"/>
      <c r="K109" s="141"/>
      <c r="L109" s="141"/>
      <c r="N109" s="143"/>
      <c r="Q109" s="167"/>
      <c r="R109" s="180"/>
      <c r="S109" s="181"/>
      <c r="T109" s="181"/>
      <c r="U109" s="180"/>
      <c r="V109" s="180"/>
      <c r="W109" s="167"/>
      <c r="X109" s="201"/>
      <c r="Y109" s="201"/>
      <c r="Z109" s="201"/>
      <c r="AA109" s="201"/>
      <c r="AB109" s="167"/>
      <c r="AC109" s="200"/>
      <c r="AD109" s="185"/>
      <c r="AE109" s="185"/>
      <c r="AF109" s="185"/>
      <c r="AG109" s="185"/>
      <c r="AH109" s="185"/>
      <c r="AI109" s="185"/>
      <c r="AJ109" s="186"/>
      <c r="AK109" s="167"/>
      <c r="AL109" s="148"/>
      <c r="AM109" s="148"/>
      <c r="AN109" s="148"/>
      <c r="AO109" s="148"/>
      <c r="AP109" s="148"/>
      <c r="AQ109" s="148"/>
      <c r="AR109" s="148"/>
      <c r="AS109" s="148"/>
      <c r="AT109" s="148"/>
      <c r="AU109" s="148"/>
      <c r="AV109" s="148"/>
      <c r="AW109" s="148"/>
      <c r="AX109" s="148"/>
      <c r="AY109" s="148"/>
      <c r="AZ109" s="148"/>
      <c r="BA109" s="148"/>
      <c r="BB109" s="148"/>
      <c r="BC109" s="148"/>
      <c r="BD109" s="148"/>
      <c r="BE109" s="148"/>
      <c r="BF109" s="148"/>
      <c r="BG109" s="148"/>
      <c r="BH109" s="148"/>
      <c r="BI109" s="148"/>
      <c r="BJ109" s="148"/>
    </row>
    <row r="110" spans="1:62" x14ac:dyDescent="0.3">
      <c r="A110" s="140"/>
      <c r="B110" s="140"/>
      <c r="C110" s="140"/>
      <c r="D110" s="140"/>
      <c r="E110" s="141"/>
      <c r="F110" s="141"/>
      <c r="G110" s="167"/>
      <c r="H110" s="141"/>
      <c r="I110" s="141"/>
      <c r="J110" s="141"/>
      <c r="K110" s="141"/>
      <c r="L110" s="141"/>
      <c r="N110" s="143"/>
      <c r="Q110" s="167"/>
      <c r="R110" s="180"/>
      <c r="S110" s="181"/>
      <c r="T110" s="181"/>
      <c r="U110" s="180"/>
      <c r="V110" s="180"/>
      <c r="W110" s="167"/>
      <c r="X110" s="201"/>
      <c r="Y110" s="201"/>
      <c r="Z110" s="201"/>
      <c r="AA110" s="201"/>
      <c r="AB110" s="167"/>
      <c r="AC110" s="200"/>
      <c r="AD110" s="185"/>
      <c r="AE110" s="185"/>
      <c r="AF110" s="185"/>
      <c r="AG110" s="185"/>
      <c r="AH110" s="185"/>
      <c r="AI110" s="185"/>
      <c r="AJ110" s="186"/>
      <c r="AK110" s="167"/>
      <c r="AL110" s="148"/>
      <c r="AM110" s="148"/>
      <c r="AN110" s="148"/>
      <c r="AO110" s="148"/>
      <c r="AP110" s="148"/>
      <c r="AQ110" s="148"/>
      <c r="AR110" s="148"/>
      <c r="AS110" s="148"/>
      <c r="AT110" s="148"/>
      <c r="AU110" s="148"/>
      <c r="AV110" s="148"/>
      <c r="AW110" s="148"/>
      <c r="AX110" s="148"/>
      <c r="AY110" s="148"/>
      <c r="AZ110" s="148"/>
      <c r="BA110" s="148"/>
      <c r="BB110" s="148"/>
      <c r="BC110" s="148"/>
      <c r="BD110" s="148"/>
      <c r="BE110" s="148"/>
      <c r="BF110" s="148"/>
      <c r="BG110" s="148"/>
      <c r="BH110" s="148"/>
      <c r="BI110" s="148"/>
      <c r="BJ110" s="148"/>
    </row>
    <row r="111" spans="1:62" x14ac:dyDescent="0.3">
      <c r="A111" s="140"/>
      <c r="B111" s="140"/>
      <c r="C111" s="140"/>
      <c r="D111" s="140"/>
      <c r="E111" s="141"/>
      <c r="F111" s="141"/>
      <c r="G111" s="167"/>
      <c r="H111" s="141"/>
      <c r="I111" s="141"/>
      <c r="J111" s="141"/>
      <c r="K111" s="141"/>
      <c r="L111" s="141"/>
      <c r="N111" s="143"/>
      <c r="Q111" s="167"/>
      <c r="R111" s="180"/>
      <c r="S111" s="181"/>
      <c r="T111" s="181"/>
      <c r="U111" s="180"/>
      <c r="V111" s="180"/>
      <c r="W111" s="167"/>
      <c r="X111" s="201"/>
      <c r="Y111" s="201"/>
      <c r="Z111" s="201"/>
      <c r="AA111" s="201"/>
      <c r="AB111" s="167"/>
      <c r="AC111" s="200"/>
      <c r="AD111" s="185"/>
      <c r="AE111" s="185"/>
      <c r="AF111" s="185"/>
      <c r="AG111" s="185"/>
      <c r="AH111" s="185"/>
      <c r="AI111" s="185"/>
      <c r="AJ111" s="186"/>
      <c r="AK111" s="167"/>
      <c r="AL111" s="148"/>
      <c r="AM111" s="148"/>
      <c r="AN111" s="148"/>
      <c r="AO111" s="148"/>
      <c r="AP111" s="148"/>
      <c r="AQ111" s="148"/>
      <c r="AR111" s="148"/>
      <c r="AS111" s="148"/>
      <c r="AT111" s="148"/>
      <c r="AU111" s="148"/>
      <c r="AV111" s="148"/>
      <c r="AW111" s="148"/>
      <c r="AX111" s="148"/>
      <c r="AY111" s="148"/>
      <c r="AZ111" s="148"/>
      <c r="BA111" s="148"/>
      <c r="BB111" s="148"/>
      <c r="BC111" s="148"/>
      <c r="BD111" s="148"/>
      <c r="BE111" s="148"/>
      <c r="BF111" s="148"/>
      <c r="BG111" s="148"/>
      <c r="BH111" s="148"/>
      <c r="BI111" s="148"/>
      <c r="BJ111" s="148"/>
    </row>
    <row r="112" spans="1:62" x14ac:dyDescent="0.3">
      <c r="A112" s="140"/>
      <c r="B112" s="140"/>
      <c r="C112" s="140"/>
      <c r="D112" s="140"/>
      <c r="E112" s="141"/>
      <c r="F112" s="141"/>
      <c r="G112" s="167"/>
      <c r="H112" s="141"/>
      <c r="I112" s="141"/>
      <c r="J112" s="141"/>
      <c r="K112" s="141"/>
      <c r="L112" s="141"/>
      <c r="N112" s="143"/>
      <c r="Q112" s="167"/>
      <c r="R112" s="180"/>
      <c r="S112" s="181"/>
      <c r="T112" s="181"/>
      <c r="U112" s="180"/>
      <c r="V112" s="180"/>
      <c r="W112" s="167"/>
      <c r="X112" s="201"/>
      <c r="Y112" s="201"/>
      <c r="Z112" s="201"/>
      <c r="AA112" s="201"/>
      <c r="AB112" s="167"/>
      <c r="AC112" s="200"/>
      <c r="AD112" s="185"/>
      <c r="AE112" s="185"/>
      <c r="AF112" s="185"/>
      <c r="AG112" s="185"/>
      <c r="AH112" s="185"/>
      <c r="AI112" s="185"/>
      <c r="AJ112" s="186"/>
      <c r="AK112" s="167"/>
      <c r="AL112" s="148"/>
      <c r="AM112" s="148"/>
      <c r="AN112" s="148"/>
      <c r="AO112" s="148"/>
      <c r="AP112" s="148"/>
      <c r="AQ112" s="148"/>
      <c r="AR112" s="148"/>
      <c r="AS112" s="148"/>
      <c r="AT112" s="148"/>
      <c r="AU112" s="148"/>
      <c r="AV112" s="148"/>
      <c r="AW112" s="148"/>
      <c r="AX112" s="148"/>
      <c r="AY112" s="148"/>
      <c r="AZ112" s="148"/>
      <c r="BA112" s="148"/>
      <c r="BB112" s="148"/>
      <c r="BC112" s="148"/>
      <c r="BD112" s="148"/>
      <c r="BE112" s="148"/>
      <c r="BF112" s="148"/>
      <c r="BG112" s="148"/>
      <c r="BH112" s="148"/>
      <c r="BI112" s="148"/>
      <c r="BJ112" s="148"/>
    </row>
    <row r="113" spans="1:62" x14ac:dyDescent="0.3">
      <c r="A113" s="140"/>
      <c r="B113" s="140"/>
      <c r="C113" s="140"/>
      <c r="D113" s="140"/>
      <c r="E113" s="141"/>
      <c r="F113" s="141"/>
      <c r="G113" s="167"/>
      <c r="H113" s="141"/>
      <c r="I113" s="141"/>
      <c r="J113" s="141"/>
      <c r="K113" s="141"/>
      <c r="L113" s="141"/>
      <c r="N113" s="143"/>
      <c r="Q113" s="167"/>
      <c r="R113" s="180"/>
      <c r="S113" s="181"/>
      <c r="T113" s="181"/>
      <c r="U113" s="180"/>
      <c r="V113" s="180"/>
      <c r="W113" s="167"/>
      <c r="X113" s="201"/>
      <c r="Y113" s="201"/>
      <c r="Z113" s="201"/>
      <c r="AA113" s="201"/>
      <c r="AB113" s="167"/>
      <c r="AC113" s="200"/>
      <c r="AD113" s="185"/>
      <c r="AE113" s="185"/>
      <c r="AF113" s="185"/>
      <c r="AG113" s="185"/>
      <c r="AH113" s="185"/>
      <c r="AI113" s="185"/>
      <c r="AJ113" s="186"/>
      <c r="AK113" s="167"/>
      <c r="AL113" s="148"/>
      <c r="AM113" s="148"/>
      <c r="AN113" s="148"/>
      <c r="AO113" s="148"/>
      <c r="AP113" s="148"/>
      <c r="AQ113" s="148"/>
      <c r="AR113" s="148"/>
      <c r="AS113" s="148"/>
      <c r="AT113" s="148"/>
      <c r="AU113" s="148"/>
      <c r="AV113" s="148"/>
      <c r="AW113" s="148"/>
      <c r="AX113" s="148"/>
      <c r="AY113" s="148"/>
      <c r="AZ113" s="148"/>
      <c r="BA113" s="148"/>
      <c r="BB113" s="148"/>
      <c r="BC113" s="148"/>
      <c r="BD113" s="148"/>
      <c r="BE113" s="148"/>
      <c r="BF113" s="148"/>
      <c r="BG113" s="148"/>
      <c r="BH113" s="148"/>
      <c r="BI113" s="148"/>
      <c r="BJ113" s="148"/>
    </row>
    <row r="114" spans="1:62" x14ac:dyDescent="0.3">
      <c r="A114" s="140"/>
      <c r="B114" s="140"/>
      <c r="C114" s="140"/>
      <c r="D114" s="140"/>
      <c r="E114" s="141"/>
      <c r="F114" s="141"/>
      <c r="G114" s="167"/>
      <c r="H114" s="141"/>
      <c r="I114" s="141"/>
      <c r="J114" s="141"/>
      <c r="K114" s="141"/>
      <c r="L114" s="141"/>
      <c r="N114" s="143"/>
      <c r="Q114" s="167"/>
      <c r="R114" s="180"/>
      <c r="S114" s="181"/>
      <c r="T114" s="181"/>
      <c r="U114" s="180"/>
      <c r="V114" s="180"/>
      <c r="W114" s="167"/>
      <c r="X114" s="201"/>
      <c r="Y114" s="201"/>
      <c r="Z114" s="201"/>
      <c r="AA114" s="201"/>
      <c r="AB114" s="167"/>
      <c r="AC114" s="200"/>
      <c r="AD114" s="185"/>
      <c r="AE114" s="185"/>
      <c r="AF114" s="185"/>
      <c r="AG114" s="185"/>
      <c r="AH114" s="185"/>
      <c r="AI114" s="185"/>
      <c r="AJ114" s="186"/>
      <c r="AK114" s="167"/>
      <c r="AL114" s="148"/>
      <c r="AM114" s="148"/>
      <c r="AN114" s="148"/>
      <c r="AO114" s="148"/>
      <c r="AP114" s="148"/>
      <c r="AQ114" s="148"/>
      <c r="AR114" s="148"/>
      <c r="AS114" s="148"/>
      <c r="AT114" s="148"/>
      <c r="AU114" s="148"/>
      <c r="AV114" s="148"/>
      <c r="AW114" s="148"/>
      <c r="AX114" s="148"/>
      <c r="AY114" s="148"/>
      <c r="AZ114" s="148"/>
      <c r="BA114" s="148"/>
      <c r="BB114" s="148"/>
      <c r="BC114" s="148"/>
      <c r="BD114" s="148"/>
      <c r="BE114" s="148"/>
      <c r="BF114" s="148"/>
      <c r="BG114" s="148"/>
      <c r="BH114" s="148"/>
      <c r="BI114" s="148"/>
      <c r="BJ114" s="148"/>
    </row>
    <row r="115" spans="1:62" x14ac:dyDescent="0.3">
      <c r="A115" s="140"/>
      <c r="B115" s="140"/>
      <c r="C115" s="140"/>
      <c r="D115" s="140"/>
      <c r="E115" s="141"/>
      <c r="F115" s="141"/>
      <c r="G115" s="167"/>
      <c r="H115" s="141"/>
      <c r="I115" s="141"/>
      <c r="J115" s="141"/>
      <c r="K115" s="141"/>
      <c r="L115" s="141"/>
      <c r="N115" s="143"/>
      <c r="Q115" s="167"/>
      <c r="R115" s="180"/>
      <c r="S115" s="181"/>
      <c r="T115" s="181"/>
      <c r="U115" s="180"/>
      <c r="V115" s="180"/>
      <c r="W115" s="167"/>
      <c r="X115" s="201"/>
      <c r="Y115" s="201"/>
      <c r="Z115" s="201"/>
      <c r="AA115" s="201"/>
      <c r="AB115" s="167"/>
      <c r="AC115" s="200"/>
      <c r="AD115" s="185"/>
      <c r="AE115" s="185"/>
      <c r="AF115" s="185"/>
      <c r="AG115" s="185"/>
      <c r="AH115" s="185"/>
      <c r="AI115" s="185"/>
      <c r="AJ115" s="186"/>
      <c r="AK115" s="167"/>
      <c r="AL115" s="148"/>
      <c r="AM115" s="148"/>
      <c r="AN115" s="148"/>
      <c r="AO115" s="148"/>
      <c r="AP115" s="148"/>
      <c r="AQ115" s="148"/>
      <c r="AR115" s="148"/>
      <c r="AS115" s="148"/>
      <c r="AT115" s="148"/>
      <c r="AU115" s="148"/>
      <c r="AV115" s="148"/>
      <c r="AW115" s="148"/>
      <c r="AX115" s="148"/>
      <c r="AY115" s="148"/>
      <c r="AZ115" s="148"/>
      <c r="BA115" s="148"/>
      <c r="BB115" s="148"/>
      <c r="BC115" s="148"/>
      <c r="BD115" s="148"/>
      <c r="BE115" s="148"/>
      <c r="BF115" s="148"/>
      <c r="BG115" s="148"/>
      <c r="BH115" s="148"/>
      <c r="BI115" s="148"/>
      <c r="BJ115" s="148"/>
    </row>
    <row r="116" spans="1:62" x14ac:dyDescent="0.3">
      <c r="A116" s="140"/>
      <c r="B116" s="140"/>
      <c r="C116" s="140"/>
      <c r="D116" s="140"/>
      <c r="E116" s="141"/>
      <c r="F116" s="141"/>
      <c r="G116" s="167"/>
      <c r="H116" s="141"/>
      <c r="I116" s="141"/>
      <c r="J116" s="141"/>
      <c r="K116" s="141"/>
      <c r="L116" s="141"/>
      <c r="N116" s="143"/>
      <c r="Q116" s="167"/>
      <c r="R116" s="180"/>
      <c r="S116" s="181"/>
      <c r="T116" s="181"/>
      <c r="U116" s="180"/>
      <c r="V116" s="180"/>
      <c r="W116" s="167"/>
      <c r="X116" s="201"/>
      <c r="Y116" s="201"/>
      <c r="Z116" s="201"/>
      <c r="AA116" s="201"/>
      <c r="AB116" s="167"/>
      <c r="AC116" s="200"/>
      <c r="AD116" s="185"/>
      <c r="AE116" s="185"/>
      <c r="AF116" s="185"/>
      <c r="AG116" s="185"/>
      <c r="AH116" s="185"/>
      <c r="AI116" s="185"/>
      <c r="AJ116" s="186"/>
      <c r="AK116" s="167"/>
      <c r="AL116" s="148"/>
      <c r="AM116" s="148"/>
      <c r="AN116" s="148"/>
      <c r="AO116" s="148"/>
      <c r="AP116" s="148"/>
      <c r="AQ116" s="148"/>
      <c r="AR116" s="148"/>
      <c r="AS116" s="148"/>
      <c r="AT116" s="148"/>
      <c r="AU116" s="148"/>
      <c r="AV116" s="148"/>
      <c r="AW116" s="148"/>
      <c r="AX116" s="148"/>
      <c r="AY116" s="148"/>
      <c r="AZ116" s="148"/>
      <c r="BA116" s="148"/>
      <c r="BB116" s="148"/>
      <c r="BC116" s="148"/>
      <c r="BD116" s="148"/>
      <c r="BE116" s="148"/>
      <c r="BF116" s="148"/>
      <c r="BG116" s="148"/>
      <c r="BH116" s="148"/>
      <c r="BI116" s="148"/>
      <c r="BJ116" s="148"/>
    </row>
    <row r="117" spans="1:62" x14ac:dyDescent="0.3">
      <c r="A117" s="140"/>
      <c r="B117" s="140"/>
      <c r="C117" s="140"/>
      <c r="D117" s="140"/>
      <c r="E117" s="141"/>
      <c r="F117" s="141"/>
      <c r="G117" s="167"/>
      <c r="H117" s="141"/>
      <c r="I117" s="141"/>
      <c r="J117" s="141"/>
      <c r="K117" s="141"/>
      <c r="L117" s="141"/>
      <c r="N117" s="143"/>
      <c r="Q117" s="167"/>
      <c r="R117" s="180"/>
      <c r="S117" s="181"/>
      <c r="T117" s="181"/>
      <c r="U117" s="180"/>
      <c r="V117" s="180"/>
      <c r="W117" s="167"/>
      <c r="X117" s="201"/>
      <c r="Y117" s="201"/>
      <c r="Z117" s="201"/>
      <c r="AA117" s="201"/>
      <c r="AB117" s="167"/>
      <c r="AC117" s="200"/>
      <c r="AD117" s="185"/>
      <c r="AE117" s="185"/>
      <c r="AF117" s="185"/>
      <c r="AG117" s="185"/>
      <c r="AH117" s="185"/>
      <c r="AI117" s="185"/>
      <c r="AJ117" s="186"/>
      <c r="AK117" s="167"/>
      <c r="AL117" s="148"/>
      <c r="AM117" s="148"/>
      <c r="AN117" s="148"/>
      <c r="AO117" s="148"/>
      <c r="AP117" s="148"/>
      <c r="AQ117" s="148"/>
      <c r="AR117" s="148"/>
      <c r="AS117" s="148"/>
      <c r="AT117" s="148"/>
      <c r="AU117" s="148"/>
      <c r="AV117" s="148"/>
      <c r="AW117" s="148"/>
      <c r="AX117" s="148"/>
      <c r="AY117" s="148"/>
      <c r="AZ117" s="148"/>
      <c r="BA117" s="148"/>
      <c r="BB117" s="148"/>
      <c r="BC117" s="148"/>
      <c r="BD117" s="148"/>
      <c r="BE117" s="148"/>
      <c r="BF117" s="148"/>
      <c r="BG117" s="148"/>
      <c r="BH117" s="148"/>
      <c r="BI117" s="148"/>
      <c r="BJ117" s="148"/>
    </row>
    <row r="118" spans="1:62" x14ac:dyDescent="0.3">
      <c r="A118" s="140"/>
      <c r="B118" s="140"/>
      <c r="C118" s="140"/>
      <c r="D118" s="140"/>
      <c r="E118" s="141"/>
      <c r="F118" s="141"/>
      <c r="G118" s="167"/>
      <c r="H118" s="141"/>
      <c r="I118" s="141"/>
      <c r="J118" s="141"/>
      <c r="K118" s="141"/>
      <c r="L118" s="141"/>
      <c r="N118" s="143"/>
      <c r="Q118" s="167"/>
      <c r="R118" s="180"/>
      <c r="S118" s="181"/>
      <c r="T118" s="181"/>
      <c r="U118" s="180"/>
      <c r="V118" s="180"/>
      <c r="W118" s="167"/>
      <c r="X118" s="201"/>
      <c r="Y118" s="201"/>
      <c r="Z118" s="201"/>
      <c r="AA118" s="201"/>
      <c r="AB118" s="167"/>
      <c r="AC118" s="200"/>
      <c r="AD118" s="185"/>
      <c r="AE118" s="185"/>
      <c r="AF118" s="185"/>
      <c r="AG118" s="185"/>
      <c r="AH118" s="185"/>
      <c r="AI118" s="185"/>
      <c r="AJ118" s="186"/>
      <c r="AK118" s="167"/>
      <c r="AL118" s="148"/>
      <c r="AM118" s="148"/>
      <c r="AN118" s="148"/>
      <c r="AO118" s="148"/>
      <c r="AP118" s="148"/>
      <c r="AQ118" s="148"/>
      <c r="AR118" s="148"/>
      <c r="AS118" s="148"/>
      <c r="AT118" s="148"/>
      <c r="AU118" s="148"/>
      <c r="AV118" s="148"/>
      <c r="AW118" s="148"/>
      <c r="AX118" s="148"/>
      <c r="AY118" s="148"/>
      <c r="AZ118" s="148"/>
      <c r="BA118" s="148"/>
      <c r="BB118" s="148"/>
      <c r="BC118" s="148"/>
      <c r="BD118" s="148"/>
      <c r="BE118" s="148"/>
      <c r="BF118" s="148"/>
      <c r="BG118" s="148"/>
      <c r="BH118" s="148"/>
      <c r="BI118" s="148"/>
      <c r="BJ118" s="148"/>
    </row>
    <row r="119" spans="1:62" x14ac:dyDescent="0.3">
      <c r="A119" s="140"/>
      <c r="B119" s="140"/>
      <c r="C119" s="140"/>
      <c r="D119" s="140"/>
      <c r="E119" s="141"/>
      <c r="F119" s="141"/>
      <c r="G119" s="167"/>
      <c r="H119" s="141"/>
      <c r="I119" s="141"/>
      <c r="J119" s="141"/>
      <c r="K119" s="141"/>
      <c r="L119" s="141"/>
      <c r="N119" s="143"/>
      <c r="Q119" s="167"/>
      <c r="R119" s="180"/>
      <c r="S119" s="181"/>
      <c r="T119" s="181"/>
      <c r="U119" s="180"/>
      <c r="V119" s="180"/>
      <c r="W119" s="167"/>
      <c r="X119" s="201"/>
      <c r="Y119" s="201"/>
      <c r="Z119" s="201"/>
      <c r="AA119" s="201"/>
      <c r="AB119" s="167"/>
      <c r="AC119" s="200"/>
      <c r="AD119" s="185"/>
      <c r="AE119" s="185"/>
      <c r="AF119" s="185"/>
      <c r="AG119" s="185"/>
      <c r="AH119" s="185"/>
      <c r="AI119" s="185"/>
      <c r="AJ119" s="186"/>
      <c r="AK119" s="167"/>
      <c r="AL119" s="148"/>
      <c r="AM119" s="148"/>
      <c r="AN119" s="148"/>
      <c r="AO119" s="148"/>
      <c r="AP119" s="148"/>
      <c r="AQ119" s="148"/>
      <c r="AR119" s="148"/>
      <c r="AS119" s="148"/>
      <c r="AT119" s="148"/>
      <c r="AU119" s="148"/>
      <c r="AV119" s="148"/>
      <c r="AW119" s="148"/>
      <c r="AX119" s="148"/>
      <c r="AY119" s="148"/>
      <c r="AZ119" s="148"/>
      <c r="BA119" s="148"/>
      <c r="BB119" s="148"/>
      <c r="BC119" s="148"/>
      <c r="BD119" s="148"/>
      <c r="BE119" s="148"/>
      <c r="BF119" s="148"/>
      <c r="BG119" s="148"/>
      <c r="BH119" s="148"/>
      <c r="BI119" s="148"/>
      <c r="BJ119" s="148"/>
    </row>
    <row r="120" spans="1:62" x14ac:dyDescent="0.3">
      <c r="A120" s="140"/>
      <c r="B120" s="140"/>
      <c r="C120" s="140"/>
      <c r="D120" s="140"/>
      <c r="E120" s="141"/>
      <c r="F120" s="141"/>
      <c r="G120" s="167"/>
      <c r="H120" s="141"/>
      <c r="I120" s="141"/>
      <c r="J120" s="141"/>
      <c r="K120" s="141"/>
      <c r="L120" s="141"/>
      <c r="N120" s="143"/>
      <c r="Q120" s="167"/>
      <c r="R120" s="180"/>
      <c r="S120" s="181"/>
      <c r="T120" s="181"/>
      <c r="U120" s="180"/>
      <c r="V120" s="180"/>
      <c r="W120" s="167"/>
      <c r="X120" s="201"/>
      <c r="Y120" s="201"/>
      <c r="Z120" s="201"/>
      <c r="AA120" s="201"/>
      <c r="AB120" s="167"/>
      <c r="AC120" s="200"/>
      <c r="AD120" s="185"/>
      <c r="AE120" s="185"/>
      <c r="AF120" s="185"/>
      <c r="AG120" s="185"/>
      <c r="AH120" s="185"/>
      <c r="AI120" s="185"/>
      <c r="AJ120" s="186"/>
      <c r="AK120" s="167"/>
      <c r="AL120" s="148"/>
      <c r="AM120" s="148"/>
      <c r="AN120" s="148"/>
      <c r="AO120" s="148"/>
      <c r="AP120" s="148"/>
      <c r="AQ120" s="148"/>
      <c r="AR120" s="148"/>
      <c r="AS120" s="148"/>
      <c r="AT120" s="148"/>
      <c r="AU120" s="148"/>
      <c r="AV120" s="148"/>
      <c r="AW120" s="148"/>
      <c r="AX120" s="148"/>
      <c r="AY120" s="148"/>
      <c r="AZ120" s="148"/>
      <c r="BA120" s="148"/>
      <c r="BB120" s="148"/>
      <c r="BC120" s="148"/>
      <c r="BD120" s="148"/>
      <c r="BE120" s="148"/>
      <c r="BF120" s="148"/>
      <c r="BG120" s="148"/>
      <c r="BH120" s="148"/>
      <c r="BI120" s="148"/>
      <c r="BJ120" s="148"/>
    </row>
    <row r="121" spans="1:62" x14ac:dyDescent="0.3">
      <c r="A121" s="140"/>
      <c r="B121" s="140"/>
      <c r="C121" s="140"/>
      <c r="D121" s="140"/>
      <c r="E121" s="141"/>
      <c r="F121" s="141"/>
      <c r="G121" s="167"/>
      <c r="H121" s="141"/>
      <c r="I121" s="141"/>
      <c r="J121" s="141"/>
      <c r="K121" s="141"/>
      <c r="L121" s="141"/>
      <c r="N121" s="143"/>
      <c r="Q121" s="167"/>
      <c r="R121" s="180"/>
      <c r="S121" s="181"/>
      <c r="T121" s="181"/>
      <c r="U121" s="180"/>
      <c r="V121" s="180"/>
      <c r="W121" s="167"/>
      <c r="X121" s="201"/>
      <c r="Y121" s="201"/>
      <c r="Z121" s="201"/>
      <c r="AA121" s="201"/>
      <c r="AB121" s="167"/>
      <c r="AC121" s="200"/>
      <c r="AD121" s="185"/>
      <c r="AE121" s="185"/>
      <c r="AF121" s="185"/>
      <c r="AG121" s="185"/>
      <c r="AH121" s="185"/>
      <c r="AI121" s="185"/>
      <c r="AJ121" s="186"/>
      <c r="AK121" s="167"/>
      <c r="AL121" s="148"/>
      <c r="AM121" s="148"/>
      <c r="AN121" s="148"/>
      <c r="AO121" s="148"/>
      <c r="AP121" s="148"/>
      <c r="AQ121" s="148"/>
      <c r="AR121" s="148"/>
      <c r="AS121" s="148"/>
      <c r="AT121" s="148"/>
      <c r="AU121" s="148"/>
      <c r="AV121" s="148"/>
      <c r="AW121" s="148"/>
      <c r="AX121" s="148"/>
      <c r="AY121" s="148"/>
      <c r="AZ121" s="148"/>
      <c r="BA121" s="148"/>
      <c r="BB121" s="148"/>
      <c r="BC121" s="148"/>
      <c r="BD121" s="148"/>
      <c r="BE121" s="148"/>
      <c r="BF121" s="148"/>
      <c r="BG121" s="148"/>
      <c r="BH121" s="148"/>
      <c r="BI121" s="148"/>
      <c r="BJ121" s="148"/>
    </row>
    <row r="122" spans="1:62" x14ac:dyDescent="0.3">
      <c r="A122" s="140"/>
      <c r="B122" s="140"/>
      <c r="C122" s="140"/>
      <c r="D122" s="140"/>
      <c r="E122" s="141"/>
      <c r="F122" s="141"/>
      <c r="G122" s="167"/>
      <c r="H122" s="141"/>
      <c r="I122" s="141"/>
      <c r="J122" s="141"/>
      <c r="K122" s="141"/>
      <c r="L122" s="141"/>
      <c r="N122" s="143"/>
      <c r="Q122" s="167"/>
      <c r="R122" s="180"/>
      <c r="S122" s="181"/>
      <c r="T122" s="181"/>
      <c r="U122" s="180"/>
      <c r="V122" s="180"/>
      <c r="W122" s="167"/>
      <c r="X122" s="201"/>
      <c r="Y122" s="201"/>
      <c r="Z122" s="201"/>
      <c r="AA122" s="201"/>
      <c r="AB122" s="167"/>
      <c r="AC122" s="200"/>
      <c r="AD122" s="185"/>
      <c r="AE122" s="185"/>
      <c r="AF122" s="185"/>
      <c r="AG122" s="185"/>
      <c r="AH122" s="185"/>
      <c r="AI122" s="185"/>
      <c r="AJ122" s="186"/>
      <c r="AK122" s="167"/>
      <c r="AL122" s="148"/>
      <c r="AM122" s="148"/>
      <c r="AN122" s="148"/>
      <c r="AO122" s="148"/>
      <c r="AP122" s="148"/>
      <c r="AQ122" s="148"/>
      <c r="AR122" s="148"/>
      <c r="AS122" s="148"/>
      <c r="AT122" s="148"/>
      <c r="AU122" s="148"/>
      <c r="AV122" s="148"/>
      <c r="AW122" s="148"/>
      <c r="AX122" s="148"/>
      <c r="AY122" s="148"/>
      <c r="AZ122" s="148"/>
      <c r="BA122" s="148"/>
      <c r="BB122" s="148"/>
      <c r="BC122" s="148"/>
      <c r="BD122" s="148"/>
      <c r="BE122" s="148"/>
      <c r="BF122" s="148"/>
      <c r="BG122" s="148"/>
      <c r="BH122" s="148"/>
      <c r="BI122" s="148"/>
      <c r="BJ122" s="148"/>
    </row>
    <row r="123" spans="1:62" x14ac:dyDescent="0.3">
      <c r="A123" s="140"/>
      <c r="B123" s="140"/>
      <c r="C123" s="140"/>
      <c r="D123" s="140"/>
      <c r="E123" s="141"/>
      <c r="F123" s="141"/>
      <c r="G123" s="167"/>
      <c r="H123" s="141"/>
      <c r="I123" s="141"/>
      <c r="J123" s="141"/>
      <c r="K123" s="141"/>
      <c r="L123" s="141"/>
      <c r="N123" s="143"/>
      <c r="Q123" s="167"/>
      <c r="R123" s="180"/>
      <c r="S123" s="181"/>
      <c r="T123" s="181"/>
      <c r="U123" s="180"/>
      <c r="V123" s="180"/>
      <c r="W123" s="167"/>
      <c r="X123" s="201"/>
      <c r="Y123" s="201"/>
      <c r="Z123" s="201"/>
      <c r="AA123" s="201"/>
      <c r="AB123" s="167"/>
      <c r="AC123" s="200"/>
      <c r="AD123" s="185"/>
      <c r="AE123" s="185"/>
      <c r="AF123" s="185"/>
      <c r="AG123" s="185"/>
      <c r="AH123" s="185"/>
      <c r="AI123" s="185"/>
      <c r="AJ123" s="186"/>
      <c r="AK123" s="167"/>
      <c r="AL123" s="148"/>
      <c r="AM123" s="148"/>
      <c r="AN123" s="148"/>
      <c r="AO123" s="148"/>
      <c r="AP123" s="148"/>
      <c r="AQ123" s="148"/>
      <c r="AR123" s="148"/>
      <c r="AS123" s="148"/>
      <c r="AT123" s="148"/>
      <c r="AU123" s="148"/>
      <c r="AV123" s="148"/>
      <c r="AW123" s="148"/>
      <c r="AX123" s="148"/>
      <c r="AY123" s="148"/>
      <c r="AZ123" s="148"/>
      <c r="BA123" s="148"/>
      <c r="BB123" s="148"/>
      <c r="BC123" s="148"/>
      <c r="BD123" s="148"/>
      <c r="BE123" s="148"/>
      <c r="BF123" s="148"/>
      <c r="BG123" s="148"/>
      <c r="BH123" s="148"/>
      <c r="BI123" s="148"/>
      <c r="BJ123" s="148"/>
    </row>
    <row r="124" spans="1:62" x14ac:dyDescent="0.3">
      <c r="A124" s="140"/>
      <c r="B124" s="140"/>
      <c r="C124" s="140"/>
      <c r="D124" s="140"/>
      <c r="E124" s="141"/>
      <c r="F124" s="141"/>
      <c r="G124" s="167"/>
      <c r="H124" s="141"/>
      <c r="I124" s="141"/>
      <c r="J124" s="141"/>
      <c r="K124" s="141"/>
      <c r="L124" s="141"/>
      <c r="N124" s="143"/>
      <c r="Q124" s="167"/>
      <c r="R124" s="180"/>
      <c r="S124" s="181"/>
      <c r="T124" s="181"/>
      <c r="U124" s="180"/>
      <c r="V124" s="180"/>
      <c r="W124" s="167"/>
      <c r="X124" s="201"/>
      <c r="Y124" s="201"/>
      <c r="Z124" s="201"/>
      <c r="AA124" s="201"/>
      <c r="AB124" s="167"/>
      <c r="AC124" s="200"/>
      <c r="AD124" s="185"/>
      <c r="AE124" s="185"/>
      <c r="AF124" s="185"/>
      <c r="AG124" s="185"/>
      <c r="AH124" s="185"/>
      <c r="AI124" s="185"/>
      <c r="AJ124" s="186"/>
      <c r="AK124" s="167"/>
      <c r="AL124" s="148"/>
      <c r="AM124" s="148"/>
      <c r="AN124" s="148"/>
      <c r="AO124" s="148"/>
      <c r="AP124" s="148"/>
      <c r="AQ124" s="148"/>
      <c r="AR124" s="148"/>
      <c r="AS124" s="148"/>
      <c r="AT124" s="148"/>
      <c r="AU124" s="148"/>
      <c r="AV124" s="148"/>
      <c r="AW124" s="148"/>
      <c r="AX124" s="148"/>
      <c r="AY124" s="148"/>
      <c r="AZ124" s="148"/>
      <c r="BA124" s="148"/>
      <c r="BB124" s="148"/>
      <c r="BC124" s="148"/>
      <c r="BD124" s="148"/>
      <c r="BE124" s="148"/>
      <c r="BF124" s="148"/>
      <c r="BG124" s="148"/>
      <c r="BH124" s="148"/>
      <c r="BI124" s="148"/>
      <c r="BJ124" s="148"/>
    </row>
    <row r="125" spans="1:62" x14ac:dyDescent="0.3">
      <c r="A125" s="140"/>
      <c r="B125" s="140"/>
      <c r="C125" s="140"/>
      <c r="D125" s="140"/>
      <c r="E125" s="141"/>
      <c r="F125" s="141"/>
      <c r="G125" s="167"/>
      <c r="H125" s="141"/>
      <c r="I125" s="141"/>
      <c r="J125" s="141"/>
      <c r="K125" s="141"/>
      <c r="L125" s="141"/>
      <c r="N125" s="143"/>
      <c r="Q125" s="167"/>
      <c r="R125" s="180"/>
      <c r="S125" s="181"/>
      <c r="T125" s="181"/>
      <c r="U125" s="180"/>
      <c r="V125" s="180"/>
      <c r="W125" s="167"/>
      <c r="X125" s="201"/>
      <c r="Y125" s="201"/>
      <c r="Z125" s="201"/>
      <c r="AA125" s="201"/>
      <c r="AB125" s="167"/>
      <c r="AC125" s="200"/>
      <c r="AD125" s="185"/>
      <c r="AE125" s="185"/>
      <c r="AF125" s="185"/>
      <c r="AG125" s="185"/>
      <c r="AH125" s="185"/>
      <c r="AI125" s="185"/>
      <c r="AJ125" s="186"/>
      <c r="AK125" s="167"/>
      <c r="AL125" s="148"/>
      <c r="AM125" s="148"/>
      <c r="AN125" s="148"/>
      <c r="AO125" s="148"/>
      <c r="AP125" s="148"/>
      <c r="AQ125" s="148"/>
      <c r="AR125" s="148"/>
      <c r="AS125" s="148"/>
      <c r="AT125" s="148"/>
      <c r="AU125" s="148"/>
      <c r="AV125" s="148"/>
      <c r="AW125" s="148"/>
      <c r="AX125" s="148"/>
      <c r="AY125" s="148"/>
      <c r="AZ125" s="148"/>
      <c r="BA125" s="148"/>
      <c r="BB125" s="148"/>
      <c r="BC125" s="148"/>
      <c r="BD125" s="148"/>
      <c r="BE125" s="148"/>
      <c r="BF125" s="148"/>
      <c r="BG125" s="148"/>
      <c r="BH125" s="148"/>
      <c r="BI125" s="148"/>
      <c r="BJ125" s="148"/>
    </row>
    <row r="126" spans="1:62" x14ac:dyDescent="0.3">
      <c r="A126" s="140"/>
      <c r="B126" s="140"/>
      <c r="C126" s="140"/>
      <c r="D126" s="140"/>
      <c r="E126" s="141"/>
      <c r="F126" s="141"/>
      <c r="G126" s="167"/>
      <c r="H126" s="141"/>
      <c r="I126" s="141"/>
      <c r="J126" s="141"/>
      <c r="K126" s="141"/>
      <c r="L126" s="141"/>
      <c r="N126" s="143"/>
      <c r="Q126" s="167"/>
      <c r="R126" s="180"/>
      <c r="S126" s="181"/>
      <c r="T126" s="181"/>
      <c r="U126" s="180"/>
      <c r="V126" s="180"/>
      <c r="W126" s="167"/>
      <c r="X126" s="201"/>
      <c r="Y126" s="201"/>
      <c r="Z126" s="201"/>
      <c r="AA126" s="201"/>
      <c r="AB126" s="167"/>
      <c r="AC126" s="200"/>
      <c r="AD126" s="185"/>
      <c r="AE126" s="185"/>
      <c r="AF126" s="185"/>
      <c r="AG126" s="185"/>
      <c r="AH126" s="185"/>
      <c r="AI126" s="185"/>
      <c r="AJ126" s="186"/>
      <c r="AK126" s="167"/>
      <c r="AL126" s="148"/>
      <c r="AM126" s="148"/>
      <c r="AN126" s="148"/>
      <c r="AO126" s="148"/>
      <c r="AP126" s="148"/>
      <c r="AQ126" s="148"/>
      <c r="AR126" s="148"/>
      <c r="AS126" s="148"/>
      <c r="AT126" s="148"/>
      <c r="AU126" s="148"/>
      <c r="AV126" s="148"/>
      <c r="AW126" s="148"/>
      <c r="AX126" s="148"/>
      <c r="AY126" s="148"/>
      <c r="AZ126" s="148"/>
      <c r="BA126" s="148"/>
      <c r="BB126" s="148"/>
      <c r="BC126" s="148"/>
      <c r="BD126" s="148"/>
      <c r="BE126" s="148"/>
      <c r="BF126" s="148"/>
      <c r="BG126" s="148"/>
      <c r="BH126" s="148"/>
      <c r="BI126" s="148"/>
      <c r="BJ126" s="148"/>
    </row>
    <row r="127" spans="1:62" x14ac:dyDescent="0.3">
      <c r="A127" s="140"/>
      <c r="B127" s="140"/>
      <c r="C127" s="140"/>
      <c r="D127" s="140"/>
      <c r="E127" s="141"/>
      <c r="F127" s="141"/>
      <c r="G127" s="167"/>
      <c r="H127" s="141"/>
      <c r="I127" s="141"/>
      <c r="J127" s="141"/>
      <c r="K127" s="141"/>
      <c r="L127" s="141"/>
      <c r="N127" s="143"/>
      <c r="Q127" s="167"/>
      <c r="R127" s="180"/>
      <c r="S127" s="181"/>
      <c r="T127" s="181"/>
      <c r="U127" s="180"/>
      <c r="V127" s="180"/>
      <c r="W127" s="167"/>
      <c r="X127" s="201"/>
      <c r="Y127" s="201"/>
      <c r="Z127" s="201"/>
      <c r="AA127" s="201"/>
      <c r="AB127" s="167"/>
      <c r="AC127" s="200"/>
      <c r="AD127" s="185"/>
      <c r="AE127" s="185"/>
      <c r="AF127" s="185"/>
      <c r="AG127" s="185"/>
      <c r="AH127" s="185"/>
      <c r="AI127" s="185"/>
      <c r="AJ127" s="186"/>
      <c r="AK127" s="167"/>
      <c r="AL127" s="148"/>
      <c r="AM127" s="148"/>
      <c r="AN127" s="148"/>
      <c r="AO127" s="148"/>
      <c r="AP127" s="148"/>
      <c r="AQ127" s="148"/>
      <c r="AR127" s="148"/>
      <c r="AS127" s="148"/>
      <c r="AT127" s="148"/>
      <c r="AU127" s="148"/>
      <c r="AV127" s="148"/>
      <c r="AW127" s="148"/>
      <c r="AX127" s="148"/>
      <c r="AY127" s="148"/>
      <c r="AZ127" s="148"/>
      <c r="BA127" s="148"/>
      <c r="BB127" s="148"/>
      <c r="BC127" s="148"/>
      <c r="BD127" s="148"/>
      <c r="BE127" s="148"/>
      <c r="BF127" s="148"/>
      <c r="BG127" s="148"/>
      <c r="BH127" s="148"/>
      <c r="BI127" s="148"/>
      <c r="BJ127" s="148"/>
    </row>
    <row r="128" spans="1:62" x14ac:dyDescent="0.3">
      <c r="A128" s="140"/>
      <c r="B128" s="140"/>
      <c r="C128" s="140"/>
      <c r="D128" s="140"/>
      <c r="E128" s="141"/>
      <c r="F128" s="141"/>
      <c r="G128" s="167"/>
      <c r="H128" s="141"/>
      <c r="I128" s="141"/>
      <c r="J128" s="141"/>
      <c r="K128" s="141"/>
      <c r="L128" s="141"/>
      <c r="N128" s="143"/>
      <c r="Q128" s="167"/>
      <c r="R128" s="180"/>
      <c r="S128" s="181"/>
      <c r="T128" s="181"/>
      <c r="U128" s="180"/>
      <c r="V128" s="180"/>
      <c r="W128" s="167"/>
      <c r="X128" s="201"/>
      <c r="Y128" s="201"/>
      <c r="Z128" s="201"/>
      <c r="AA128" s="201"/>
      <c r="AB128" s="167"/>
      <c r="AC128" s="200"/>
      <c r="AD128" s="185"/>
      <c r="AE128" s="185"/>
      <c r="AF128" s="185"/>
      <c r="AG128" s="185"/>
      <c r="AH128" s="185"/>
      <c r="AI128" s="185"/>
      <c r="AJ128" s="186"/>
      <c r="AK128" s="167"/>
      <c r="AL128" s="148"/>
      <c r="AM128" s="148"/>
      <c r="AN128" s="148"/>
      <c r="AO128" s="148"/>
      <c r="AP128" s="148"/>
      <c r="AQ128" s="148"/>
      <c r="AR128" s="148"/>
      <c r="AS128" s="148"/>
      <c r="AT128" s="148"/>
      <c r="AU128" s="148"/>
      <c r="AV128" s="148"/>
      <c r="AW128" s="148"/>
      <c r="AX128" s="148"/>
      <c r="AY128" s="148"/>
      <c r="AZ128" s="148"/>
      <c r="BA128" s="148"/>
      <c r="BB128" s="148"/>
      <c r="BC128" s="148"/>
      <c r="BD128" s="148"/>
      <c r="BE128" s="148"/>
      <c r="BF128" s="148"/>
      <c r="BG128" s="148"/>
      <c r="BH128" s="148"/>
      <c r="BI128" s="148"/>
      <c r="BJ128" s="148"/>
    </row>
    <row r="129" spans="1:62" x14ac:dyDescent="0.3">
      <c r="A129" s="140"/>
      <c r="B129" s="140"/>
      <c r="C129" s="140"/>
      <c r="D129" s="140"/>
      <c r="E129" s="141"/>
      <c r="F129" s="141"/>
      <c r="G129" s="167"/>
      <c r="H129" s="141"/>
      <c r="I129" s="141"/>
      <c r="J129" s="141"/>
      <c r="K129" s="141"/>
      <c r="L129" s="141"/>
      <c r="N129" s="143"/>
      <c r="Q129" s="167"/>
      <c r="R129" s="180"/>
      <c r="S129" s="181"/>
      <c r="T129" s="181"/>
      <c r="U129" s="180"/>
      <c r="V129" s="180"/>
      <c r="W129" s="167"/>
      <c r="X129" s="201"/>
      <c r="Y129" s="201"/>
      <c r="Z129" s="201"/>
      <c r="AA129" s="201"/>
      <c r="AB129" s="167"/>
      <c r="AC129" s="200"/>
      <c r="AD129" s="185"/>
      <c r="AE129" s="185"/>
      <c r="AF129" s="185"/>
      <c r="AG129" s="185"/>
      <c r="AH129" s="185"/>
      <c r="AI129" s="185"/>
      <c r="AJ129" s="186"/>
      <c r="AK129" s="167"/>
      <c r="AL129" s="148"/>
      <c r="AM129" s="148"/>
      <c r="AN129" s="148"/>
      <c r="AO129" s="148"/>
      <c r="AP129" s="148"/>
      <c r="AQ129" s="148"/>
      <c r="AR129" s="148"/>
      <c r="AS129" s="148"/>
      <c r="AT129" s="148"/>
      <c r="AU129" s="148"/>
      <c r="AV129" s="148"/>
      <c r="AW129" s="148"/>
      <c r="AX129" s="148"/>
      <c r="AY129" s="148"/>
      <c r="AZ129" s="148"/>
      <c r="BA129" s="148"/>
      <c r="BB129" s="148"/>
      <c r="BC129" s="148"/>
      <c r="BD129" s="148"/>
      <c r="BE129" s="148"/>
      <c r="BF129" s="148"/>
      <c r="BG129" s="148"/>
      <c r="BH129" s="148"/>
      <c r="BI129" s="148"/>
      <c r="BJ129" s="148"/>
    </row>
    <row r="130" spans="1:62" x14ac:dyDescent="0.3">
      <c r="A130" s="140"/>
      <c r="B130" s="140"/>
      <c r="C130" s="140"/>
      <c r="D130" s="140"/>
      <c r="E130" s="141"/>
      <c r="F130" s="141"/>
      <c r="G130" s="167"/>
      <c r="H130" s="141"/>
      <c r="I130" s="141"/>
      <c r="J130" s="141"/>
      <c r="K130" s="141"/>
      <c r="L130" s="141"/>
      <c r="N130" s="143"/>
      <c r="Q130" s="167"/>
      <c r="R130" s="180"/>
      <c r="S130" s="181"/>
      <c r="T130" s="181"/>
      <c r="U130" s="180"/>
      <c r="V130" s="180"/>
      <c r="W130" s="167"/>
      <c r="X130" s="201"/>
      <c r="Y130" s="201"/>
      <c r="Z130" s="201"/>
      <c r="AA130" s="201"/>
      <c r="AB130" s="167"/>
      <c r="AC130" s="200"/>
      <c r="AD130" s="185"/>
      <c r="AE130" s="185"/>
      <c r="AF130" s="185"/>
      <c r="AG130" s="185"/>
      <c r="AH130" s="185"/>
      <c r="AI130" s="185"/>
      <c r="AJ130" s="186"/>
      <c r="AK130" s="167"/>
      <c r="AL130" s="148"/>
      <c r="AM130" s="148"/>
      <c r="AN130" s="148"/>
      <c r="AO130" s="148"/>
      <c r="AP130" s="148"/>
      <c r="AQ130" s="148"/>
      <c r="AR130" s="148"/>
      <c r="AS130" s="148"/>
      <c r="AT130" s="148"/>
      <c r="AU130" s="148"/>
      <c r="AV130" s="148"/>
      <c r="AW130" s="148"/>
      <c r="AX130" s="148"/>
      <c r="AY130" s="148"/>
      <c r="AZ130" s="148"/>
      <c r="BA130" s="148"/>
      <c r="BB130" s="148"/>
      <c r="BC130" s="148"/>
      <c r="BD130" s="148"/>
      <c r="BE130" s="148"/>
      <c r="BF130" s="148"/>
      <c r="BG130" s="148"/>
      <c r="BH130" s="148"/>
      <c r="BI130" s="148"/>
      <c r="BJ130" s="148"/>
    </row>
    <row r="131" spans="1:62" x14ac:dyDescent="0.3">
      <c r="A131" s="140"/>
      <c r="B131" s="140"/>
      <c r="C131" s="140"/>
      <c r="D131" s="140"/>
      <c r="E131" s="141"/>
      <c r="F131" s="141"/>
      <c r="G131" s="167"/>
      <c r="H131" s="141"/>
      <c r="I131" s="141"/>
      <c r="J131" s="141"/>
      <c r="K131" s="141"/>
      <c r="L131" s="141"/>
      <c r="N131" s="143"/>
      <c r="Q131" s="167"/>
      <c r="R131" s="180"/>
      <c r="S131" s="181"/>
      <c r="T131" s="181"/>
      <c r="U131" s="180"/>
      <c r="V131" s="180"/>
      <c r="W131" s="167"/>
      <c r="X131" s="201"/>
      <c r="Y131" s="201"/>
      <c r="Z131" s="201"/>
      <c r="AA131" s="201"/>
      <c r="AB131" s="167"/>
      <c r="AC131" s="200"/>
      <c r="AD131" s="185"/>
      <c r="AE131" s="185"/>
      <c r="AF131" s="185"/>
      <c r="AG131" s="185"/>
      <c r="AH131" s="185"/>
      <c r="AI131" s="185"/>
      <c r="AJ131" s="186"/>
      <c r="AK131" s="167"/>
      <c r="AL131" s="148"/>
      <c r="AM131" s="148"/>
      <c r="AN131" s="148"/>
      <c r="AO131" s="148"/>
      <c r="AP131" s="148"/>
      <c r="AQ131" s="148"/>
      <c r="AR131" s="148"/>
      <c r="AS131" s="148"/>
      <c r="AT131" s="148"/>
      <c r="AU131" s="148"/>
      <c r="AV131" s="148"/>
      <c r="AW131" s="148"/>
      <c r="AX131" s="148"/>
      <c r="AY131" s="148"/>
      <c r="AZ131" s="148"/>
      <c r="BA131" s="148"/>
      <c r="BB131" s="148"/>
      <c r="BC131" s="148"/>
      <c r="BD131" s="148"/>
      <c r="BE131" s="148"/>
      <c r="BF131" s="148"/>
      <c r="BG131" s="148"/>
      <c r="BH131" s="148"/>
      <c r="BI131" s="148"/>
      <c r="BJ131" s="148"/>
    </row>
    <row r="132" spans="1:62" x14ac:dyDescent="0.3">
      <c r="A132" s="140"/>
      <c r="B132" s="140"/>
      <c r="C132" s="140"/>
      <c r="D132" s="140"/>
      <c r="E132" s="141"/>
      <c r="F132" s="141"/>
      <c r="G132" s="167"/>
      <c r="H132" s="141"/>
      <c r="I132" s="141"/>
      <c r="J132" s="141"/>
      <c r="K132" s="141"/>
      <c r="L132" s="141"/>
      <c r="N132" s="143"/>
      <c r="Q132" s="167"/>
      <c r="R132" s="180"/>
      <c r="S132" s="181"/>
      <c r="T132" s="181"/>
      <c r="U132" s="180"/>
      <c r="V132" s="180"/>
      <c r="W132" s="167"/>
      <c r="X132" s="201"/>
      <c r="Y132" s="201"/>
      <c r="Z132" s="201"/>
      <c r="AA132" s="201"/>
      <c r="AB132" s="167"/>
      <c r="AC132" s="200"/>
      <c r="AD132" s="185"/>
      <c r="AE132" s="185"/>
      <c r="AF132" s="185"/>
      <c r="AG132" s="185"/>
      <c r="AH132" s="185"/>
      <c r="AI132" s="185"/>
      <c r="AJ132" s="186"/>
      <c r="AK132" s="167"/>
      <c r="AL132" s="148"/>
      <c r="AM132" s="148"/>
      <c r="AN132" s="148"/>
      <c r="AO132" s="148"/>
      <c r="AP132" s="148"/>
      <c r="AQ132" s="148"/>
      <c r="AR132" s="148"/>
      <c r="AS132" s="148"/>
      <c r="AT132" s="148"/>
      <c r="AU132" s="148"/>
      <c r="AV132" s="148"/>
      <c r="AW132" s="148"/>
      <c r="AX132" s="148"/>
      <c r="AY132" s="148"/>
      <c r="AZ132" s="148"/>
      <c r="BA132" s="148"/>
      <c r="BB132" s="148"/>
      <c r="BC132" s="148"/>
      <c r="BD132" s="148"/>
      <c r="BE132" s="148"/>
      <c r="BF132" s="148"/>
      <c r="BG132" s="148"/>
      <c r="BH132" s="148"/>
      <c r="BI132" s="148"/>
      <c r="BJ132" s="148"/>
    </row>
    <row r="133" spans="1:62" x14ac:dyDescent="0.3">
      <c r="A133" s="140"/>
      <c r="B133" s="140"/>
      <c r="C133" s="140"/>
      <c r="D133" s="140"/>
      <c r="E133" s="141"/>
      <c r="F133" s="141"/>
      <c r="G133" s="167"/>
      <c r="H133" s="141"/>
      <c r="I133" s="141"/>
      <c r="J133" s="141"/>
      <c r="K133" s="141"/>
      <c r="L133" s="141"/>
      <c r="N133" s="143"/>
      <c r="Q133" s="167"/>
      <c r="R133" s="180"/>
      <c r="S133" s="181"/>
      <c r="T133" s="181"/>
      <c r="U133" s="180"/>
      <c r="V133" s="180"/>
      <c r="W133" s="167"/>
      <c r="X133" s="201"/>
      <c r="Y133" s="201"/>
      <c r="Z133" s="201"/>
      <c r="AA133" s="201"/>
      <c r="AB133" s="167"/>
      <c r="AC133" s="200"/>
      <c r="AD133" s="185"/>
      <c r="AE133" s="185"/>
      <c r="AF133" s="185"/>
      <c r="AG133" s="185"/>
      <c r="AH133" s="185"/>
      <c r="AI133" s="185"/>
      <c r="AJ133" s="186"/>
      <c r="AK133" s="167"/>
      <c r="AL133" s="148"/>
      <c r="AM133" s="148"/>
      <c r="AN133" s="148"/>
      <c r="AO133" s="148"/>
      <c r="AP133" s="148"/>
      <c r="AQ133" s="148"/>
      <c r="AR133" s="148"/>
      <c r="AS133" s="148"/>
      <c r="AT133" s="148"/>
      <c r="AU133" s="148"/>
      <c r="AV133" s="148"/>
      <c r="AW133" s="148"/>
      <c r="AX133" s="148"/>
      <c r="AY133" s="148"/>
      <c r="AZ133" s="148"/>
      <c r="BA133" s="148"/>
      <c r="BB133" s="148"/>
      <c r="BC133" s="148"/>
      <c r="BD133" s="148"/>
      <c r="BE133" s="148"/>
      <c r="BF133" s="148"/>
      <c r="BG133" s="148"/>
      <c r="BH133" s="148"/>
      <c r="BI133" s="148"/>
      <c r="BJ133" s="148"/>
    </row>
    <row r="134" spans="1:62" x14ac:dyDescent="0.3">
      <c r="A134" s="140"/>
      <c r="B134" s="140"/>
      <c r="C134" s="140"/>
      <c r="D134" s="140"/>
      <c r="E134" s="141"/>
      <c r="F134" s="141"/>
      <c r="G134" s="167"/>
      <c r="H134" s="141"/>
      <c r="I134" s="141"/>
      <c r="J134" s="141"/>
      <c r="K134" s="141"/>
      <c r="L134" s="141"/>
      <c r="N134" s="143"/>
      <c r="Q134" s="167"/>
      <c r="R134" s="180"/>
      <c r="S134" s="181"/>
      <c r="T134" s="181"/>
      <c r="U134" s="180"/>
      <c r="V134" s="180"/>
      <c r="W134" s="167"/>
      <c r="X134" s="201"/>
      <c r="Y134" s="201"/>
      <c r="Z134" s="201"/>
      <c r="AA134" s="201"/>
      <c r="AB134" s="167"/>
      <c r="AC134" s="200"/>
      <c r="AD134" s="185"/>
      <c r="AE134" s="185"/>
      <c r="AF134" s="185"/>
      <c r="AG134" s="185"/>
      <c r="AH134" s="185"/>
      <c r="AI134" s="185"/>
      <c r="AJ134" s="186"/>
      <c r="AK134" s="167"/>
      <c r="AL134" s="148"/>
      <c r="AM134" s="148"/>
      <c r="AN134" s="148"/>
      <c r="AO134" s="148"/>
      <c r="AP134" s="148"/>
      <c r="AQ134" s="148"/>
      <c r="AR134" s="148"/>
      <c r="AS134" s="148"/>
      <c r="AT134" s="148"/>
      <c r="AU134" s="148"/>
      <c r="AV134" s="148"/>
      <c r="AW134" s="148"/>
      <c r="AX134" s="148"/>
      <c r="AY134" s="148"/>
      <c r="AZ134" s="148"/>
      <c r="BA134" s="148"/>
      <c r="BB134" s="148"/>
      <c r="BC134" s="148"/>
      <c r="BD134" s="148"/>
      <c r="BE134" s="148"/>
      <c r="BF134" s="148"/>
      <c r="BG134" s="148"/>
      <c r="BH134" s="148"/>
      <c r="BI134" s="148"/>
      <c r="BJ134" s="148"/>
    </row>
    <row r="135" spans="1:62" x14ac:dyDescent="0.3">
      <c r="A135" s="140"/>
      <c r="B135" s="140"/>
      <c r="C135" s="140"/>
      <c r="D135" s="140"/>
      <c r="E135" s="141"/>
      <c r="F135" s="141"/>
      <c r="G135" s="167"/>
      <c r="H135" s="141"/>
      <c r="I135" s="141"/>
      <c r="J135" s="141"/>
      <c r="K135" s="141"/>
      <c r="L135" s="141"/>
      <c r="N135" s="143"/>
      <c r="Q135" s="167"/>
      <c r="R135" s="180"/>
      <c r="S135" s="181"/>
      <c r="T135" s="181"/>
      <c r="U135" s="180"/>
      <c r="V135" s="180"/>
      <c r="W135" s="167"/>
      <c r="X135" s="201"/>
      <c r="Y135" s="201"/>
      <c r="Z135" s="201"/>
      <c r="AA135" s="201"/>
      <c r="AB135" s="167"/>
      <c r="AC135" s="200"/>
      <c r="AD135" s="185"/>
      <c r="AE135" s="185"/>
      <c r="AF135" s="185"/>
      <c r="AG135" s="185"/>
      <c r="AH135" s="185"/>
      <c r="AI135" s="185"/>
      <c r="AJ135" s="186"/>
      <c r="AK135" s="167"/>
      <c r="AL135" s="148"/>
      <c r="AM135" s="148"/>
      <c r="AN135" s="148"/>
      <c r="AO135" s="148"/>
      <c r="AP135" s="148"/>
      <c r="AQ135" s="148"/>
      <c r="AR135" s="148"/>
      <c r="AS135" s="148"/>
      <c r="AT135" s="148"/>
      <c r="AU135" s="148"/>
      <c r="AV135" s="148"/>
      <c r="AW135" s="148"/>
      <c r="AX135" s="148"/>
      <c r="AY135" s="148"/>
      <c r="AZ135" s="148"/>
      <c r="BA135" s="148"/>
      <c r="BB135" s="148"/>
      <c r="BC135" s="148"/>
      <c r="BD135" s="148"/>
      <c r="BE135" s="148"/>
      <c r="BF135" s="148"/>
      <c r="BG135" s="148"/>
      <c r="BH135" s="148"/>
      <c r="BI135" s="148"/>
      <c r="BJ135" s="148"/>
    </row>
    <row r="136" spans="1:62" x14ac:dyDescent="0.3">
      <c r="A136" s="140"/>
      <c r="B136" s="140"/>
      <c r="C136" s="140"/>
      <c r="D136" s="140"/>
      <c r="E136" s="141"/>
      <c r="F136" s="141"/>
      <c r="G136" s="167"/>
      <c r="H136" s="141"/>
      <c r="I136" s="141"/>
      <c r="J136" s="141"/>
      <c r="K136" s="141"/>
      <c r="L136" s="141"/>
      <c r="N136" s="143"/>
      <c r="Q136" s="167"/>
      <c r="R136" s="180"/>
      <c r="S136" s="181"/>
      <c r="T136" s="181"/>
      <c r="U136" s="180"/>
      <c r="V136" s="180"/>
      <c r="W136" s="167"/>
      <c r="X136" s="201"/>
      <c r="Y136" s="201"/>
      <c r="Z136" s="201"/>
      <c r="AA136" s="201"/>
      <c r="AB136" s="167"/>
      <c r="AC136" s="200"/>
      <c r="AD136" s="185"/>
      <c r="AE136" s="185"/>
      <c r="AF136" s="185"/>
      <c r="AG136" s="185"/>
      <c r="AH136" s="185"/>
      <c r="AI136" s="185"/>
      <c r="AJ136" s="186"/>
      <c r="AK136" s="167"/>
      <c r="AL136" s="148"/>
      <c r="AM136" s="148"/>
      <c r="AN136" s="148"/>
      <c r="AO136" s="148"/>
      <c r="AP136" s="148"/>
      <c r="AQ136" s="148"/>
      <c r="AR136" s="148"/>
      <c r="AS136" s="148"/>
      <c r="AT136" s="148"/>
      <c r="AU136" s="148"/>
      <c r="AV136" s="148"/>
      <c r="AW136" s="148"/>
      <c r="AX136" s="148"/>
      <c r="AY136" s="148"/>
      <c r="AZ136" s="148"/>
      <c r="BA136" s="148"/>
      <c r="BB136" s="148"/>
      <c r="BC136" s="148"/>
      <c r="BD136" s="148"/>
      <c r="BE136" s="148"/>
      <c r="BF136" s="148"/>
      <c r="BG136" s="148"/>
      <c r="BH136" s="148"/>
      <c r="BI136" s="148"/>
      <c r="BJ136" s="148"/>
    </row>
    <row r="137" spans="1:62" x14ac:dyDescent="0.3">
      <c r="A137" s="140"/>
      <c r="B137" s="140"/>
      <c r="C137" s="140"/>
      <c r="D137" s="140"/>
      <c r="E137" s="141"/>
      <c r="F137" s="141"/>
      <c r="G137" s="167"/>
      <c r="H137" s="141"/>
      <c r="I137" s="141"/>
      <c r="J137" s="141"/>
      <c r="K137" s="141"/>
      <c r="L137" s="141"/>
      <c r="N137" s="143"/>
      <c r="Q137" s="167"/>
      <c r="R137" s="180"/>
      <c r="S137" s="181"/>
      <c r="T137" s="181"/>
      <c r="U137" s="180"/>
      <c r="V137" s="180"/>
      <c r="W137" s="167"/>
      <c r="X137" s="201"/>
      <c r="Y137" s="201"/>
      <c r="Z137" s="201"/>
      <c r="AA137" s="201"/>
      <c r="AB137" s="167"/>
      <c r="AC137" s="200"/>
      <c r="AD137" s="185"/>
      <c r="AE137" s="185"/>
      <c r="AF137" s="185"/>
      <c r="AG137" s="185"/>
      <c r="AH137" s="185"/>
      <c r="AI137" s="185"/>
      <c r="AJ137" s="186"/>
      <c r="AK137" s="167"/>
      <c r="AL137" s="148"/>
      <c r="AM137" s="148"/>
      <c r="AN137" s="148"/>
      <c r="AO137" s="148"/>
      <c r="AP137" s="148"/>
      <c r="AQ137" s="148"/>
      <c r="AR137" s="148"/>
      <c r="AS137" s="148"/>
      <c r="AT137" s="148"/>
      <c r="AU137" s="148"/>
      <c r="AV137" s="148"/>
      <c r="AW137" s="148"/>
      <c r="AX137" s="148"/>
      <c r="AY137" s="148"/>
      <c r="AZ137" s="148"/>
      <c r="BA137" s="148"/>
      <c r="BB137" s="148"/>
      <c r="BC137" s="148"/>
      <c r="BD137" s="148"/>
      <c r="BE137" s="148"/>
      <c r="BF137" s="148"/>
      <c r="BG137" s="148"/>
      <c r="BH137" s="148"/>
      <c r="BI137" s="148"/>
      <c r="BJ137" s="148"/>
    </row>
    <row r="138" spans="1:62" x14ac:dyDescent="0.3">
      <c r="A138" s="140"/>
      <c r="B138" s="140"/>
      <c r="C138" s="140"/>
      <c r="D138" s="140"/>
      <c r="E138" s="141"/>
      <c r="F138" s="141"/>
      <c r="G138" s="167"/>
      <c r="H138" s="141"/>
      <c r="I138" s="141"/>
      <c r="J138" s="141"/>
      <c r="K138" s="141"/>
      <c r="L138" s="141"/>
      <c r="N138" s="143"/>
      <c r="Q138" s="167"/>
      <c r="R138" s="180"/>
      <c r="S138" s="181"/>
      <c r="T138" s="181"/>
      <c r="U138" s="180"/>
      <c r="V138" s="180"/>
      <c r="W138" s="167"/>
      <c r="X138" s="201"/>
      <c r="Y138" s="201"/>
      <c r="Z138" s="201"/>
      <c r="AA138" s="201"/>
      <c r="AB138" s="167"/>
      <c r="AC138" s="200"/>
      <c r="AD138" s="185"/>
      <c r="AE138" s="185"/>
      <c r="AF138" s="185"/>
      <c r="AG138" s="185"/>
      <c r="AH138" s="185"/>
      <c r="AI138" s="185"/>
      <c r="AJ138" s="186"/>
      <c r="AK138" s="167"/>
      <c r="AL138" s="148"/>
      <c r="AM138" s="148"/>
      <c r="AN138" s="148"/>
      <c r="AO138" s="148"/>
      <c r="AP138" s="148"/>
      <c r="AQ138" s="148"/>
      <c r="AR138" s="148"/>
      <c r="AS138" s="148"/>
      <c r="AT138" s="148"/>
      <c r="AU138" s="148"/>
      <c r="AV138" s="148"/>
      <c r="AW138" s="148"/>
      <c r="AX138" s="148"/>
      <c r="AY138" s="148"/>
      <c r="AZ138" s="148"/>
      <c r="BA138" s="148"/>
      <c r="BB138" s="148"/>
      <c r="BC138" s="148"/>
      <c r="BD138" s="148"/>
      <c r="BE138" s="148"/>
      <c r="BF138" s="148"/>
      <c r="BG138" s="148"/>
      <c r="BH138" s="148"/>
      <c r="BI138" s="148"/>
      <c r="BJ138" s="148"/>
    </row>
    <row r="139" spans="1:62" x14ac:dyDescent="0.3">
      <c r="A139" s="140"/>
      <c r="B139" s="140"/>
      <c r="C139" s="140"/>
      <c r="D139" s="140"/>
      <c r="E139" s="141"/>
      <c r="F139" s="141"/>
      <c r="G139" s="167"/>
      <c r="H139" s="141"/>
      <c r="I139" s="141"/>
      <c r="J139" s="141"/>
      <c r="K139" s="141"/>
      <c r="L139" s="141"/>
      <c r="N139" s="143"/>
      <c r="Q139" s="167"/>
      <c r="R139" s="180"/>
      <c r="S139" s="181"/>
      <c r="T139" s="181"/>
      <c r="U139" s="180"/>
      <c r="V139" s="180"/>
      <c r="W139" s="167"/>
      <c r="X139" s="201"/>
      <c r="Y139" s="201"/>
      <c r="Z139" s="201"/>
      <c r="AA139" s="201"/>
      <c r="AB139" s="167"/>
      <c r="AC139" s="200"/>
      <c r="AD139" s="185"/>
      <c r="AE139" s="185"/>
      <c r="AF139" s="185"/>
      <c r="AG139" s="185"/>
      <c r="AH139" s="185"/>
      <c r="AI139" s="185"/>
      <c r="AJ139" s="186"/>
      <c r="AK139" s="167"/>
      <c r="AL139" s="148"/>
      <c r="AM139" s="148"/>
      <c r="AN139" s="148"/>
      <c r="AO139" s="148"/>
      <c r="AP139" s="148"/>
      <c r="AQ139" s="148"/>
      <c r="AR139" s="148"/>
      <c r="AS139" s="148"/>
      <c r="AT139" s="148"/>
      <c r="AU139" s="148"/>
      <c r="AV139" s="148"/>
      <c r="AW139" s="148"/>
      <c r="AX139" s="148"/>
      <c r="AY139" s="148"/>
      <c r="AZ139" s="148"/>
      <c r="BA139" s="148"/>
      <c r="BB139" s="148"/>
      <c r="BC139" s="148"/>
      <c r="BD139" s="148"/>
      <c r="BE139" s="148"/>
      <c r="BF139" s="148"/>
      <c r="BG139" s="148"/>
      <c r="BH139" s="148"/>
      <c r="BI139" s="148"/>
      <c r="BJ139" s="148"/>
    </row>
    <row r="140" spans="1:62" x14ac:dyDescent="0.3">
      <c r="A140" s="140"/>
      <c r="B140" s="140"/>
      <c r="C140" s="140"/>
      <c r="D140" s="140"/>
      <c r="E140" s="141"/>
      <c r="F140" s="141"/>
      <c r="G140" s="167"/>
      <c r="H140" s="141"/>
      <c r="I140" s="141"/>
      <c r="J140" s="141"/>
      <c r="K140" s="141"/>
      <c r="L140" s="141"/>
      <c r="N140" s="143"/>
      <c r="Q140" s="167"/>
      <c r="R140" s="180"/>
      <c r="S140" s="181"/>
      <c r="T140" s="181"/>
      <c r="U140" s="180"/>
      <c r="V140" s="180"/>
      <c r="W140" s="167"/>
      <c r="X140" s="201"/>
      <c r="Y140" s="201"/>
      <c r="Z140" s="201"/>
      <c r="AA140" s="201"/>
      <c r="AB140" s="167"/>
      <c r="AC140" s="200"/>
      <c r="AD140" s="185"/>
      <c r="AE140" s="185"/>
      <c r="AF140" s="185"/>
      <c r="AG140" s="185"/>
      <c r="AH140" s="185"/>
      <c r="AI140" s="185"/>
      <c r="AJ140" s="186"/>
      <c r="AK140" s="167"/>
      <c r="AL140" s="148"/>
      <c r="AM140" s="148"/>
      <c r="AN140" s="148"/>
      <c r="AO140" s="148"/>
      <c r="AP140" s="148"/>
      <c r="AQ140" s="148"/>
      <c r="AR140" s="148"/>
      <c r="AS140" s="148"/>
      <c r="AT140" s="148"/>
      <c r="AU140" s="148"/>
      <c r="AV140" s="148"/>
      <c r="AW140" s="148"/>
      <c r="AX140" s="148"/>
      <c r="AY140" s="148"/>
      <c r="AZ140" s="148"/>
      <c r="BA140" s="148"/>
      <c r="BB140" s="148"/>
      <c r="BC140" s="148"/>
      <c r="BD140" s="148"/>
      <c r="BE140" s="148"/>
      <c r="BF140" s="148"/>
      <c r="BG140" s="148"/>
      <c r="BH140" s="148"/>
      <c r="BI140" s="148"/>
      <c r="BJ140" s="148"/>
    </row>
    <row r="141" spans="1:62" x14ac:dyDescent="0.3">
      <c r="A141" s="140"/>
      <c r="B141" s="140"/>
      <c r="C141" s="140"/>
      <c r="D141" s="140"/>
      <c r="E141" s="141"/>
      <c r="F141" s="141"/>
      <c r="G141" s="167"/>
      <c r="H141" s="141"/>
      <c r="I141" s="141"/>
      <c r="J141" s="141"/>
      <c r="K141" s="141"/>
      <c r="L141" s="141"/>
      <c r="N141" s="143"/>
      <c r="Q141" s="167"/>
      <c r="R141" s="180"/>
      <c r="S141" s="181"/>
      <c r="T141" s="181"/>
      <c r="U141" s="180"/>
      <c r="V141" s="180"/>
      <c r="W141" s="167"/>
      <c r="X141" s="201"/>
      <c r="Y141" s="201"/>
      <c r="Z141" s="201"/>
      <c r="AA141" s="201"/>
      <c r="AB141" s="167"/>
      <c r="AC141" s="200"/>
      <c r="AD141" s="185"/>
      <c r="AE141" s="185"/>
      <c r="AF141" s="185"/>
      <c r="AG141" s="185"/>
      <c r="AH141" s="185"/>
      <c r="AI141" s="185"/>
      <c r="AJ141" s="186"/>
      <c r="AK141" s="167"/>
      <c r="AL141" s="148"/>
      <c r="AM141" s="148"/>
      <c r="AN141" s="148"/>
      <c r="AO141" s="148"/>
      <c r="AP141" s="148"/>
      <c r="AQ141" s="148"/>
      <c r="AR141" s="148"/>
      <c r="AS141" s="148"/>
      <c r="AT141" s="148"/>
      <c r="AU141" s="148"/>
      <c r="AV141" s="148"/>
      <c r="AW141" s="148"/>
      <c r="AX141" s="148"/>
      <c r="AY141" s="148"/>
      <c r="AZ141" s="148"/>
      <c r="BA141" s="148"/>
      <c r="BB141" s="148"/>
      <c r="BC141" s="148"/>
      <c r="BD141" s="148"/>
      <c r="BE141" s="148"/>
      <c r="BF141" s="148"/>
      <c r="BG141" s="148"/>
      <c r="BH141" s="148"/>
      <c r="BI141" s="148"/>
      <c r="BJ141" s="148"/>
    </row>
    <row r="142" spans="1:62" x14ac:dyDescent="0.3">
      <c r="A142" s="140"/>
      <c r="B142" s="140"/>
      <c r="C142" s="140"/>
      <c r="D142" s="140"/>
      <c r="E142" s="141"/>
      <c r="F142" s="141"/>
      <c r="G142" s="167"/>
      <c r="H142" s="141"/>
      <c r="I142" s="141"/>
      <c r="J142" s="141"/>
      <c r="K142" s="141"/>
      <c r="L142" s="141"/>
      <c r="N142" s="143"/>
      <c r="Q142" s="167"/>
      <c r="R142" s="180"/>
      <c r="S142" s="181"/>
      <c r="T142" s="181"/>
      <c r="U142" s="180"/>
      <c r="V142" s="180"/>
      <c r="W142" s="167"/>
      <c r="X142" s="201"/>
      <c r="Y142" s="201"/>
      <c r="Z142" s="201"/>
      <c r="AA142" s="201"/>
      <c r="AB142" s="167"/>
      <c r="AC142" s="200"/>
      <c r="AD142" s="185"/>
      <c r="AE142" s="185"/>
      <c r="AF142" s="185"/>
      <c r="AG142" s="185"/>
      <c r="AH142" s="185"/>
      <c r="AI142" s="185"/>
      <c r="AJ142" s="186"/>
      <c r="AK142" s="167"/>
      <c r="AL142" s="148"/>
      <c r="AM142" s="148"/>
      <c r="AN142" s="148"/>
      <c r="AO142" s="148"/>
      <c r="AP142" s="148"/>
      <c r="AQ142" s="148"/>
      <c r="AR142" s="148"/>
      <c r="AS142" s="148"/>
      <c r="AT142" s="148"/>
      <c r="AU142" s="148"/>
      <c r="AV142" s="148"/>
      <c r="AW142" s="148"/>
      <c r="AX142" s="148"/>
      <c r="AY142" s="148"/>
      <c r="AZ142" s="148"/>
      <c r="BA142" s="148"/>
      <c r="BB142" s="148"/>
      <c r="BC142" s="148"/>
      <c r="BD142" s="148"/>
      <c r="BE142" s="148"/>
      <c r="BF142" s="148"/>
      <c r="BG142" s="148"/>
      <c r="BH142" s="148"/>
      <c r="BI142" s="148"/>
      <c r="BJ142" s="148"/>
    </row>
    <row r="143" spans="1:62" x14ac:dyDescent="0.3">
      <c r="A143" s="140"/>
      <c r="B143" s="140"/>
      <c r="C143" s="140"/>
      <c r="D143" s="140"/>
      <c r="E143" s="141"/>
      <c r="F143" s="141"/>
      <c r="G143" s="167"/>
      <c r="H143" s="141"/>
      <c r="I143" s="141"/>
      <c r="J143" s="141"/>
      <c r="K143" s="141"/>
      <c r="L143" s="141"/>
      <c r="N143" s="143"/>
      <c r="Q143" s="167"/>
      <c r="R143" s="180"/>
      <c r="S143" s="181"/>
      <c r="T143" s="181"/>
      <c r="U143" s="180"/>
      <c r="V143" s="180"/>
      <c r="W143" s="167"/>
      <c r="X143" s="201"/>
      <c r="Y143" s="201"/>
      <c r="Z143" s="201"/>
      <c r="AA143" s="201"/>
      <c r="AB143" s="167"/>
      <c r="AC143" s="200"/>
      <c r="AD143" s="185"/>
      <c r="AE143" s="185"/>
      <c r="AF143" s="185"/>
      <c r="AG143" s="185"/>
      <c r="AH143" s="185"/>
      <c r="AI143" s="185"/>
      <c r="AJ143" s="186"/>
      <c r="AK143" s="167"/>
      <c r="AL143" s="148"/>
      <c r="AM143" s="148"/>
      <c r="AN143" s="148"/>
      <c r="AO143" s="148"/>
      <c r="AP143" s="148"/>
      <c r="AQ143" s="148"/>
      <c r="AR143" s="148"/>
      <c r="AS143" s="148"/>
      <c r="AT143" s="148"/>
      <c r="AU143" s="148"/>
      <c r="AV143" s="148"/>
      <c r="AW143" s="148"/>
      <c r="AX143" s="148"/>
      <c r="AY143" s="148"/>
      <c r="AZ143" s="148"/>
      <c r="BA143" s="148"/>
      <c r="BB143" s="148"/>
      <c r="BC143" s="148"/>
      <c r="BD143" s="148"/>
      <c r="BE143" s="148"/>
      <c r="BF143" s="148"/>
      <c r="BG143" s="148"/>
      <c r="BH143" s="148"/>
      <c r="BI143" s="148"/>
      <c r="BJ143" s="148"/>
    </row>
    <row r="144" spans="1:62" x14ac:dyDescent="0.3">
      <c r="A144" s="140"/>
      <c r="B144" s="140"/>
      <c r="C144" s="140"/>
      <c r="D144" s="140"/>
      <c r="E144" s="141"/>
      <c r="F144" s="141"/>
      <c r="G144" s="167"/>
      <c r="H144" s="141"/>
      <c r="I144" s="141"/>
      <c r="J144" s="141"/>
      <c r="K144" s="141"/>
      <c r="L144" s="141"/>
      <c r="N144" s="143"/>
      <c r="Q144" s="167"/>
      <c r="R144" s="180"/>
      <c r="S144" s="181"/>
      <c r="T144" s="181"/>
      <c r="U144" s="180"/>
      <c r="V144" s="180"/>
      <c r="W144" s="167"/>
      <c r="X144" s="201"/>
      <c r="Y144" s="201"/>
      <c r="Z144" s="201"/>
      <c r="AA144" s="201"/>
      <c r="AB144" s="167"/>
      <c r="AC144" s="200"/>
      <c r="AD144" s="185"/>
      <c r="AE144" s="185"/>
      <c r="AF144" s="185"/>
      <c r="AG144" s="185"/>
      <c r="AH144" s="185"/>
      <c r="AI144" s="185"/>
      <c r="AJ144" s="186"/>
      <c r="AK144" s="167"/>
      <c r="AL144" s="148"/>
      <c r="AM144" s="148"/>
      <c r="AN144" s="148"/>
      <c r="AO144" s="148"/>
      <c r="AP144" s="148"/>
      <c r="AQ144" s="148"/>
      <c r="AR144" s="148"/>
      <c r="AS144" s="148"/>
      <c r="AT144" s="148"/>
      <c r="AU144" s="148"/>
      <c r="AV144" s="148"/>
      <c r="AW144" s="148"/>
      <c r="AX144" s="148"/>
      <c r="AY144" s="148"/>
      <c r="AZ144" s="148"/>
      <c r="BA144" s="148"/>
      <c r="BB144" s="148"/>
      <c r="BC144" s="148"/>
      <c r="BD144" s="148"/>
      <c r="BE144" s="148"/>
      <c r="BF144" s="148"/>
      <c r="BG144" s="148"/>
      <c r="BH144" s="148"/>
      <c r="BI144" s="148"/>
      <c r="BJ144" s="148"/>
    </row>
    <row r="145" spans="1:62" x14ac:dyDescent="0.3">
      <c r="A145" s="140"/>
      <c r="B145" s="140"/>
      <c r="C145" s="140"/>
      <c r="D145" s="140"/>
      <c r="E145" s="141"/>
      <c r="F145" s="141"/>
      <c r="G145" s="167"/>
      <c r="H145" s="141"/>
      <c r="I145" s="141"/>
      <c r="J145" s="141"/>
      <c r="K145" s="141"/>
      <c r="L145" s="141"/>
      <c r="N145" s="143"/>
      <c r="Q145" s="167"/>
      <c r="R145" s="180"/>
      <c r="S145" s="181"/>
      <c r="T145" s="181"/>
      <c r="U145" s="180"/>
      <c r="V145" s="180"/>
      <c r="W145" s="167"/>
      <c r="X145" s="201"/>
      <c r="Y145" s="201"/>
      <c r="Z145" s="201"/>
      <c r="AA145" s="201"/>
      <c r="AB145" s="167"/>
      <c r="AC145" s="200"/>
      <c r="AD145" s="185"/>
      <c r="AE145" s="185"/>
      <c r="AF145" s="185"/>
      <c r="AG145" s="185"/>
      <c r="AH145" s="185"/>
      <c r="AI145" s="185"/>
      <c r="AJ145" s="186"/>
      <c r="AK145" s="167"/>
      <c r="AL145" s="148"/>
      <c r="AM145" s="148"/>
      <c r="AN145" s="148"/>
      <c r="AO145" s="148"/>
      <c r="AP145" s="148"/>
      <c r="AQ145" s="148"/>
      <c r="AR145" s="148"/>
      <c r="AS145" s="148"/>
      <c r="AT145" s="148"/>
      <c r="AU145" s="148"/>
      <c r="AV145" s="148"/>
      <c r="AW145" s="148"/>
      <c r="AX145" s="148"/>
      <c r="AY145" s="148"/>
      <c r="AZ145" s="148"/>
      <c r="BA145" s="148"/>
      <c r="BB145" s="148"/>
      <c r="BC145" s="148"/>
      <c r="BD145" s="148"/>
      <c r="BE145" s="148"/>
      <c r="BF145" s="148"/>
      <c r="BG145" s="148"/>
      <c r="BH145" s="148"/>
      <c r="BI145" s="148"/>
      <c r="BJ145" s="148"/>
    </row>
    <row r="146" spans="1:62" x14ac:dyDescent="0.3">
      <c r="A146" s="140"/>
      <c r="B146" s="140"/>
      <c r="C146" s="140"/>
      <c r="D146" s="140"/>
      <c r="E146" s="141"/>
      <c r="F146" s="141"/>
      <c r="G146" s="167"/>
      <c r="H146" s="141"/>
      <c r="I146" s="141"/>
      <c r="J146" s="141"/>
      <c r="K146" s="141"/>
      <c r="L146" s="141"/>
      <c r="N146" s="143"/>
      <c r="Q146" s="167"/>
      <c r="R146" s="180"/>
      <c r="S146" s="181"/>
      <c r="T146" s="181"/>
      <c r="U146" s="180"/>
      <c r="V146" s="180"/>
      <c r="W146" s="167"/>
      <c r="X146" s="201"/>
      <c r="Y146" s="201"/>
      <c r="Z146" s="201"/>
      <c r="AA146" s="201"/>
      <c r="AB146" s="167"/>
      <c r="AC146" s="200"/>
      <c r="AD146" s="185"/>
      <c r="AE146" s="185"/>
      <c r="AF146" s="185"/>
      <c r="AG146" s="185"/>
      <c r="AH146" s="185"/>
      <c r="AI146" s="185"/>
      <c r="AJ146" s="186"/>
      <c r="AK146" s="167"/>
      <c r="AL146" s="148"/>
      <c r="AM146" s="148"/>
      <c r="AN146" s="148"/>
      <c r="AO146" s="148"/>
      <c r="AP146" s="148"/>
      <c r="AQ146" s="148"/>
      <c r="AR146" s="148"/>
      <c r="AS146" s="148"/>
      <c r="AT146" s="148"/>
      <c r="AU146" s="148"/>
      <c r="AV146" s="148"/>
      <c r="AW146" s="148"/>
      <c r="AX146" s="148"/>
      <c r="AY146" s="148"/>
      <c r="AZ146" s="148"/>
      <c r="BA146" s="148"/>
      <c r="BB146" s="148"/>
      <c r="BC146" s="148"/>
      <c r="BD146" s="148"/>
      <c r="BE146" s="148"/>
      <c r="BF146" s="148"/>
      <c r="BG146" s="148"/>
      <c r="BH146" s="148"/>
      <c r="BI146" s="148"/>
      <c r="BJ146" s="148"/>
    </row>
    <row r="147" spans="1:62" x14ac:dyDescent="0.3">
      <c r="A147" s="140"/>
      <c r="B147" s="140"/>
      <c r="C147" s="140"/>
      <c r="D147" s="140"/>
      <c r="E147" s="141"/>
      <c r="F147" s="141"/>
      <c r="G147" s="167"/>
      <c r="H147" s="141"/>
      <c r="I147" s="141"/>
      <c r="J147" s="141"/>
      <c r="K147" s="141"/>
      <c r="L147" s="141"/>
      <c r="N147" s="143"/>
      <c r="Q147" s="167"/>
      <c r="R147" s="180"/>
      <c r="S147" s="181"/>
      <c r="T147" s="181"/>
      <c r="U147" s="180"/>
      <c r="V147" s="180"/>
      <c r="W147" s="167"/>
      <c r="X147" s="201"/>
      <c r="Y147" s="201"/>
      <c r="Z147" s="201"/>
      <c r="AA147" s="201"/>
      <c r="AB147" s="167"/>
      <c r="AC147" s="200"/>
      <c r="AD147" s="185"/>
      <c r="AE147" s="185"/>
      <c r="AF147" s="185"/>
      <c r="AG147" s="185"/>
      <c r="AH147" s="185"/>
      <c r="AI147" s="185"/>
      <c r="AJ147" s="186"/>
      <c r="AK147" s="167"/>
      <c r="AL147" s="148"/>
      <c r="AM147" s="148"/>
      <c r="AN147" s="148"/>
      <c r="AO147" s="148"/>
      <c r="AP147" s="148"/>
      <c r="AQ147" s="148"/>
      <c r="AR147" s="148"/>
      <c r="AS147" s="148"/>
      <c r="AT147" s="148"/>
      <c r="AU147" s="148"/>
      <c r="AV147" s="148"/>
      <c r="AW147" s="148"/>
      <c r="AX147" s="148"/>
      <c r="AY147" s="148"/>
      <c r="AZ147" s="148"/>
      <c r="BA147" s="148"/>
      <c r="BB147" s="148"/>
      <c r="BC147" s="148"/>
      <c r="BD147" s="148"/>
      <c r="BE147" s="148"/>
      <c r="BF147" s="148"/>
      <c r="BG147" s="148"/>
      <c r="BH147" s="148"/>
      <c r="BI147" s="148"/>
      <c r="BJ147" s="148"/>
    </row>
    <row r="148" spans="1:62" x14ac:dyDescent="0.3">
      <c r="A148" s="140"/>
      <c r="B148" s="140"/>
      <c r="C148" s="140"/>
      <c r="D148" s="140"/>
      <c r="E148" s="141"/>
      <c r="F148" s="141"/>
      <c r="G148" s="167"/>
      <c r="H148" s="141"/>
      <c r="I148" s="141"/>
      <c r="J148" s="141"/>
      <c r="K148" s="141"/>
      <c r="L148" s="141"/>
      <c r="N148" s="143"/>
      <c r="Q148" s="167"/>
      <c r="R148" s="180"/>
      <c r="S148" s="181"/>
      <c r="T148" s="181"/>
      <c r="U148" s="180"/>
      <c r="V148" s="180"/>
      <c r="W148" s="167"/>
      <c r="X148" s="201"/>
      <c r="Y148" s="201"/>
      <c r="Z148" s="201"/>
      <c r="AA148" s="201"/>
      <c r="AB148" s="167"/>
      <c r="AC148" s="200"/>
      <c r="AD148" s="185"/>
      <c r="AE148" s="185"/>
      <c r="AF148" s="185"/>
      <c r="AG148" s="185"/>
      <c r="AH148" s="185"/>
      <c r="AI148" s="185"/>
      <c r="AJ148" s="186"/>
      <c r="AK148" s="167"/>
      <c r="AL148" s="148"/>
      <c r="AM148" s="148"/>
      <c r="AN148" s="148"/>
      <c r="AO148" s="148"/>
      <c r="AP148" s="148"/>
      <c r="AQ148" s="148"/>
      <c r="AR148" s="148"/>
      <c r="AS148" s="148"/>
      <c r="AT148" s="148"/>
      <c r="AU148" s="148"/>
      <c r="AV148" s="148"/>
      <c r="AW148" s="148"/>
      <c r="AX148" s="148"/>
      <c r="AY148" s="148"/>
      <c r="AZ148" s="148"/>
      <c r="BA148" s="148"/>
      <c r="BB148" s="148"/>
      <c r="BC148" s="148"/>
      <c r="BD148" s="148"/>
      <c r="BE148" s="148"/>
      <c r="BF148" s="148"/>
      <c r="BG148" s="148"/>
      <c r="BH148" s="148"/>
      <c r="BI148" s="148"/>
      <c r="BJ148" s="148"/>
    </row>
    <row r="149" spans="1:62" x14ac:dyDescent="0.3">
      <c r="A149" s="140"/>
      <c r="B149" s="140"/>
      <c r="C149" s="140"/>
      <c r="D149" s="140"/>
      <c r="E149" s="141"/>
      <c r="F149" s="141"/>
      <c r="G149" s="167"/>
      <c r="H149" s="141"/>
      <c r="I149" s="141"/>
      <c r="J149" s="141"/>
      <c r="K149" s="141"/>
      <c r="L149" s="141"/>
      <c r="N149" s="143"/>
      <c r="Q149" s="167"/>
      <c r="R149" s="180"/>
      <c r="S149" s="181"/>
      <c r="T149" s="181"/>
      <c r="U149" s="180"/>
      <c r="V149" s="180"/>
      <c r="W149" s="167"/>
      <c r="X149" s="201"/>
      <c r="Y149" s="201"/>
      <c r="Z149" s="201"/>
      <c r="AA149" s="201"/>
      <c r="AB149" s="167"/>
      <c r="AC149" s="200"/>
      <c r="AD149" s="185"/>
      <c r="AE149" s="185"/>
      <c r="AF149" s="185"/>
      <c r="AG149" s="185"/>
      <c r="AH149" s="185"/>
      <c r="AI149" s="185"/>
      <c r="AJ149" s="186"/>
      <c r="AK149" s="167"/>
      <c r="AL149" s="148"/>
      <c r="AM149" s="148"/>
      <c r="AN149" s="148"/>
      <c r="AO149" s="148"/>
      <c r="AP149" s="148"/>
      <c r="AQ149" s="148"/>
      <c r="AR149" s="148"/>
      <c r="AS149" s="148"/>
      <c r="AT149" s="148"/>
      <c r="AU149" s="148"/>
      <c r="AV149" s="148"/>
      <c r="AW149" s="148"/>
      <c r="AX149" s="148"/>
      <c r="AY149" s="148"/>
      <c r="AZ149" s="148"/>
      <c r="BA149" s="148"/>
      <c r="BB149" s="148"/>
      <c r="BC149" s="148"/>
      <c r="BD149" s="148"/>
      <c r="BE149" s="148"/>
      <c r="BF149" s="148"/>
      <c r="BG149" s="148"/>
      <c r="BH149" s="148"/>
      <c r="BI149" s="148"/>
      <c r="BJ149" s="148"/>
    </row>
    <row r="150" spans="1:62" x14ac:dyDescent="0.3">
      <c r="A150" s="140"/>
      <c r="B150" s="140"/>
      <c r="C150" s="140"/>
      <c r="D150" s="140"/>
      <c r="E150" s="141"/>
      <c r="F150" s="141"/>
      <c r="G150" s="167"/>
      <c r="H150" s="141"/>
      <c r="I150" s="141"/>
      <c r="J150" s="141"/>
      <c r="K150" s="141"/>
      <c r="L150" s="141"/>
      <c r="N150" s="143"/>
      <c r="Q150" s="167"/>
      <c r="R150" s="180"/>
      <c r="S150" s="181"/>
      <c r="T150" s="181"/>
      <c r="U150" s="180"/>
      <c r="V150" s="180"/>
      <c r="W150" s="167"/>
      <c r="X150" s="201"/>
      <c r="Y150" s="201"/>
      <c r="Z150" s="201"/>
      <c r="AA150" s="201"/>
      <c r="AB150" s="167"/>
      <c r="AC150" s="200"/>
      <c r="AD150" s="185"/>
      <c r="AE150" s="185"/>
      <c r="AF150" s="185"/>
      <c r="AG150" s="185"/>
      <c r="AH150" s="185"/>
      <c r="AI150" s="185"/>
      <c r="AJ150" s="186"/>
      <c r="AK150" s="167"/>
      <c r="AL150" s="148"/>
      <c r="AM150" s="148"/>
      <c r="AN150" s="148"/>
      <c r="AO150" s="148"/>
      <c r="AP150" s="148"/>
      <c r="AQ150" s="148"/>
      <c r="AR150" s="148"/>
      <c r="AS150" s="148"/>
      <c r="AT150" s="148"/>
      <c r="AU150" s="148"/>
      <c r="AV150" s="148"/>
      <c r="AW150" s="148"/>
      <c r="AX150" s="148"/>
      <c r="AY150" s="148"/>
      <c r="AZ150" s="148"/>
      <c r="BA150" s="148"/>
      <c r="BB150" s="148"/>
      <c r="BC150" s="148"/>
      <c r="BD150" s="148"/>
      <c r="BE150" s="148"/>
      <c r="BF150" s="148"/>
      <c r="BG150" s="148"/>
      <c r="BH150" s="148"/>
      <c r="BI150" s="148"/>
      <c r="BJ150" s="148"/>
    </row>
    <row r="151" spans="1:62" x14ac:dyDescent="0.3">
      <c r="A151" s="140"/>
      <c r="B151" s="140"/>
      <c r="C151" s="140"/>
      <c r="D151" s="140"/>
      <c r="E151" s="141"/>
      <c r="F151" s="141"/>
      <c r="G151" s="167"/>
      <c r="H151" s="141"/>
      <c r="I151" s="141"/>
      <c r="J151" s="141"/>
      <c r="K151" s="141"/>
      <c r="L151" s="141"/>
      <c r="N151" s="143"/>
      <c r="Q151" s="167"/>
      <c r="R151" s="180"/>
      <c r="S151" s="181"/>
      <c r="T151" s="181"/>
      <c r="U151" s="180"/>
      <c r="V151" s="180"/>
      <c r="W151" s="167"/>
      <c r="X151" s="201"/>
      <c r="Y151" s="201"/>
      <c r="Z151" s="201"/>
      <c r="AA151" s="201"/>
      <c r="AB151" s="167"/>
      <c r="AC151" s="200"/>
      <c r="AD151" s="185"/>
      <c r="AE151" s="185"/>
      <c r="AF151" s="185"/>
      <c r="AG151" s="185"/>
      <c r="AH151" s="185"/>
      <c r="AI151" s="185"/>
      <c r="AJ151" s="186"/>
      <c r="AK151" s="167"/>
      <c r="AL151" s="148"/>
      <c r="AM151" s="148"/>
      <c r="AN151" s="148"/>
      <c r="AO151" s="148"/>
      <c r="AP151" s="148"/>
      <c r="AQ151" s="148"/>
      <c r="AR151" s="148"/>
      <c r="AS151" s="148"/>
      <c r="AT151" s="148"/>
      <c r="AU151" s="148"/>
      <c r="AV151" s="148"/>
      <c r="AW151" s="148"/>
      <c r="AX151" s="148"/>
      <c r="AY151" s="148"/>
      <c r="AZ151" s="148"/>
      <c r="BA151" s="148"/>
      <c r="BB151" s="148"/>
      <c r="BC151" s="148"/>
      <c r="BD151" s="148"/>
      <c r="BE151" s="148"/>
      <c r="BF151" s="148"/>
      <c r="BG151" s="148"/>
      <c r="BH151" s="148"/>
      <c r="BI151" s="148"/>
      <c r="BJ151" s="148"/>
    </row>
    <row r="152" spans="1:62" x14ac:dyDescent="0.3">
      <c r="A152" s="140"/>
      <c r="B152" s="140"/>
      <c r="C152" s="140"/>
      <c r="D152" s="140"/>
      <c r="E152" s="141"/>
      <c r="F152" s="141"/>
      <c r="G152" s="167"/>
      <c r="H152" s="141"/>
      <c r="I152" s="141"/>
      <c r="J152" s="141"/>
      <c r="K152" s="141"/>
      <c r="L152" s="141"/>
      <c r="N152" s="143"/>
      <c r="Q152" s="167"/>
      <c r="R152" s="180"/>
      <c r="S152" s="181"/>
      <c r="T152" s="181"/>
      <c r="U152" s="180"/>
      <c r="V152" s="180"/>
      <c r="W152" s="167"/>
      <c r="X152" s="201"/>
      <c r="Y152" s="201"/>
      <c r="Z152" s="201"/>
      <c r="AA152" s="201"/>
      <c r="AB152" s="167"/>
      <c r="AC152" s="200"/>
      <c r="AD152" s="185"/>
      <c r="AE152" s="185"/>
      <c r="AF152" s="185"/>
      <c r="AG152" s="185"/>
      <c r="AH152" s="185"/>
      <c r="AI152" s="185"/>
      <c r="AJ152" s="186"/>
      <c r="AK152" s="167"/>
      <c r="AL152" s="148"/>
      <c r="AM152" s="148"/>
      <c r="AN152" s="148"/>
      <c r="AO152" s="148"/>
      <c r="AP152" s="148"/>
      <c r="AQ152" s="148"/>
      <c r="AR152" s="148"/>
      <c r="AS152" s="148"/>
      <c r="AT152" s="148"/>
      <c r="AU152" s="148"/>
      <c r="AV152" s="148"/>
      <c r="AW152" s="148"/>
      <c r="AX152" s="148"/>
      <c r="AY152" s="148"/>
      <c r="AZ152" s="148"/>
      <c r="BA152" s="148"/>
      <c r="BB152" s="148"/>
      <c r="BC152" s="148"/>
      <c r="BD152" s="148"/>
      <c r="BE152" s="148"/>
      <c r="BF152" s="148"/>
      <c r="BG152" s="148"/>
      <c r="BH152" s="148"/>
      <c r="BI152" s="148"/>
      <c r="BJ152" s="148"/>
    </row>
    <row r="153" spans="1:62" x14ac:dyDescent="0.3">
      <c r="A153" s="140"/>
      <c r="B153" s="140"/>
      <c r="C153" s="140"/>
      <c r="D153" s="140"/>
      <c r="E153" s="141"/>
      <c r="F153" s="141"/>
      <c r="G153" s="167"/>
      <c r="H153" s="141"/>
      <c r="I153" s="141"/>
      <c r="J153" s="141"/>
      <c r="K153" s="141"/>
      <c r="L153" s="141"/>
      <c r="N153" s="143"/>
      <c r="Q153" s="167"/>
      <c r="R153" s="180"/>
      <c r="S153" s="181"/>
      <c r="T153" s="181"/>
      <c r="U153" s="180"/>
      <c r="V153" s="180"/>
      <c r="W153" s="167"/>
      <c r="X153" s="201"/>
      <c r="Y153" s="201"/>
      <c r="Z153" s="201"/>
      <c r="AA153" s="201"/>
      <c r="AB153" s="167"/>
      <c r="AC153" s="200"/>
      <c r="AD153" s="185"/>
      <c r="AE153" s="185"/>
      <c r="AF153" s="185"/>
      <c r="AG153" s="185"/>
      <c r="AH153" s="185"/>
      <c r="AI153" s="185"/>
      <c r="AJ153" s="186"/>
      <c r="AK153" s="167"/>
      <c r="AL153" s="148"/>
      <c r="AM153" s="148"/>
      <c r="AN153" s="148"/>
      <c r="AO153" s="148"/>
      <c r="AP153" s="148"/>
      <c r="AQ153" s="148"/>
      <c r="AR153" s="148"/>
      <c r="AS153" s="148"/>
      <c r="AT153" s="148"/>
      <c r="AU153" s="148"/>
      <c r="AV153" s="148"/>
      <c r="AW153" s="148"/>
      <c r="AX153" s="148"/>
      <c r="AY153" s="148"/>
      <c r="AZ153" s="148"/>
      <c r="BA153" s="148"/>
      <c r="BB153" s="148"/>
      <c r="BC153" s="148"/>
      <c r="BD153" s="148"/>
      <c r="BE153" s="148"/>
      <c r="BF153" s="148"/>
      <c r="BG153" s="148"/>
      <c r="BH153" s="148"/>
      <c r="BI153" s="148"/>
      <c r="BJ153" s="148"/>
    </row>
    <row r="154" spans="1:62" x14ac:dyDescent="0.3">
      <c r="A154" s="140"/>
      <c r="B154" s="140"/>
      <c r="C154" s="140"/>
      <c r="D154" s="140"/>
      <c r="E154" s="141"/>
      <c r="F154" s="141"/>
      <c r="G154" s="167"/>
      <c r="H154" s="141"/>
      <c r="I154" s="141"/>
      <c r="J154" s="141"/>
      <c r="K154" s="141"/>
      <c r="L154" s="141"/>
      <c r="N154" s="143"/>
      <c r="Q154" s="167"/>
      <c r="R154" s="180"/>
      <c r="S154" s="181"/>
      <c r="T154" s="181"/>
      <c r="U154" s="180"/>
      <c r="V154" s="180"/>
      <c r="W154" s="167"/>
      <c r="X154" s="201"/>
      <c r="Y154" s="201"/>
      <c r="Z154" s="201"/>
      <c r="AA154" s="201"/>
      <c r="AB154" s="167"/>
      <c r="AC154" s="200"/>
      <c r="AD154" s="185"/>
      <c r="AE154" s="185"/>
      <c r="AF154" s="185"/>
      <c r="AG154" s="185"/>
      <c r="AH154" s="185"/>
      <c r="AI154" s="185"/>
      <c r="AJ154" s="186"/>
      <c r="AK154" s="167"/>
      <c r="AL154" s="148"/>
      <c r="AM154" s="148"/>
      <c r="AN154" s="148"/>
      <c r="AO154" s="148"/>
      <c r="AP154" s="148"/>
      <c r="AQ154" s="148"/>
      <c r="AR154" s="148"/>
      <c r="AS154" s="148"/>
      <c r="AT154" s="148"/>
      <c r="AU154" s="148"/>
      <c r="AV154" s="148"/>
      <c r="AW154" s="148"/>
      <c r="AX154" s="148"/>
      <c r="AY154" s="148"/>
      <c r="AZ154" s="148"/>
      <c r="BA154" s="148"/>
      <c r="BB154" s="148"/>
      <c r="BC154" s="148"/>
      <c r="BD154" s="148"/>
      <c r="BE154" s="148"/>
      <c r="BF154" s="148"/>
      <c r="BG154" s="148"/>
      <c r="BH154" s="148"/>
      <c r="BI154" s="148"/>
      <c r="BJ154" s="148"/>
    </row>
    <row r="155" spans="1:62" x14ac:dyDescent="0.3">
      <c r="A155" s="140"/>
      <c r="B155" s="140"/>
      <c r="C155" s="140"/>
      <c r="D155" s="140"/>
      <c r="E155" s="141"/>
      <c r="F155" s="141"/>
      <c r="G155" s="167"/>
      <c r="H155" s="141"/>
      <c r="I155" s="141"/>
      <c r="J155" s="141"/>
      <c r="K155" s="141"/>
      <c r="L155" s="141"/>
      <c r="N155" s="143"/>
      <c r="Q155" s="167"/>
      <c r="R155" s="180"/>
      <c r="S155" s="181"/>
      <c r="T155" s="181"/>
      <c r="U155" s="180"/>
      <c r="V155" s="180"/>
      <c r="W155" s="167"/>
      <c r="X155" s="201"/>
      <c r="Y155" s="201"/>
      <c r="Z155" s="201"/>
      <c r="AA155" s="201"/>
      <c r="AB155" s="167"/>
      <c r="AC155" s="200"/>
      <c r="AD155" s="185"/>
      <c r="AE155" s="185"/>
      <c r="AF155" s="185"/>
      <c r="AG155" s="185"/>
      <c r="AH155" s="185"/>
      <c r="AI155" s="185"/>
      <c r="AJ155" s="186"/>
      <c r="AK155" s="167"/>
      <c r="AL155" s="148"/>
      <c r="AM155" s="148"/>
      <c r="AN155" s="148"/>
      <c r="AO155" s="148"/>
      <c r="AP155" s="148"/>
      <c r="AQ155" s="148"/>
      <c r="AR155" s="148"/>
      <c r="AS155" s="148"/>
      <c r="AT155" s="148"/>
      <c r="AU155" s="148"/>
      <c r="AV155" s="148"/>
      <c r="AW155" s="148"/>
      <c r="AX155" s="148"/>
      <c r="AY155" s="148"/>
      <c r="AZ155" s="148"/>
      <c r="BA155" s="148"/>
      <c r="BB155" s="148"/>
      <c r="BC155" s="148"/>
      <c r="BD155" s="148"/>
      <c r="BE155" s="148"/>
      <c r="BF155" s="148"/>
      <c r="BG155" s="148"/>
      <c r="BH155" s="148"/>
      <c r="BI155" s="148"/>
      <c r="BJ155" s="148"/>
    </row>
    <row r="156" spans="1:62" x14ac:dyDescent="0.3">
      <c r="A156" s="140"/>
      <c r="B156" s="140"/>
      <c r="C156" s="140"/>
      <c r="D156" s="140"/>
      <c r="E156" s="141"/>
      <c r="F156" s="141"/>
      <c r="G156" s="167"/>
      <c r="H156" s="141"/>
      <c r="I156" s="141"/>
      <c r="J156" s="141"/>
      <c r="K156" s="141"/>
      <c r="L156" s="141"/>
      <c r="N156" s="143"/>
      <c r="Q156" s="167"/>
      <c r="R156" s="180"/>
      <c r="S156" s="181"/>
      <c r="T156" s="181"/>
      <c r="U156" s="180"/>
      <c r="V156" s="180"/>
      <c r="W156" s="167"/>
      <c r="X156" s="201"/>
      <c r="Y156" s="201"/>
      <c r="Z156" s="201"/>
      <c r="AA156" s="201"/>
      <c r="AB156" s="167"/>
      <c r="AC156" s="200"/>
      <c r="AD156" s="185"/>
      <c r="AE156" s="185"/>
      <c r="AF156" s="185"/>
      <c r="AG156" s="185"/>
      <c r="AH156" s="185"/>
      <c r="AI156" s="185"/>
      <c r="AJ156" s="186"/>
      <c r="AK156" s="167"/>
      <c r="AL156" s="148"/>
      <c r="AM156" s="148"/>
      <c r="AN156" s="148"/>
      <c r="AO156" s="148"/>
      <c r="AP156" s="148"/>
      <c r="AQ156" s="148"/>
      <c r="AR156" s="148"/>
      <c r="AS156" s="148"/>
      <c r="AT156" s="148"/>
      <c r="AU156" s="148"/>
      <c r="AV156" s="148"/>
      <c r="AW156" s="148"/>
      <c r="AX156" s="148"/>
      <c r="AY156" s="148"/>
      <c r="AZ156" s="148"/>
      <c r="BA156" s="148"/>
      <c r="BB156" s="148"/>
      <c r="BC156" s="148"/>
      <c r="BD156" s="148"/>
      <c r="BE156" s="148"/>
      <c r="BF156" s="148"/>
      <c r="BG156" s="148"/>
      <c r="BH156" s="148"/>
      <c r="BI156" s="148"/>
      <c r="BJ156" s="148"/>
    </row>
    <row r="157" spans="1:62" x14ac:dyDescent="0.3">
      <c r="A157" s="140"/>
      <c r="B157" s="140"/>
      <c r="C157" s="140"/>
      <c r="D157" s="140"/>
      <c r="E157" s="141"/>
      <c r="F157" s="141"/>
      <c r="G157" s="167"/>
      <c r="H157" s="141"/>
      <c r="I157" s="141"/>
      <c r="J157" s="141"/>
      <c r="K157" s="141"/>
      <c r="L157" s="141"/>
      <c r="N157" s="143"/>
      <c r="Q157" s="167"/>
      <c r="R157" s="180"/>
      <c r="S157" s="181"/>
      <c r="T157" s="181"/>
      <c r="U157" s="180"/>
      <c r="V157" s="180"/>
      <c r="W157" s="167"/>
      <c r="X157" s="201"/>
      <c r="Y157" s="201"/>
      <c r="Z157" s="201"/>
      <c r="AA157" s="201"/>
      <c r="AB157" s="167"/>
      <c r="AC157" s="200"/>
      <c r="AD157" s="185"/>
      <c r="AE157" s="185"/>
      <c r="AF157" s="185"/>
      <c r="AG157" s="185"/>
      <c r="AH157" s="185"/>
      <c r="AI157" s="185"/>
      <c r="AJ157" s="186"/>
      <c r="AK157" s="167"/>
      <c r="AL157" s="148"/>
      <c r="AM157" s="148"/>
      <c r="AN157" s="148"/>
      <c r="AO157" s="148"/>
      <c r="AP157" s="148"/>
      <c r="AQ157" s="148"/>
      <c r="AR157" s="148"/>
      <c r="AS157" s="148"/>
      <c r="AT157" s="148"/>
      <c r="AU157" s="148"/>
      <c r="AV157" s="148"/>
      <c r="AW157" s="148"/>
      <c r="AX157" s="148"/>
      <c r="AY157" s="148"/>
      <c r="AZ157" s="148"/>
      <c r="BA157" s="148"/>
      <c r="BB157" s="148"/>
      <c r="BC157" s="148"/>
      <c r="BD157" s="148"/>
      <c r="BE157" s="148"/>
      <c r="BF157" s="148"/>
      <c r="BG157" s="148"/>
      <c r="BH157" s="148"/>
      <c r="BI157" s="148"/>
      <c r="BJ157" s="148"/>
    </row>
    <row r="158" spans="1:62" x14ac:dyDescent="0.3">
      <c r="A158" s="140"/>
      <c r="B158" s="140"/>
      <c r="C158" s="140"/>
      <c r="D158" s="140"/>
      <c r="E158" s="141"/>
      <c r="F158" s="141"/>
      <c r="G158" s="167"/>
      <c r="H158" s="141"/>
      <c r="I158" s="141"/>
      <c r="J158" s="141"/>
      <c r="K158" s="141"/>
      <c r="L158" s="141"/>
      <c r="N158" s="143"/>
      <c r="Q158" s="167"/>
      <c r="R158" s="180"/>
      <c r="S158" s="181"/>
      <c r="T158" s="181"/>
      <c r="U158" s="180"/>
      <c r="V158" s="180"/>
      <c r="W158" s="167"/>
      <c r="X158" s="201"/>
      <c r="Y158" s="201"/>
      <c r="Z158" s="201"/>
      <c r="AA158" s="201"/>
      <c r="AB158" s="167"/>
      <c r="AC158" s="200"/>
      <c r="AD158" s="185"/>
      <c r="AE158" s="185"/>
      <c r="AF158" s="185"/>
      <c r="AG158" s="185"/>
      <c r="AH158" s="185"/>
      <c r="AI158" s="185"/>
      <c r="AJ158" s="186"/>
      <c r="AK158" s="167"/>
      <c r="AL158" s="148"/>
      <c r="AM158" s="148"/>
      <c r="AN158" s="148"/>
      <c r="AO158" s="148"/>
      <c r="AP158" s="148"/>
      <c r="AQ158" s="148"/>
      <c r="AR158" s="148"/>
      <c r="AS158" s="148"/>
      <c r="AT158" s="148"/>
      <c r="AU158" s="148"/>
      <c r="AV158" s="148"/>
      <c r="AW158" s="148"/>
      <c r="AX158" s="148"/>
      <c r="AY158" s="148"/>
      <c r="AZ158" s="148"/>
      <c r="BA158" s="148"/>
      <c r="BB158" s="148"/>
      <c r="BC158" s="148"/>
      <c r="BD158" s="148"/>
      <c r="BE158" s="148"/>
      <c r="BF158" s="148"/>
      <c r="BG158" s="148"/>
      <c r="BH158" s="148"/>
      <c r="BI158" s="148"/>
      <c r="BJ158" s="148"/>
    </row>
    <row r="159" spans="1:62" x14ac:dyDescent="0.3">
      <c r="A159" s="140"/>
      <c r="B159" s="140"/>
      <c r="C159" s="140"/>
      <c r="D159" s="140"/>
      <c r="E159" s="141"/>
      <c r="F159" s="141"/>
      <c r="G159" s="167"/>
      <c r="H159" s="141"/>
      <c r="I159" s="141"/>
      <c r="J159" s="141"/>
      <c r="K159" s="141"/>
      <c r="L159" s="141"/>
      <c r="N159" s="143"/>
      <c r="Q159" s="167"/>
      <c r="R159" s="180"/>
      <c r="S159" s="181"/>
      <c r="T159" s="181"/>
      <c r="U159" s="180"/>
      <c r="V159" s="180"/>
      <c r="W159" s="167"/>
      <c r="X159" s="201"/>
      <c r="Y159" s="201"/>
      <c r="Z159" s="201"/>
      <c r="AA159" s="201"/>
      <c r="AB159" s="167"/>
      <c r="AC159" s="200"/>
      <c r="AD159" s="185"/>
      <c r="AE159" s="185"/>
      <c r="AF159" s="185"/>
      <c r="AG159" s="185"/>
      <c r="AH159" s="185"/>
      <c r="AI159" s="185"/>
      <c r="AJ159" s="186"/>
      <c r="AK159" s="167"/>
      <c r="AL159" s="148"/>
      <c r="AM159" s="148"/>
      <c r="AN159" s="148"/>
      <c r="AO159" s="148"/>
      <c r="AP159" s="148"/>
      <c r="AQ159" s="148"/>
      <c r="AR159" s="148"/>
      <c r="AS159" s="148"/>
      <c r="AT159" s="148"/>
      <c r="AU159" s="148"/>
      <c r="AV159" s="148"/>
      <c r="AW159" s="148"/>
      <c r="AX159" s="148"/>
      <c r="AY159" s="148"/>
      <c r="AZ159" s="148"/>
      <c r="BA159" s="148"/>
      <c r="BB159" s="148"/>
      <c r="BC159" s="148"/>
      <c r="BD159" s="148"/>
      <c r="BE159" s="148"/>
      <c r="BF159" s="148"/>
      <c r="BG159" s="148"/>
      <c r="BH159" s="148"/>
      <c r="BI159" s="148"/>
      <c r="BJ159" s="148"/>
    </row>
    <row r="160" spans="1:62" x14ac:dyDescent="0.3">
      <c r="A160" s="140"/>
      <c r="B160" s="140"/>
      <c r="C160" s="140"/>
      <c r="D160" s="140"/>
      <c r="E160" s="141"/>
      <c r="F160" s="141"/>
      <c r="G160" s="167"/>
      <c r="H160" s="141"/>
      <c r="I160" s="141"/>
      <c r="J160" s="141"/>
      <c r="K160" s="141"/>
      <c r="L160" s="141"/>
      <c r="N160" s="143"/>
      <c r="Q160" s="167"/>
      <c r="R160" s="180"/>
      <c r="S160" s="181"/>
      <c r="T160" s="181"/>
      <c r="U160" s="180"/>
      <c r="V160" s="180"/>
      <c r="W160" s="167"/>
      <c r="X160" s="201"/>
      <c r="Y160" s="201"/>
      <c r="Z160" s="201"/>
      <c r="AA160" s="201"/>
      <c r="AB160" s="167"/>
      <c r="AC160" s="200"/>
      <c r="AD160" s="185"/>
      <c r="AE160" s="185"/>
      <c r="AF160" s="185"/>
      <c r="AG160" s="185"/>
      <c r="AH160" s="185"/>
      <c r="AI160" s="185"/>
      <c r="AJ160" s="186"/>
      <c r="AK160" s="167"/>
      <c r="AL160" s="148"/>
      <c r="AM160" s="148"/>
      <c r="AN160" s="148"/>
      <c r="AO160" s="148"/>
      <c r="AP160" s="148"/>
      <c r="AQ160" s="148"/>
      <c r="AR160" s="148"/>
      <c r="AS160" s="148"/>
      <c r="AT160" s="148"/>
      <c r="AU160" s="148"/>
      <c r="AV160" s="148"/>
      <c r="AW160" s="148"/>
      <c r="AX160" s="148"/>
      <c r="AY160" s="148"/>
      <c r="AZ160" s="148"/>
      <c r="BA160" s="148"/>
      <c r="BB160" s="148"/>
      <c r="BC160" s="148"/>
      <c r="BD160" s="148"/>
      <c r="BE160" s="148"/>
      <c r="BF160" s="148"/>
      <c r="BG160" s="148"/>
      <c r="BH160" s="148"/>
      <c r="BI160" s="148"/>
      <c r="BJ160" s="148"/>
    </row>
    <row r="161" spans="1:62" x14ac:dyDescent="0.3">
      <c r="A161" s="140"/>
      <c r="B161" s="140"/>
      <c r="C161" s="140"/>
      <c r="D161" s="140"/>
      <c r="E161" s="141"/>
      <c r="F161" s="141"/>
      <c r="G161" s="167"/>
      <c r="H161" s="141"/>
      <c r="I161" s="141"/>
      <c r="J161" s="141"/>
      <c r="K161" s="141"/>
      <c r="L161" s="141"/>
      <c r="N161" s="143"/>
      <c r="Q161" s="167"/>
      <c r="R161" s="180"/>
      <c r="S161" s="181"/>
      <c r="T161" s="181"/>
      <c r="U161" s="180"/>
      <c r="V161" s="180"/>
      <c r="W161" s="167"/>
      <c r="X161" s="201"/>
      <c r="Y161" s="201"/>
      <c r="Z161" s="201"/>
      <c r="AA161" s="201"/>
      <c r="AB161" s="167"/>
      <c r="AC161" s="200"/>
      <c r="AD161" s="185"/>
      <c r="AE161" s="185"/>
      <c r="AF161" s="185"/>
      <c r="AG161" s="185"/>
      <c r="AH161" s="185"/>
      <c r="AI161" s="185"/>
      <c r="AJ161" s="186"/>
      <c r="AK161" s="167"/>
      <c r="AL161" s="148"/>
      <c r="AM161" s="148"/>
      <c r="AN161" s="148"/>
      <c r="AO161" s="148"/>
      <c r="AP161" s="148"/>
      <c r="AQ161" s="148"/>
      <c r="AR161" s="148"/>
      <c r="AS161" s="148"/>
      <c r="AT161" s="148"/>
      <c r="AU161" s="148"/>
      <c r="AV161" s="148"/>
      <c r="AW161" s="148"/>
      <c r="AX161" s="148"/>
      <c r="AY161" s="148"/>
      <c r="AZ161" s="148"/>
      <c r="BA161" s="148"/>
      <c r="BB161" s="148"/>
      <c r="BC161" s="148"/>
      <c r="BD161" s="148"/>
      <c r="BE161" s="148"/>
      <c r="BF161" s="148"/>
      <c r="BG161" s="148"/>
      <c r="BH161" s="148"/>
      <c r="BI161" s="148"/>
      <c r="BJ161" s="148"/>
    </row>
    <row r="162" spans="1:62" x14ac:dyDescent="0.3">
      <c r="A162" s="140"/>
      <c r="B162" s="140"/>
      <c r="C162" s="140"/>
      <c r="D162" s="140"/>
      <c r="E162" s="141"/>
      <c r="F162" s="141"/>
      <c r="G162" s="167"/>
      <c r="H162" s="141"/>
      <c r="I162" s="141"/>
      <c r="J162" s="141"/>
      <c r="K162" s="141"/>
      <c r="L162" s="141"/>
      <c r="N162" s="143"/>
      <c r="Q162" s="167"/>
      <c r="R162" s="180"/>
      <c r="S162" s="181"/>
      <c r="T162" s="181"/>
      <c r="U162" s="180"/>
      <c r="V162" s="180"/>
      <c r="W162" s="167"/>
      <c r="X162" s="201"/>
      <c r="Y162" s="201"/>
      <c r="Z162" s="201"/>
      <c r="AA162" s="201"/>
      <c r="AB162" s="167"/>
      <c r="AC162" s="200"/>
      <c r="AD162" s="185"/>
      <c r="AE162" s="185"/>
      <c r="AF162" s="185"/>
      <c r="AG162" s="185"/>
      <c r="AH162" s="185"/>
      <c r="AI162" s="185"/>
      <c r="AJ162" s="186"/>
      <c r="AK162" s="167"/>
      <c r="AL162" s="148"/>
      <c r="AM162" s="148"/>
      <c r="AN162" s="148"/>
      <c r="AO162" s="148"/>
      <c r="AP162" s="148"/>
      <c r="AQ162" s="148"/>
      <c r="AR162" s="148"/>
      <c r="AS162" s="148"/>
      <c r="AT162" s="148"/>
      <c r="AU162" s="148"/>
      <c r="AV162" s="148"/>
      <c r="AW162" s="148"/>
      <c r="AX162" s="148"/>
      <c r="AY162" s="148"/>
      <c r="AZ162" s="148"/>
      <c r="BA162" s="148"/>
      <c r="BB162" s="148"/>
      <c r="BC162" s="148"/>
      <c r="BD162" s="148"/>
      <c r="BE162" s="148"/>
      <c r="BF162" s="148"/>
      <c r="BG162" s="148"/>
      <c r="BH162" s="148"/>
      <c r="BI162" s="148"/>
      <c r="BJ162" s="148"/>
    </row>
    <row r="163" spans="1:62" x14ac:dyDescent="0.3">
      <c r="A163" s="140"/>
      <c r="B163" s="140"/>
      <c r="C163" s="140"/>
      <c r="D163" s="140"/>
      <c r="E163" s="141"/>
      <c r="F163" s="141"/>
      <c r="G163" s="167"/>
      <c r="H163" s="141"/>
      <c r="I163" s="141"/>
      <c r="J163" s="141"/>
      <c r="K163" s="141"/>
      <c r="L163" s="141"/>
      <c r="N163" s="143"/>
      <c r="Q163" s="167"/>
      <c r="R163" s="180"/>
      <c r="S163" s="181"/>
      <c r="T163" s="181"/>
      <c r="U163" s="180"/>
      <c r="V163" s="180"/>
      <c r="W163" s="167"/>
      <c r="X163" s="201"/>
      <c r="Y163" s="201"/>
      <c r="Z163" s="201"/>
      <c r="AA163" s="201"/>
      <c r="AB163" s="167"/>
      <c r="AC163" s="200"/>
      <c r="AD163" s="185"/>
      <c r="AE163" s="185"/>
      <c r="AF163" s="185"/>
      <c r="AG163" s="185"/>
      <c r="AH163" s="185"/>
      <c r="AI163" s="185"/>
      <c r="AJ163" s="186"/>
      <c r="AK163" s="167"/>
      <c r="AL163" s="148"/>
      <c r="AM163" s="148"/>
      <c r="AN163" s="148"/>
      <c r="AO163" s="148"/>
      <c r="AP163" s="148"/>
      <c r="AQ163" s="148"/>
      <c r="AR163" s="148"/>
      <c r="AS163" s="148"/>
      <c r="AT163" s="148"/>
      <c r="AU163" s="148"/>
      <c r="AV163" s="148"/>
      <c r="AW163" s="148"/>
      <c r="AX163" s="148"/>
      <c r="AY163" s="148"/>
      <c r="AZ163" s="148"/>
      <c r="BA163" s="148"/>
      <c r="BB163" s="148"/>
      <c r="BC163" s="148"/>
      <c r="BD163" s="148"/>
      <c r="BE163" s="148"/>
      <c r="BF163" s="148"/>
      <c r="BG163" s="148"/>
      <c r="BH163" s="148"/>
      <c r="BI163" s="148"/>
      <c r="BJ163" s="148"/>
    </row>
    <row r="164" spans="1:62" x14ac:dyDescent="0.3">
      <c r="A164" s="140"/>
      <c r="B164" s="140"/>
      <c r="C164" s="140"/>
      <c r="D164" s="140"/>
      <c r="E164" s="141"/>
      <c r="F164" s="141"/>
      <c r="G164" s="167"/>
      <c r="H164" s="141"/>
      <c r="I164" s="141"/>
      <c r="J164" s="141"/>
      <c r="K164" s="141"/>
      <c r="L164" s="141"/>
      <c r="N164" s="143"/>
      <c r="Q164" s="167"/>
      <c r="R164" s="180"/>
      <c r="S164" s="181"/>
      <c r="T164" s="181"/>
      <c r="U164" s="180"/>
      <c r="V164" s="180"/>
      <c r="W164" s="167"/>
      <c r="X164" s="201"/>
      <c r="Y164" s="201"/>
      <c r="Z164" s="201"/>
      <c r="AA164" s="201"/>
      <c r="AB164" s="167"/>
      <c r="AC164" s="200"/>
      <c r="AD164" s="185"/>
      <c r="AE164" s="185"/>
      <c r="AF164" s="185"/>
      <c r="AG164" s="185"/>
      <c r="AH164" s="185"/>
      <c r="AI164" s="185"/>
      <c r="AJ164" s="186"/>
      <c r="AK164" s="167"/>
      <c r="AL164" s="148"/>
      <c r="AM164" s="148"/>
      <c r="AN164" s="148"/>
      <c r="AO164" s="148"/>
      <c r="AP164" s="148"/>
      <c r="AQ164" s="148"/>
      <c r="AR164" s="148"/>
      <c r="AS164" s="148"/>
      <c r="AT164" s="148"/>
      <c r="AU164" s="148"/>
      <c r="AV164" s="148"/>
      <c r="AW164" s="148"/>
      <c r="AX164" s="148"/>
      <c r="AY164" s="148"/>
      <c r="AZ164" s="148"/>
      <c r="BA164" s="148"/>
      <c r="BB164" s="148"/>
      <c r="BC164" s="148"/>
      <c r="BD164" s="148"/>
      <c r="BE164" s="148"/>
      <c r="BF164" s="148"/>
      <c r="BG164" s="148"/>
      <c r="BH164" s="148"/>
      <c r="BI164" s="148"/>
      <c r="BJ164" s="148"/>
    </row>
    <row r="165" spans="1:62" x14ac:dyDescent="0.3">
      <c r="A165" s="140"/>
      <c r="B165" s="140"/>
      <c r="C165" s="140"/>
      <c r="D165" s="140"/>
      <c r="E165" s="141"/>
      <c r="F165" s="141"/>
      <c r="G165" s="167"/>
      <c r="H165" s="141"/>
      <c r="I165" s="141"/>
      <c r="J165" s="141"/>
      <c r="K165" s="141"/>
      <c r="L165" s="141"/>
      <c r="N165" s="143"/>
      <c r="Q165" s="167"/>
      <c r="R165" s="180"/>
      <c r="S165" s="181"/>
      <c r="T165" s="181"/>
      <c r="U165" s="180"/>
      <c r="V165" s="180"/>
      <c r="W165" s="167"/>
      <c r="X165" s="201"/>
      <c r="Y165" s="201"/>
      <c r="Z165" s="201"/>
      <c r="AA165" s="201"/>
      <c r="AB165" s="167"/>
      <c r="AC165" s="200"/>
      <c r="AD165" s="185"/>
      <c r="AE165" s="185"/>
      <c r="AF165" s="185"/>
      <c r="AG165" s="185"/>
      <c r="AH165" s="185"/>
      <c r="AI165" s="185"/>
      <c r="AJ165" s="186"/>
      <c r="AK165" s="167"/>
      <c r="AL165" s="148"/>
      <c r="AM165" s="148"/>
      <c r="AN165" s="148"/>
      <c r="AO165" s="148"/>
      <c r="AP165" s="148"/>
      <c r="AQ165" s="148"/>
      <c r="AR165" s="148"/>
      <c r="AS165" s="148"/>
      <c r="AT165" s="148"/>
      <c r="AU165" s="148"/>
      <c r="AV165" s="148"/>
      <c r="AW165" s="148"/>
      <c r="AX165" s="148"/>
      <c r="AY165" s="148"/>
      <c r="AZ165" s="148"/>
      <c r="BA165" s="148"/>
      <c r="BB165" s="148"/>
      <c r="BC165" s="148"/>
      <c r="BD165" s="148"/>
      <c r="BE165" s="148"/>
      <c r="BF165" s="148"/>
      <c r="BG165" s="148"/>
      <c r="BH165" s="148"/>
      <c r="BI165" s="148"/>
      <c r="BJ165" s="148"/>
    </row>
    <row r="166" spans="1:62" x14ac:dyDescent="0.3">
      <c r="A166" s="140"/>
      <c r="B166" s="140"/>
      <c r="C166" s="140"/>
      <c r="D166" s="140"/>
      <c r="E166" s="141"/>
      <c r="F166" s="141"/>
      <c r="G166" s="167"/>
      <c r="H166" s="141"/>
      <c r="I166" s="141"/>
      <c r="J166" s="141"/>
      <c r="K166" s="141"/>
      <c r="L166" s="141"/>
      <c r="N166" s="143"/>
      <c r="Q166" s="167"/>
      <c r="R166" s="180"/>
      <c r="S166" s="181"/>
      <c r="T166" s="181"/>
      <c r="U166" s="180"/>
      <c r="V166" s="180"/>
      <c r="W166" s="167"/>
      <c r="X166" s="201"/>
      <c r="Y166" s="201"/>
      <c r="Z166" s="201"/>
      <c r="AA166" s="201"/>
      <c r="AB166" s="167"/>
      <c r="AC166" s="200"/>
      <c r="AD166" s="185"/>
      <c r="AE166" s="185"/>
      <c r="AF166" s="185"/>
      <c r="AG166" s="185"/>
      <c r="AH166" s="185"/>
      <c r="AI166" s="185"/>
      <c r="AJ166" s="186"/>
      <c r="AK166" s="167"/>
      <c r="AL166" s="148"/>
      <c r="AM166" s="148"/>
      <c r="AN166" s="148"/>
      <c r="AO166" s="148"/>
      <c r="AP166" s="148"/>
      <c r="AQ166" s="148"/>
      <c r="AR166" s="148"/>
      <c r="AS166" s="148"/>
      <c r="AT166" s="148"/>
      <c r="AU166" s="148"/>
      <c r="AV166" s="148"/>
      <c r="AW166" s="148"/>
      <c r="AX166" s="148"/>
      <c r="AY166" s="148"/>
      <c r="AZ166" s="148"/>
      <c r="BA166" s="148"/>
      <c r="BB166" s="148"/>
      <c r="BC166" s="148"/>
      <c r="BD166" s="148"/>
      <c r="BE166" s="148"/>
      <c r="BF166" s="148"/>
      <c r="BG166" s="148"/>
      <c r="BH166" s="148"/>
      <c r="BI166" s="148"/>
      <c r="BJ166" s="148"/>
    </row>
    <row r="167" spans="1:62" x14ac:dyDescent="0.3">
      <c r="A167" s="140"/>
      <c r="B167" s="140"/>
      <c r="C167" s="140"/>
      <c r="D167" s="140"/>
      <c r="E167" s="141"/>
      <c r="F167" s="141"/>
      <c r="G167" s="167"/>
      <c r="H167" s="141"/>
      <c r="I167" s="141"/>
      <c r="J167" s="141"/>
      <c r="K167" s="141"/>
      <c r="L167" s="141"/>
      <c r="N167" s="143"/>
      <c r="Q167" s="167"/>
      <c r="R167" s="180"/>
      <c r="S167" s="181"/>
      <c r="T167" s="181"/>
      <c r="U167" s="180"/>
      <c r="V167" s="180"/>
      <c r="W167" s="167"/>
      <c r="X167" s="201"/>
      <c r="Y167" s="201"/>
      <c r="Z167" s="201"/>
      <c r="AA167" s="201"/>
      <c r="AB167" s="167"/>
      <c r="AC167" s="200"/>
      <c r="AD167" s="185"/>
      <c r="AE167" s="185"/>
      <c r="AF167" s="185"/>
      <c r="AG167" s="185"/>
      <c r="AH167" s="185"/>
      <c r="AI167" s="185"/>
      <c r="AJ167" s="186"/>
      <c r="AK167" s="167"/>
      <c r="AL167" s="148"/>
      <c r="AM167" s="148"/>
      <c r="AN167" s="148"/>
      <c r="AO167" s="148"/>
      <c r="AP167" s="148"/>
      <c r="AQ167" s="148"/>
      <c r="AR167" s="148"/>
      <c r="AS167" s="148"/>
      <c r="AT167" s="148"/>
      <c r="AU167" s="148"/>
      <c r="AV167" s="148"/>
      <c r="AW167" s="148"/>
      <c r="AX167" s="148"/>
      <c r="AY167" s="148"/>
      <c r="AZ167" s="148"/>
      <c r="BA167" s="148"/>
      <c r="BB167" s="148"/>
      <c r="BC167" s="148"/>
      <c r="BD167" s="148"/>
      <c r="BE167" s="148"/>
      <c r="BF167" s="148"/>
      <c r="BG167" s="148"/>
      <c r="BH167" s="148"/>
      <c r="BI167" s="148"/>
      <c r="BJ167" s="148"/>
    </row>
    <row r="168" spans="1:62" x14ac:dyDescent="0.3">
      <c r="A168" s="140"/>
      <c r="B168" s="140"/>
      <c r="C168" s="140"/>
      <c r="D168" s="140"/>
      <c r="E168" s="141"/>
      <c r="F168" s="141"/>
      <c r="G168" s="167"/>
      <c r="H168" s="141"/>
      <c r="I168" s="141"/>
      <c r="J168" s="141"/>
      <c r="K168" s="141"/>
      <c r="L168" s="141"/>
      <c r="N168" s="143"/>
      <c r="Q168" s="167"/>
      <c r="R168" s="180"/>
      <c r="S168" s="181"/>
      <c r="T168" s="181"/>
      <c r="U168" s="180"/>
      <c r="V168" s="180"/>
      <c r="W168" s="167"/>
      <c r="X168" s="201"/>
      <c r="Y168" s="201"/>
      <c r="Z168" s="201"/>
      <c r="AA168" s="201"/>
      <c r="AB168" s="167"/>
      <c r="AC168" s="200"/>
      <c r="AD168" s="185"/>
      <c r="AE168" s="185"/>
      <c r="AF168" s="185"/>
      <c r="AG168" s="185"/>
      <c r="AH168" s="185"/>
      <c r="AI168" s="185"/>
      <c r="AJ168" s="186"/>
      <c r="AK168" s="167"/>
      <c r="AL168" s="148"/>
      <c r="AM168" s="148"/>
      <c r="AN168" s="148"/>
      <c r="AO168" s="148"/>
      <c r="AP168" s="148"/>
      <c r="AQ168" s="148"/>
      <c r="AR168" s="148"/>
      <c r="AS168" s="148"/>
      <c r="AT168" s="148"/>
      <c r="AU168" s="148"/>
      <c r="AV168" s="148"/>
      <c r="AW168" s="148"/>
      <c r="AX168" s="148"/>
      <c r="AY168" s="148"/>
      <c r="AZ168" s="148"/>
      <c r="BA168" s="148"/>
      <c r="BB168" s="148"/>
      <c r="BC168" s="148"/>
      <c r="BD168" s="148"/>
      <c r="BE168" s="148"/>
      <c r="BF168" s="148"/>
      <c r="BG168" s="148"/>
      <c r="BH168" s="148"/>
      <c r="BI168" s="148"/>
      <c r="BJ168" s="148"/>
    </row>
    <row r="169" spans="1:62" x14ac:dyDescent="0.3">
      <c r="A169" s="140"/>
      <c r="B169" s="140"/>
      <c r="C169" s="140"/>
      <c r="D169" s="140"/>
      <c r="E169" s="141"/>
      <c r="F169" s="141"/>
      <c r="G169" s="167"/>
      <c r="H169" s="141"/>
      <c r="I169" s="141"/>
      <c r="J169" s="141"/>
      <c r="K169" s="141"/>
      <c r="L169" s="141"/>
      <c r="N169" s="143"/>
      <c r="Q169" s="167"/>
      <c r="R169" s="180"/>
      <c r="S169" s="181"/>
      <c r="T169" s="181"/>
      <c r="U169" s="180"/>
      <c r="V169" s="180"/>
      <c r="W169" s="167"/>
      <c r="X169" s="201"/>
      <c r="Y169" s="201"/>
      <c r="Z169" s="201"/>
      <c r="AA169" s="201"/>
      <c r="AB169" s="167"/>
      <c r="AC169" s="200"/>
      <c r="AD169" s="185"/>
      <c r="AE169" s="185"/>
      <c r="AF169" s="185"/>
      <c r="AG169" s="185"/>
      <c r="AH169" s="185"/>
      <c r="AI169" s="185"/>
      <c r="AJ169" s="186"/>
      <c r="AK169" s="167"/>
      <c r="AL169" s="148"/>
      <c r="AM169" s="148"/>
      <c r="AN169" s="148"/>
      <c r="AO169" s="148"/>
      <c r="AP169" s="148"/>
      <c r="AQ169" s="148"/>
      <c r="AR169" s="148"/>
      <c r="AS169" s="148"/>
      <c r="AT169" s="148"/>
      <c r="AU169" s="148"/>
      <c r="AV169" s="148"/>
      <c r="AW169" s="148"/>
      <c r="AX169" s="148"/>
      <c r="AY169" s="148"/>
      <c r="AZ169" s="148"/>
      <c r="BA169" s="148"/>
      <c r="BB169" s="148"/>
      <c r="BC169" s="148"/>
      <c r="BD169" s="148"/>
      <c r="BE169" s="148"/>
      <c r="BF169" s="148"/>
      <c r="BG169" s="148"/>
      <c r="BH169" s="148"/>
      <c r="BI169" s="148"/>
      <c r="BJ169" s="148"/>
    </row>
    <row r="170" spans="1:62" x14ac:dyDescent="0.3">
      <c r="A170" s="140"/>
      <c r="B170" s="140"/>
      <c r="C170" s="140"/>
      <c r="D170" s="140"/>
      <c r="E170" s="141"/>
      <c r="F170" s="141"/>
      <c r="G170" s="167"/>
      <c r="H170" s="141"/>
      <c r="I170" s="141"/>
      <c r="J170" s="141"/>
      <c r="K170" s="141"/>
      <c r="L170" s="141"/>
      <c r="N170" s="143"/>
      <c r="Q170" s="167"/>
      <c r="R170" s="180"/>
      <c r="S170" s="181"/>
      <c r="T170" s="181"/>
      <c r="U170" s="180"/>
      <c r="V170" s="180"/>
      <c r="W170" s="167"/>
      <c r="X170" s="201"/>
      <c r="Y170" s="201"/>
      <c r="Z170" s="201"/>
      <c r="AA170" s="201"/>
      <c r="AB170" s="167"/>
      <c r="AC170" s="200"/>
      <c r="AD170" s="185"/>
      <c r="AE170" s="185"/>
      <c r="AF170" s="185"/>
      <c r="AG170" s="185"/>
      <c r="AH170" s="185"/>
      <c r="AI170" s="185"/>
      <c r="AJ170" s="186"/>
      <c r="AK170" s="167"/>
      <c r="AL170" s="148"/>
      <c r="AM170" s="148"/>
      <c r="AN170" s="148"/>
      <c r="AO170" s="148"/>
      <c r="AP170" s="148"/>
      <c r="AQ170" s="148"/>
      <c r="AR170" s="148"/>
      <c r="AS170" s="148"/>
      <c r="AT170" s="148"/>
      <c r="AU170" s="148"/>
      <c r="AV170" s="148"/>
      <c r="AW170" s="148"/>
      <c r="AX170" s="148"/>
      <c r="AY170" s="148"/>
      <c r="AZ170" s="148"/>
      <c r="BA170" s="148"/>
      <c r="BB170" s="148"/>
      <c r="BC170" s="148"/>
      <c r="BD170" s="148"/>
      <c r="BE170" s="148"/>
      <c r="BF170" s="148"/>
      <c r="BG170" s="148"/>
      <c r="BH170" s="148"/>
      <c r="BI170" s="148"/>
      <c r="BJ170" s="148"/>
    </row>
    <row r="171" spans="1:62" x14ac:dyDescent="0.3">
      <c r="A171" s="140"/>
      <c r="B171" s="140"/>
      <c r="C171" s="140"/>
      <c r="D171" s="140"/>
      <c r="E171" s="141"/>
      <c r="F171" s="141"/>
      <c r="G171" s="167"/>
      <c r="H171" s="141"/>
      <c r="I171" s="141"/>
      <c r="J171" s="141"/>
      <c r="K171" s="141"/>
      <c r="L171" s="141"/>
      <c r="N171" s="143"/>
      <c r="Q171" s="167"/>
      <c r="R171" s="180"/>
      <c r="S171" s="181"/>
      <c r="T171" s="181"/>
      <c r="U171" s="180"/>
      <c r="V171" s="180"/>
      <c r="W171" s="167"/>
      <c r="X171" s="201"/>
      <c r="Y171" s="201"/>
      <c r="Z171" s="201"/>
      <c r="AA171" s="201"/>
      <c r="AB171" s="167"/>
      <c r="AC171" s="200"/>
      <c r="AD171" s="185"/>
      <c r="AE171" s="185"/>
      <c r="AF171" s="185"/>
      <c r="AG171" s="185"/>
      <c r="AH171" s="185"/>
      <c r="AI171" s="185"/>
      <c r="AJ171" s="186"/>
      <c r="AK171" s="167"/>
      <c r="AL171" s="148"/>
      <c r="AM171" s="148"/>
      <c r="AN171" s="148"/>
      <c r="AO171" s="148"/>
      <c r="AP171" s="148"/>
      <c r="AQ171" s="148"/>
      <c r="AR171" s="148"/>
      <c r="AS171" s="148"/>
      <c r="AT171" s="148"/>
      <c r="AU171" s="148"/>
      <c r="AV171" s="148"/>
      <c r="AW171" s="148"/>
      <c r="AX171" s="148"/>
      <c r="AY171" s="148"/>
      <c r="AZ171" s="148"/>
      <c r="BA171" s="148"/>
      <c r="BB171" s="148"/>
      <c r="BC171" s="148"/>
      <c r="BD171" s="148"/>
      <c r="BE171" s="148"/>
      <c r="BF171" s="148"/>
      <c r="BG171" s="148"/>
      <c r="BH171" s="148"/>
      <c r="BI171" s="148"/>
      <c r="BJ171" s="148"/>
    </row>
    <row r="172" spans="1:62" x14ac:dyDescent="0.3">
      <c r="A172" s="140"/>
      <c r="B172" s="140"/>
      <c r="C172" s="140"/>
      <c r="D172" s="140"/>
      <c r="E172" s="141"/>
      <c r="F172" s="141"/>
      <c r="G172" s="167"/>
      <c r="H172" s="141"/>
      <c r="I172" s="141"/>
      <c r="J172" s="141"/>
      <c r="K172" s="141"/>
      <c r="L172" s="141"/>
      <c r="N172" s="143"/>
      <c r="Q172" s="167"/>
      <c r="R172" s="180"/>
      <c r="S172" s="181"/>
      <c r="T172" s="181"/>
      <c r="U172" s="180"/>
      <c r="V172" s="180"/>
      <c r="W172" s="167"/>
      <c r="X172" s="201"/>
      <c r="Y172" s="201"/>
      <c r="Z172" s="201"/>
      <c r="AA172" s="201"/>
      <c r="AB172" s="167"/>
      <c r="AC172" s="200"/>
      <c r="AD172" s="185"/>
      <c r="AE172" s="185"/>
      <c r="AF172" s="185"/>
      <c r="AG172" s="185"/>
      <c r="AH172" s="185"/>
      <c r="AI172" s="185"/>
      <c r="AJ172" s="186"/>
      <c r="AK172" s="167"/>
      <c r="AL172" s="148"/>
      <c r="AM172" s="148"/>
      <c r="AN172" s="148"/>
      <c r="AO172" s="148"/>
      <c r="AP172" s="148"/>
      <c r="AQ172" s="148"/>
      <c r="AR172" s="148"/>
      <c r="AS172" s="148"/>
      <c r="AT172" s="148"/>
      <c r="AU172" s="148"/>
      <c r="AV172" s="148"/>
      <c r="AW172" s="148"/>
      <c r="AX172" s="148"/>
      <c r="AY172" s="148"/>
      <c r="AZ172" s="148"/>
      <c r="BA172" s="148"/>
      <c r="BB172" s="148"/>
      <c r="BC172" s="148"/>
      <c r="BD172" s="148"/>
      <c r="BE172" s="148"/>
      <c r="BF172" s="148"/>
      <c r="BG172" s="148"/>
      <c r="BH172" s="148"/>
      <c r="BI172" s="148"/>
      <c r="BJ172" s="148"/>
    </row>
    <row r="173" spans="1:62" x14ac:dyDescent="0.3">
      <c r="A173" s="140"/>
      <c r="B173" s="140"/>
      <c r="C173" s="140"/>
      <c r="D173" s="140"/>
      <c r="E173" s="141"/>
      <c r="F173" s="141"/>
      <c r="G173" s="167"/>
      <c r="H173" s="141"/>
      <c r="I173" s="141"/>
      <c r="J173" s="141"/>
      <c r="K173" s="141"/>
      <c r="L173" s="141"/>
      <c r="N173" s="143"/>
      <c r="Q173" s="167"/>
      <c r="R173" s="180"/>
      <c r="S173" s="181"/>
      <c r="T173" s="181"/>
      <c r="U173" s="180"/>
      <c r="V173" s="180"/>
      <c r="W173" s="167"/>
      <c r="X173" s="201"/>
      <c r="Y173" s="201"/>
      <c r="Z173" s="201"/>
      <c r="AA173" s="201"/>
      <c r="AB173" s="167"/>
      <c r="AC173" s="200"/>
      <c r="AD173" s="185"/>
      <c r="AE173" s="185"/>
      <c r="AF173" s="185"/>
      <c r="AG173" s="185"/>
      <c r="AH173" s="185"/>
      <c r="AI173" s="185"/>
      <c r="AJ173" s="186"/>
      <c r="AK173" s="167"/>
      <c r="AL173" s="148"/>
      <c r="AM173" s="148"/>
      <c r="AN173" s="148"/>
      <c r="AO173" s="148"/>
      <c r="AP173" s="148"/>
      <c r="AQ173" s="148"/>
      <c r="AR173" s="148"/>
      <c r="AS173" s="148"/>
      <c r="AT173" s="148"/>
      <c r="AU173" s="148"/>
      <c r="AV173" s="148"/>
      <c r="AW173" s="148"/>
      <c r="AX173" s="148"/>
      <c r="AY173" s="148"/>
      <c r="AZ173" s="148"/>
      <c r="BA173" s="148"/>
      <c r="BB173" s="148"/>
      <c r="BC173" s="148"/>
      <c r="BD173" s="148"/>
      <c r="BE173" s="148"/>
      <c r="BF173" s="148"/>
      <c r="BG173" s="148"/>
      <c r="BH173" s="148"/>
      <c r="BI173" s="148"/>
      <c r="BJ173" s="148"/>
    </row>
    <row r="174" spans="1:62" x14ac:dyDescent="0.3">
      <c r="A174" s="140"/>
      <c r="B174" s="140"/>
      <c r="C174" s="140"/>
      <c r="D174" s="140"/>
      <c r="E174" s="141"/>
      <c r="F174" s="141"/>
      <c r="G174" s="167"/>
      <c r="H174" s="141"/>
      <c r="I174" s="141"/>
      <c r="J174" s="141"/>
      <c r="K174" s="141"/>
      <c r="L174" s="141"/>
      <c r="N174" s="143"/>
      <c r="Q174" s="167"/>
      <c r="R174" s="180"/>
      <c r="S174" s="181"/>
      <c r="T174" s="181"/>
      <c r="U174" s="180"/>
      <c r="V174" s="180"/>
      <c r="W174" s="167"/>
      <c r="X174" s="201"/>
      <c r="Y174" s="201"/>
      <c r="Z174" s="201"/>
      <c r="AA174" s="201"/>
      <c r="AB174" s="167"/>
      <c r="AC174" s="200"/>
      <c r="AD174" s="185"/>
      <c r="AE174" s="185"/>
      <c r="AF174" s="185"/>
      <c r="AG174" s="185"/>
      <c r="AH174" s="185"/>
      <c r="AI174" s="185"/>
      <c r="AJ174" s="186"/>
      <c r="AK174" s="167"/>
      <c r="AL174" s="148"/>
      <c r="AM174" s="148"/>
      <c r="AN174" s="148"/>
      <c r="AO174" s="148"/>
      <c r="AP174" s="148"/>
      <c r="AQ174" s="148"/>
      <c r="AR174" s="148"/>
      <c r="AS174" s="148"/>
      <c r="AT174" s="148"/>
      <c r="AU174" s="148"/>
      <c r="AV174" s="148"/>
      <c r="AW174" s="148"/>
      <c r="AX174" s="148"/>
      <c r="AY174" s="148"/>
      <c r="AZ174" s="148"/>
      <c r="BA174" s="148"/>
      <c r="BB174" s="148"/>
      <c r="BC174" s="148"/>
      <c r="BD174" s="148"/>
      <c r="BE174" s="148"/>
      <c r="BF174" s="148"/>
      <c r="BG174" s="148"/>
      <c r="BH174" s="148"/>
      <c r="BI174" s="148"/>
      <c r="BJ174" s="148"/>
    </row>
    <row r="175" spans="1:62" x14ac:dyDescent="0.3">
      <c r="A175" s="140"/>
      <c r="B175" s="140"/>
      <c r="C175" s="140"/>
      <c r="D175" s="140"/>
      <c r="E175" s="141"/>
      <c r="F175" s="141"/>
      <c r="G175" s="167"/>
      <c r="H175" s="141"/>
      <c r="I175" s="141"/>
      <c r="J175" s="141"/>
      <c r="K175" s="141"/>
      <c r="L175" s="141"/>
      <c r="N175" s="143"/>
      <c r="Q175" s="167"/>
      <c r="R175" s="180"/>
      <c r="S175" s="181"/>
      <c r="T175" s="181"/>
      <c r="U175" s="180"/>
      <c r="V175" s="180"/>
      <c r="W175" s="167"/>
      <c r="X175" s="201"/>
      <c r="Y175" s="201"/>
      <c r="Z175" s="201"/>
      <c r="AA175" s="201"/>
      <c r="AB175" s="167"/>
      <c r="AC175" s="200"/>
      <c r="AD175" s="185"/>
      <c r="AE175" s="185"/>
      <c r="AF175" s="185"/>
      <c r="AG175" s="185"/>
      <c r="AH175" s="185"/>
      <c r="AI175" s="185"/>
      <c r="AJ175" s="186"/>
      <c r="AK175" s="167"/>
      <c r="AL175" s="148"/>
      <c r="AM175" s="148"/>
      <c r="AN175" s="148"/>
      <c r="AO175" s="148"/>
      <c r="AP175" s="148"/>
      <c r="AQ175" s="148"/>
      <c r="AR175" s="148"/>
      <c r="AS175" s="148"/>
      <c r="AT175" s="148"/>
      <c r="AU175" s="148"/>
      <c r="AV175" s="148"/>
      <c r="AW175" s="148"/>
      <c r="AX175" s="148"/>
      <c r="AY175" s="148"/>
      <c r="AZ175" s="148"/>
      <c r="BA175" s="148"/>
      <c r="BB175" s="148"/>
      <c r="BC175" s="148"/>
      <c r="BD175" s="148"/>
      <c r="BE175" s="148"/>
      <c r="BF175" s="148"/>
      <c r="BG175" s="148"/>
      <c r="BH175" s="148"/>
      <c r="BI175" s="148"/>
      <c r="BJ175" s="148"/>
    </row>
    <row r="176" spans="1:62" x14ac:dyDescent="0.3">
      <c r="A176" s="140"/>
      <c r="B176" s="140"/>
      <c r="C176" s="140"/>
      <c r="D176" s="140"/>
      <c r="E176" s="141"/>
      <c r="F176" s="141"/>
      <c r="G176" s="167"/>
      <c r="H176" s="141"/>
      <c r="I176" s="141"/>
      <c r="J176" s="141"/>
      <c r="K176" s="141"/>
      <c r="L176" s="141"/>
      <c r="N176" s="143"/>
      <c r="Q176" s="167"/>
      <c r="R176" s="180"/>
      <c r="S176" s="181"/>
      <c r="T176" s="181"/>
      <c r="U176" s="180"/>
      <c r="V176" s="180"/>
      <c r="W176" s="167"/>
      <c r="X176" s="201"/>
      <c r="Y176" s="201"/>
      <c r="Z176" s="201"/>
      <c r="AA176" s="201"/>
      <c r="AB176" s="167"/>
      <c r="AC176" s="200"/>
      <c r="AD176" s="185"/>
      <c r="AE176" s="185"/>
      <c r="AF176" s="185"/>
      <c r="AG176" s="185"/>
      <c r="AH176" s="185"/>
      <c r="AI176" s="185"/>
      <c r="AJ176" s="186"/>
      <c r="AK176" s="167"/>
      <c r="AL176" s="148"/>
      <c r="AM176" s="148"/>
      <c r="AN176" s="148"/>
      <c r="AO176" s="148"/>
      <c r="AP176" s="148"/>
      <c r="AQ176" s="148"/>
      <c r="AR176" s="148"/>
      <c r="AS176" s="148"/>
      <c r="AT176" s="148"/>
      <c r="AU176" s="148"/>
      <c r="AV176" s="148"/>
      <c r="AW176" s="148"/>
      <c r="AX176" s="148"/>
      <c r="AY176" s="148"/>
      <c r="AZ176" s="148"/>
      <c r="BA176" s="148"/>
      <c r="BB176" s="148"/>
      <c r="BC176" s="148"/>
      <c r="BD176" s="148"/>
      <c r="BE176" s="148"/>
      <c r="BF176" s="148"/>
      <c r="BG176" s="148"/>
      <c r="BH176" s="148"/>
      <c r="BI176" s="148"/>
      <c r="BJ176" s="148"/>
    </row>
    <row r="177" spans="1:62" x14ac:dyDescent="0.3">
      <c r="A177" s="140"/>
      <c r="B177" s="140"/>
      <c r="C177" s="140"/>
      <c r="D177" s="140"/>
      <c r="E177" s="141"/>
      <c r="F177" s="141"/>
      <c r="G177" s="167"/>
      <c r="H177" s="141"/>
      <c r="I177" s="141"/>
      <c r="J177" s="141"/>
      <c r="K177" s="141"/>
      <c r="L177" s="141"/>
      <c r="N177" s="143"/>
      <c r="Q177" s="167"/>
      <c r="R177" s="180"/>
      <c r="S177" s="181"/>
      <c r="T177" s="181"/>
      <c r="U177" s="180"/>
      <c r="V177" s="180"/>
      <c r="W177" s="167"/>
      <c r="X177" s="201"/>
      <c r="Y177" s="201"/>
      <c r="Z177" s="201"/>
      <c r="AA177" s="201"/>
      <c r="AB177" s="167"/>
      <c r="AC177" s="200"/>
      <c r="AD177" s="185"/>
      <c r="AE177" s="185"/>
      <c r="AF177" s="185"/>
      <c r="AG177" s="185"/>
      <c r="AH177" s="185"/>
      <c r="AI177" s="185"/>
      <c r="AJ177" s="186"/>
      <c r="AK177" s="167"/>
      <c r="AL177" s="148"/>
      <c r="AM177" s="148"/>
      <c r="AN177" s="148"/>
      <c r="AO177" s="148"/>
      <c r="AP177" s="148"/>
      <c r="AQ177" s="148"/>
      <c r="AR177" s="148"/>
      <c r="AS177" s="148"/>
      <c r="AT177" s="148"/>
      <c r="AU177" s="148"/>
      <c r="AV177" s="148"/>
      <c r="AW177" s="148"/>
      <c r="AX177" s="148"/>
      <c r="AY177" s="148"/>
      <c r="AZ177" s="148"/>
      <c r="BA177" s="148"/>
      <c r="BB177" s="148"/>
      <c r="BC177" s="148"/>
      <c r="BD177" s="148"/>
      <c r="BE177" s="148"/>
      <c r="BF177" s="148"/>
      <c r="BG177" s="148"/>
      <c r="BH177" s="148"/>
      <c r="BI177" s="148"/>
      <c r="BJ177" s="148"/>
    </row>
    <row r="178" spans="1:62" x14ac:dyDescent="0.3">
      <c r="A178" s="140"/>
      <c r="B178" s="140"/>
      <c r="C178" s="140"/>
      <c r="D178" s="140"/>
      <c r="E178" s="141"/>
      <c r="F178" s="141"/>
      <c r="G178" s="167"/>
      <c r="H178" s="141"/>
      <c r="I178" s="141"/>
      <c r="J178" s="141"/>
      <c r="K178" s="141"/>
      <c r="L178" s="141"/>
      <c r="N178" s="143"/>
      <c r="Q178" s="167"/>
      <c r="R178" s="180"/>
      <c r="S178" s="181"/>
      <c r="T178" s="181"/>
      <c r="U178" s="180"/>
      <c r="V178" s="180"/>
      <c r="W178" s="167"/>
      <c r="X178" s="201"/>
      <c r="Y178" s="201"/>
      <c r="Z178" s="201"/>
      <c r="AA178" s="201"/>
      <c r="AB178" s="167"/>
      <c r="AC178" s="200"/>
      <c r="AD178" s="185"/>
      <c r="AE178" s="185"/>
      <c r="AF178" s="185"/>
      <c r="AG178" s="185"/>
      <c r="AH178" s="185"/>
      <c r="AI178" s="185"/>
      <c r="AJ178" s="186"/>
      <c r="AK178" s="167"/>
      <c r="AL178" s="148"/>
      <c r="AM178" s="148"/>
      <c r="AN178" s="148"/>
      <c r="AO178" s="148"/>
      <c r="AP178" s="148"/>
      <c r="AQ178" s="148"/>
      <c r="AR178" s="148"/>
      <c r="AS178" s="148"/>
      <c r="AT178" s="148"/>
      <c r="AU178" s="148"/>
      <c r="AV178" s="148"/>
      <c r="AW178" s="148"/>
      <c r="AX178" s="148"/>
      <c r="AY178" s="148"/>
      <c r="AZ178" s="148"/>
      <c r="BA178" s="148"/>
      <c r="BB178" s="148"/>
      <c r="BC178" s="148"/>
      <c r="BD178" s="148"/>
      <c r="BE178" s="148"/>
      <c r="BF178" s="148"/>
      <c r="BG178" s="148"/>
      <c r="BH178" s="148"/>
      <c r="BI178" s="148"/>
      <c r="BJ178" s="148"/>
    </row>
    <row r="179" spans="1:62" x14ac:dyDescent="0.3">
      <c r="A179" s="140"/>
      <c r="B179" s="140"/>
      <c r="C179" s="140"/>
      <c r="D179" s="140"/>
      <c r="E179" s="141"/>
      <c r="F179" s="141"/>
      <c r="G179" s="167"/>
      <c r="H179" s="141"/>
      <c r="I179" s="141"/>
      <c r="J179" s="141"/>
      <c r="K179" s="141"/>
      <c r="L179" s="141"/>
      <c r="N179" s="143"/>
      <c r="Q179" s="167"/>
      <c r="R179" s="180"/>
      <c r="S179" s="181"/>
      <c r="T179" s="181"/>
      <c r="U179" s="180"/>
      <c r="V179" s="180"/>
      <c r="W179" s="167"/>
      <c r="X179" s="201"/>
      <c r="Y179" s="201"/>
      <c r="Z179" s="201"/>
      <c r="AA179" s="201"/>
      <c r="AB179" s="167"/>
      <c r="AC179" s="200"/>
      <c r="AD179" s="185"/>
      <c r="AE179" s="185"/>
      <c r="AF179" s="185"/>
      <c r="AG179" s="185"/>
      <c r="AH179" s="185"/>
      <c r="AI179" s="185"/>
      <c r="AJ179" s="186"/>
      <c r="AK179" s="167"/>
      <c r="AL179" s="148"/>
      <c r="AM179" s="148"/>
      <c r="AN179" s="148"/>
      <c r="AO179" s="148"/>
      <c r="AP179" s="148"/>
      <c r="AQ179" s="148"/>
      <c r="AR179" s="148"/>
      <c r="AS179" s="148"/>
      <c r="AT179" s="148"/>
      <c r="AU179" s="148"/>
      <c r="AV179" s="148"/>
      <c r="AW179" s="148"/>
      <c r="AX179" s="148"/>
      <c r="AY179" s="148"/>
      <c r="AZ179" s="148"/>
      <c r="BA179" s="148"/>
      <c r="BB179" s="148"/>
      <c r="BC179" s="148"/>
      <c r="BD179" s="148"/>
      <c r="BE179" s="148"/>
      <c r="BF179" s="148"/>
      <c r="BG179" s="148"/>
      <c r="BH179" s="148"/>
      <c r="BI179" s="148"/>
      <c r="BJ179" s="148"/>
    </row>
    <row r="180" spans="1:62" x14ac:dyDescent="0.3">
      <c r="A180" s="140"/>
      <c r="B180" s="140"/>
      <c r="C180" s="140"/>
      <c r="D180" s="140"/>
      <c r="E180" s="141"/>
      <c r="F180" s="141"/>
      <c r="G180" s="167"/>
      <c r="H180" s="141"/>
      <c r="I180" s="141"/>
      <c r="J180" s="141"/>
      <c r="K180" s="141"/>
      <c r="L180" s="141"/>
      <c r="N180" s="143"/>
      <c r="Q180" s="167"/>
      <c r="R180" s="180"/>
      <c r="S180" s="181"/>
      <c r="T180" s="181"/>
      <c r="U180" s="180"/>
      <c r="V180" s="180"/>
      <c r="W180" s="167"/>
      <c r="X180" s="201"/>
      <c r="Y180" s="201"/>
      <c r="Z180" s="201"/>
      <c r="AA180" s="201"/>
      <c r="AB180" s="167"/>
      <c r="AC180" s="200"/>
      <c r="AD180" s="185"/>
      <c r="AE180" s="185"/>
      <c r="AF180" s="185"/>
      <c r="AG180" s="185"/>
      <c r="AH180" s="185"/>
      <c r="AI180" s="185"/>
      <c r="AJ180" s="186"/>
      <c r="AK180" s="167"/>
      <c r="AL180" s="148"/>
      <c r="AM180" s="148"/>
      <c r="AN180" s="148"/>
      <c r="AO180" s="148"/>
      <c r="AP180" s="148"/>
      <c r="AQ180" s="148"/>
      <c r="AR180" s="148"/>
      <c r="AS180" s="148"/>
      <c r="AT180" s="148"/>
      <c r="AU180" s="148"/>
      <c r="AV180" s="148"/>
      <c r="AW180" s="148"/>
      <c r="AX180" s="148"/>
      <c r="AY180" s="148"/>
      <c r="AZ180" s="148"/>
      <c r="BA180" s="148"/>
      <c r="BB180" s="148"/>
      <c r="BC180" s="148"/>
      <c r="BD180" s="148"/>
      <c r="BE180" s="148"/>
      <c r="BF180" s="148"/>
      <c r="BG180" s="148"/>
      <c r="BH180" s="148"/>
      <c r="BI180" s="148"/>
      <c r="BJ180" s="148"/>
    </row>
    <row r="181" spans="1:62" x14ac:dyDescent="0.3">
      <c r="A181" s="140"/>
      <c r="B181" s="140"/>
      <c r="C181" s="140"/>
      <c r="D181" s="140"/>
      <c r="E181" s="141"/>
      <c r="F181" s="141"/>
      <c r="G181" s="167"/>
      <c r="H181" s="141"/>
      <c r="I181" s="141"/>
      <c r="J181" s="141"/>
      <c r="K181" s="141"/>
      <c r="L181" s="141"/>
      <c r="N181" s="143"/>
      <c r="Q181" s="167"/>
      <c r="R181" s="180"/>
      <c r="S181" s="181"/>
      <c r="T181" s="181"/>
      <c r="U181" s="180"/>
      <c r="V181" s="180"/>
      <c r="W181" s="167"/>
      <c r="X181" s="201"/>
      <c r="Y181" s="201"/>
      <c r="Z181" s="201"/>
      <c r="AA181" s="201"/>
      <c r="AB181" s="167"/>
      <c r="AC181" s="200"/>
      <c r="AD181" s="185"/>
      <c r="AE181" s="185"/>
      <c r="AF181" s="185"/>
      <c r="AG181" s="185"/>
      <c r="AH181" s="185"/>
      <c r="AI181" s="185"/>
      <c r="AJ181" s="186"/>
      <c r="AK181" s="167"/>
      <c r="AL181" s="148"/>
      <c r="AM181" s="148"/>
      <c r="AN181" s="148"/>
      <c r="AO181" s="148"/>
      <c r="AP181" s="148"/>
      <c r="AQ181" s="148"/>
      <c r="AR181" s="148"/>
      <c r="AS181" s="148"/>
      <c r="AT181" s="148"/>
      <c r="AU181" s="148"/>
      <c r="AV181" s="148"/>
      <c r="AW181" s="148"/>
      <c r="AX181" s="148"/>
      <c r="AY181" s="148"/>
      <c r="AZ181" s="148"/>
      <c r="BA181" s="148"/>
      <c r="BB181" s="148"/>
      <c r="BC181" s="148"/>
      <c r="BD181" s="148"/>
      <c r="BE181" s="148"/>
      <c r="BF181" s="148"/>
      <c r="BG181" s="148"/>
      <c r="BH181" s="148"/>
      <c r="BI181" s="148"/>
      <c r="BJ181" s="148"/>
    </row>
    <row r="182" spans="1:62" x14ac:dyDescent="0.3">
      <c r="A182" s="140"/>
      <c r="B182" s="140"/>
      <c r="C182" s="140"/>
      <c r="D182" s="140"/>
      <c r="E182" s="141"/>
      <c r="F182" s="141"/>
      <c r="G182" s="167"/>
      <c r="H182" s="141"/>
      <c r="I182" s="141"/>
      <c r="J182" s="141"/>
      <c r="K182" s="141"/>
      <c r="L182" s="141"/>
      <c r="N182" s="143"/>
      <c r="Q182" s="167"/>
      <c r="R182" s="180"/>
      <c r="S182" s="181"/>
      <c r="T182" s="181"/>
      <c r="U182" s="180"/>
      <c r="V182" s="180"/>
      <c r="W182" s="167"/>
      <c r="X182" s="201"/>
      <c r="Y182" s="201"/>
      <c r="Z182" s="201"/>
      <c r="AA182" s="201"/>
      <c r="AB182" s="167"/>
      <c r="AC182" s="200"/>
      <c r="AD182" s="185"/>
      <c r="AE182" s="185"/>
      <c r="AF182" s="185"/>
      <c r="AG182" s="185"/>
      <c r="AH182" s="185"/>
      <c r="AI182" s="185"/>
      <c r="AJ182" s="186"/>
      <c r="AK182" s="167"/>
      <c r="AL182" s="148"/>
      <c r="AM182" s="148"/>
      <c r="AN182" s="148"/>
      <c r="AO182" s="148"/>
      <c r="AP182" s="148"/>
      <c r="AQ182" s="148"/>
      <c r="AR182" s="148"/>
      <c r="AS182" s="148"/>
      <c r="AT182" s="148"/>
      <c r="AU182" s="148"/>
      <c r="AV182" s="148"/>
      <c r="AW182" s="148"/>
      <c r="AX182" s="148"/>
      <c r="AY182" s="148"/>
      <c r="AZ182" s="148"/>
      <c r="BA182" s="148"/>
      <c r="BB182" s="148"/>
      <c r="BC182" s="148"/>
      <c r="BD182" s="148"/>
      <c r="BE182" s="148"/>
      <c r="BF182" s="148"/>
      <c r="BG182" s="148"/>
      <c r="BH182" s="148"/>
      <c r="BI182" s="148"/>
      <c r="BJ182" s="148"/>
    </row>
    <row r="183" spans="1:62" x14ac:dyDescent="0.3">
      <c r="A183" s="140"/>
      <c r="B183" s="140"/>
      <c r="C183" s="140"/>
      <c r="D183" s="140"/>
      <c r="E183" s="141"/>
      <c r="F183" s="141"/>
      <c r="G183" s="167"/>
      <c r="H183" s="141"/>
      <c r="I183" s="141"/>
      <c r="J183" s="141"/>
      <c r="K183" s="141"/>
      <c r="L183" s="141"/>
      <c r="N183" s="143"/>
      <c r="Q183" s="167"/>
      <c r="R183" s="180"/>
      <c r="S183" s="181"/>
      <c r="T183" s="181"/>
      <c r="U183" s="180"/>
      <c r="V183" s="180"/>
      <c r="W183" s="167"/>
      <c r="X183" s="201"/>
      <c r="Y183" s="201"/>
      <c r="Z183" s="201"/>
      <c r="AA183" s="201"/>
      <c r="AB183" s="167"/>
      <c r="AC183" s="200"/>
      <c r="AD183" s="185"/>
      <c r="AE183" s="185"/>
      <c r="AF183" s="185"/>
      <c r="AG183" s="185"/>
      <c r="AH183" s="185"/>
      <c r="AI183" s="185"/>
      <c r="AJ183" s="186"/>
      <c r="AK183" s="167"/>
      <c r="AL183" s="148"/>
      <c r="AM183" s="148"/>
      <c r="AN183" s="148"/>
      <c r="AO183" s="148"/>
      <c r="AP183" s="148"/>
      <c r="AQ183" s="148"/>
      <c r="AR183" s="148"/>
      <c r="AS183" s="148"/>
      <c r="AT183" s="148"/>
      <c r="AU183" s="148"/>
      <c r="AV183" s="148"/>
      <c r="AW183" s="148"/>
      <c r="AX183" s="148"/>
      <c r="AY183" s="148"/>
      <c r="AZ183" s="148"/>
      <c r="BA183" s="148"/>
      <c r="BB183" s="148"/>
      <c r="BC183" s="148"/>
      <c r="BD183" s="148"/>
      <c r="BE183" s="148"/>
      <c r="BF183" s="148"/>
      <c r="BG183" s="148"/>
      <c r="BH183" s="148"/>
      <c r="BI183" s="148"/>
      <c r="BJ183" s="148"/>
    </row>
    <row r="184" spans="1:62" x14ac:dyDescent="0.3">
      <c r="A184" s="140"/>
      <c r="B184" s="140"/>
      <c r="C184" s="140"/>
      <c r="D184" s="140"/>
      <c r="E184" s="141"/>
      <c r="F184" s="141"/>
      <c r="G184" s="167"/>
      <c r="H184" s="141"/>
      <c r="I184" s="141"/>
      <c r="J184" s="141"/>
      <c r="K184" s="141"/>
      <c r="L184" s="141"/>
      <c r="N184" s="143"/>
      <c r="Q184" s="167"/>
      <c r="R184" s="180"/>
      <c r="S184" s="181"/>
      <c r="T184" s="181"/>
      <c r="U184" s="180"/>
      <c r="V184" s="180"/>
      <c r="W184" s="167"/>
      <c r="X184" s="201"/>
      <c r="Y184" s="201"/>
      <c r="Z184" s="201"/>
      <c r="AA184" s="201"/>
      <c r="AB184" s="167"/>
      <c r="AC184" s="200"/>
      <c r="AD184" s="185"/>
      <c r="AE184" s="185"/>
      <c r="AF184" s="185"/>
      <c r="AG184" s="185"/>
      <c r="AH184" s="185"/>
      <c r="AI184" s="185"/>
      <c r="AJ184" s="186"/>
      <c r="AK184" s="167"/>
      <c r="AL184" s="148"/>
      <c r="AM184" s="148"/>
      <c r="AN184" s="148"/>
      <c r="AO184" s="148"/>
      <c r="AP184" s="148"/>
      <c r="AQ184" s="148"/>
      <c r="AR184" s="148"/>
      <c r="AS184" s="148"/>
      <c r="AT184" s="148"/>
      <c r="AU184" s="148"/>
      <c r="AV184" s="148"/>
      <c r="AW184" s="148"/>
      <c r="AX184" s="148"/>
      <c r="AY184" s="148"/>
      <c r="AZ184" s="148"/>
      <c r="BA184" s="148"/>
      <c r="BB184" s="148"/>
      <c r="BC184" s="148"/>
      <c r="BD184" s="148"/>
      <c r="BE184" s="148"/>
      <c r="BF184" s="148"/>
      <c r="BG184" s="148"/>
      <c r="BH184" s="148"/>
      <c r="BI184" s="148"/>
      <c r="BJ184" s="148"/>
    </row>
    <row r="185" spans="1:62" x14ac:dyDescent="0.3">
      <c r="A185" s="140"/>
      <c r="B185" s="140"/>
      <c r="C185" s="140"/>
      <c r="D185" s="140"/>
      <c r="E185" s="141"/>
      <c r="F185" s="141"/>
      <c r="G185" s="167"/>
      <c r="H185" s="141"/>
      <c r="I185" s="141"/>
      <c r="J185" s="141"/>
      <c r="K185" s="141"/>
      <c r="L185" s="141"/>
      <c r="N185" s="143"/>
      <c r="Q185" s="167"/>
      <c r="R185" s="180"/>
      <c r="S185" s="181"/>
      <c r="T185" s="181"/>
      <c r="U185" s="180"/>
      <c r="V185" s="180"/>
      <c r="W185" s="167"/>
      <c r="X185" s="201"/>
      <c r="Y185" s="201"/>
      <c r="Z185" s="201"/>
      <c r="AA185" s="201"/>
      <c r="AB185" s="167"/>
      <c r="AC185" s="200"/>
      <c r="AD185" s="185"/>
      <c r="AE185" s="185"/>
      <c r="AF185" s="185"/>
      <c r="AG185" s="185"/>
      <c r="AH185" s="185"/>
      <c r="AI185" s="185"/>
      <c r="AJ185" s="186"/>
      <c r="AK185" s="167"/>
      <c r="AL185" s="148"/>
      <c r="AM185" s="148"/>
      <c r="AN185" s="148"/>
      <c r="AO185" s="148"/>
      <c r="AP185" s="148"/>
      <c r="AQ185" s="148"/>
      <c r="AR185" s="148"/>
      <c r="AS185" s="148"/>
      <c r="AT185" s="148"/>
      <c r="AU185" s="148"/>
      <c r="AV185" s="148"/>
      <c r="AW185" s="148"/>
      <c r="AX185" s="148"/>
      <c r="AY185" s="148"/>
      <c r="AZ185" s="148"/>
      <c r="BA185" s="148"/>
      <c r="BB185" s="148"/>
      <c r="BC185" s="148"/>
      <c r="BD185" s="148"/>
      <c r="BE185" s="148"/>
      <c r="BF185" s="148"/>
      <c r="BG185" s="148"/>
      <c r="BH185" s="148"/>
      <c r="BI185" s="148"/>
      <c r="BJ185" s="148"/>
    </row>
    <row r="186" spans="1:62" x14ac:dyDescent="0.3">
      <c r="A186" s="140"/>
      <c r="B186" s="140"/>
      <c r="C186" s="140"/>
      <c r="D186" s="140"/>
      <c r="E186" s="141"/>
      <c r="F186" s="141"/>
      <c r="G186" s="167"/>
      <c r="H186" s="141"/>
      <c r="I186" s="141"/>
      <c r="J186" s="141"/>
      <c r="K186" s="141"/>
      <c r="L186" s="141"/>
      <c r="N186" s="143"/>
      <c r="Q186" s="167"/>
      <c r="R186" s="180"/>
      <c r="S186" s="181"/>
      <c r="T186" s="181"/>
      <c r="U186" s="180"/>
      <c r="V186" s="180"/>
      <c r="W186" s="167"/>
      <c r="X186" s="201"/>
      <c r="Y186" s="201"/>
      <c r="Z186" s="201"/>
      <c r="AA186" s="201"/>
      <c r="AB186" s="167"/>
      <c r="AC186" s="200"/>
      <c r="AD186" s="185"/>
      <c r="AE186" s="185"/>
      <c r="AF186" s="185"/>
      <c r="AG186" s="185"/>
      <c r="AH186" s="185"/>
      <c r="AI186" s="185"/>
      <c r="AJ186" s="186"/>
      <c r="AK186" s="167"/>
      <c r="AL186" s="148"/>
      <c r="AM186" s="148"/>
      <c r="AN186" s="148"/>
      <c r="AO186" s="148"/>
      <c r="AP186" s="148"/>
      <c r="AQ186" s="148"/>
      <c r="AR186" s="148"/>
      <c r="AS186" s="148"/>
      <c r="AT186" s="148"/>
      <c r="AU186" s="148"/>
      <c r="AV186" s="148"/>
      <c r="AW186" s="148"/>
      <c r="AX186" s="148"/>
      <c r="AY186" s="148"/>
      <c r="AZ186" s="148"/>
      <c r="BA186" s="148"/>
      <c r="BB186" s="148"/>
      <c r="BC186" s="148"/>
      <c r="BD186" s="148"/>
      <c r="BE186" s="148"/>
      <c r="BF186" s="148"/>
      <c r="BG186" s="148"/>
      <c r="BH186" s="148"/>
      <c r="BI186" s="148"/>
      <c r="BJ186" s="148"/>
    </row>
    <row r="187" spans="1:62" x14ac:dyDescent="0.3">
      <c r="A187" s="140"/>
      <c r="B187" s="140"/>
      <c r="C187" s="140"/>
      <c r="D187" s="140"/>
      <c r="E187" s="141"/>
      <c r="F187" s="141"/>
      <c r="G187" s="167"/>
      <c r="H187" s="141"/>
      <c r="I187" s="141"/>
      <c r="J187" s="141"/>
      <c r="K187" s="141"/>
      <c r="L187" s="141"/>
      <c r="N187" s="143"/>
      <c r="Q187" s="167"/>
      <c r="R187" s="180"/>
      <c r="S187" s="181"/>
      <c r="T187" s="181"/>
      <c r="U187" s="180"/>
      <c r="V187" s="180"/>
      <c r="W187" s="167"/>
      <c r="X187" s="201"/>
      <c r="Y187" s="201"/>
      <c r="Z187" s="201"/>
      <c r="AA187" s="201"/>
      <c r="AB187" s="167"/>
      <c r="AC187" s="200"/>
      <c r="AD187" s="185"/>
      <c r="AE187" s="185"/>
      <c r="AF187" s="185"/>
      <c r="AG187" s="185"/>
      <c r="AH187" s="185"/>
      <c r="AI187" s="185"/>
      <c r="AJ187" s="186"/>
      <c r="AK187" s="167"/>
      <c r="AL187" s="148"/>
      <c r="AM187" s="148"/>
      <c r="AN187" s="148"/>
      <c r="AO187" s="148"/>
      <c r="AP187" s="148"/>
      <c r="AQ187" s="148"/>
      <c r="AR187" s="148"/>
      <c r="AS187" s="148"/>
      <c r="AT187" s="148"/>
      <c r="AU187" s="148"/>
      <c r="AV187" s="148"/>
      <c r="AW187" s="148"/>
      <c r="AX187" s="148"/>
      <c r="AY187" s="148"/>
      <c r="AZ187" s="148"/>
      <c r="BA187" s="148"/>
      <c r="BB187" s="148"/>
      <c r="BC187" s="148"/>
      <c r="BD187" s="148"/>
      <c r="BE187" s="148"/>
      <c r="BF187" s="148"/>
      <c r="BG187" s="148"/>
      <c r="BH187" s="148"/>
      <c r="BI187" s="148"/>
      <c r="BJ187" s="148"/>
    </row>
    <row r="188" spans="1:62" x14ac:dyDescent="0.3">
      <c r="A188" s="140"/>
      <c r="B188" s="140"/>
      <c r="C188" s="140"/>
      <c r="D188" s="140"/>
      <c r="E188" s="141"/>
      <c r="F188" s="141"/>
      <c r="G188" s="167"/>
      <c r="H188" s="141"/>
      <c r="I188" s="141"/>
      <c r="J188" s="141"/>
      <c r="K188" s="141"/>
      <c r="L188" s="141"/>
      <c r="N188" s="143"/>
      <c r="Q188" s="167"/>
      <c r="R188" s="180"/>
      <c r="S188" s="181"/>
      <c r="T188" s="181"/>
      <c r="U188" s="180"/>
      <c r="V188" s="180"/>
      <c r="W188" s="167"/>
      <c r="X188" s="201"/>
      <c r="Y188" s="201"/>
      <c r="Z188" s="201"/>
      <c r="AA188" s="201"/>
      <c r="AB188" s="167"/>
      <c r="AC188" s="200"/>
      <c r="AD188" s="185"/>
      <c r="AE188" s="185"/>
      <c r="AF188" s="185"/>
      <c r="AG188" s="185"/>
      <c r="AH188" s="185"/>
      <c r="AI188" s="185"/>
      <c r="AJ188" s="186"/>
      <c r="AK188" s="167"/>
      <c r="AL188" s="148"/>
      <c r="AM188" s="148"/>
      <c r="AN188" s="148"/>
      <c r="AO188" s="148"/>
      <c r="AP188" s="148"/>
      <c r="AQ188" s="148"/>
      <c r="AR188" s="148"/>
      <c r="AS188" s="148"/>
      <c r="AT188" s="148"/>
      <c r="AU188" s="148"/>
      <c r="AV188" s="148"/>
      <c r="AW188" s="148"/>
      <c r="AX188" s="148"/>
      <c r="AY188" s="148"/>
      <c r="AZ188" s="148"/>
      <c r="BA188" s="148"/>
      <c r="BB188" s="148"/>
      <c r="BC188" s="148"/>
      <c r="BD188" s="148"/>
      <c r="BE188" s="148"/>
      <c r="BF188" s="148"/>
      <c r="BG188" s="148"/>
      <c r="BH188" s="148"/>
      <c r="BI188" s="148"/>
      <c r="BJ188" s="148"/>
    </row>
    <row r="189" spans="1:62" x14ac:dyDescent="0.3">
      <c r="A189" s="140"/>
      <c r="B189" s="140"/>
      <c r="C189" s="140"/>
      <c r="D189" s="140"/>
      <c r="E189" s="141"/>
      <c r="F189" s="141"/>
      <c r="G189" s="167"/>
      <c r="H189" s="141"/>
      <c r="I189" s="141"/>
      <c r="J189" s="141"/>
      <c r="K189" s="141"/>
      <c r="L189" s="141"/>
      <c r="N189" s="143"/>
      <c r="Q189" s="167"/>
      <c r="R189" s="180"/>
      <c r="S189" s="181"/>
      <c r="T189" s="181"/>
      <c r="U189" s="180"/>
      <c r="V189" s="180"/>
      <c r="W189" s="167"/>
      <c r="X189" s="201"/>
      <c r="Y189" s="201"/>
      <c r="Z189" s="201"/>
      <c r="AA189" s="201"/>
      <c r="AB189" s="167"/>
      <c r="AC189" s="200"/>
      <c r="AD189" s="185"/>
      <c r="AE189" s="185"/>
      <c r="AF189" s="185"/>
      <c r="AG189" s="185"/>
      <c r="AH189" s="185"/>
      <c r="AI189" s="185"/>
      <c r="AJ189" s="186"/>
      <c r="AK189" s="167"/>
      <c r="AL189" s="148"/>
      <c r="AM189" s="148"/>
      <c r="AN189" s="148"/>
      <c r="AO189" s="148"/>
      <c r="AP189" s="148"/>
      <c r="AQ189" s="148"/>
      <c r="AR189" s="148"/>
      <c r="AS189" s="148"/>
      <c r="AT189" s="148"/>
      <c r="AU189" s="148"/>
      <c r="AV189" s="148"/>
      <c r="AW189" s="148"/>
      <c r="AX189" s="148"/>
      <c r="AY189" s="148"/>
      <c r="AZ189" s="148"/>
      <c r="BA189" s="148"/>
      <c r="BB189" s="148"/>
      <c r="BC189" s="148"/>
      <c r="BD189" s="148"/>
      <c r="BE189" s="148"/>
      <c r="BF189" s="148"/>
      <c r="BG189" s="148"/>
      <c r="BH189" s="148"/>
      <c r="BI189" s="148"/>
      <c r="BJ189" s="148"/>
    </row>
    <row r="190" spans="1:62" x14ac:dyDescent="0.3">
      <c r="A190" s="140"/>
      <c r="B190" s="140"/>
      <c r="C190" s="140"/>
      <c r="D190" s="140"/>
      <c r="E190" s="141"/>
      <c r="F190" s="141"/>
      <c r="G190" s="167"/>
      <c r="H190" s="141"/>
      <c r="I190" s="141"/>
      <c r="J190" s="141"/>
      <c r="K190" s="141"/>
      <c r="L190" s="141"/>
      <c r="N190" s="143"/>
      <c r="Q190" s="167"/>
      <c r="R190" s="180"/>
      <c r="S190" s="181"/>
      <c r="T190" s="181"/>
      <c r="U190" s="180"/>
      <c r="V190" s="180"/>
      <c r="W190" s="167"/>
      <c r="X190" s="201"/>
      <c r="Y190" s="201"/>
      <c r="Z190" s="201"/>
      <c r="AA190" s="201"/>
      <c r="AB190" s="167"/>
      <c r="AC190" s="200"/>
      <c r="AD190" s="185"/>
      <c r="AE190" s="185"/>
      <c r="AF190" s="185"/>
      <c r="AG190" s="185"/>
      <c r="AH190" s="185"/>
      <c r="AI190" s="185"/>
      <c r="AJ190" s="186"/>
      <c r="AK190" s="167"/>
      <c r="AL190" s="148"/>
      <c r="AM190" s="148"/>
      <c r="AN190" s="148"/>
      <c r="AO190" s="148"/>
      <c r="AP190" s="148"/>
      <c r="AQ190" s="148"/>
      <c r="AR190" s="148"/>
      <c r="AS190" s="148"/>
      <c r="AT190" s="148"/>
      <c r="AU190" s="148"/>
      <c r="AV190" s="148"/>
      <c r="AW190" s="148"/>
      <c r="AX190" s="148"/>
      <c r="AY190" s="148"/>
      <c r="AZ190" s="148"/>
      <c r="BA190" s="148"/>
      <c r="BB190" s="148"/>
      <c r="BC190" s="148"/>
      <c r="BD190" s="148"/>
      <c r="BE190" s="148"/>
      <c r="BF190" s="148"/>
      <c r="BG190" s="148"/>
      <c r="BH190" s="148"/>
      <c r="BI190" s="148"/>
      <c r="BJ190" s="148"/>
    </row>
    <row r="191" spans="1:62" x14ac:dyDescent="0.3">
      <c r="A191" s="140"/>
      <c r="B191" s="140"/>
      <c r="C191" s="140"/>
      <c r="D191" s="140"/>
      <c r="E191" s="141"/>
      <c r="F191" s="141"/>
      <c r="G191" s="167"/>
      <c r="H191" s="141"/>
      <c r="I191" s="141"/>
      <c r="J191" s="141"/>
      <c r="K191" s="141"/>
      <c r="L191" s="141"/>
      <c r="N191" s="143"/>
      <c r="Q191" s="167"/>
      <c r="R191" s="180"/>
      <c r="S191" s="181"/>
      <c r="T191" s="181"/>
      <c r="U191" s="180"/>
      <c r="V191" s="180"/>
      <c r="W191" s="167"/>
      <c r="X191" s="201"/>
      <c r="Y191" s="201"/>
      <c r="Z191" s="201"/>
      <c r="AA191" s="201"/>
      <c r="AB191" s="167"/>
      <c r="AC191" s="200"/>
      <c r="AD191" s="185"/>
      <c r="AE191" s="185"/>
      <c r="AF191" s="185"/>
      <c r="AG191" s="185"/>
      <c r="AH191" s="185"/>
      <c r="AI191" s="185"/>
      <c r="AJ191" s="186"/>
      <c r="AK191" s="167"/>
      <c r="AL191" s="148"/>
      <c r="AM191" s="148"/>
      <c r="AN191" s="148"/>
      <c r="AO191" s="148"/>
      <c r="AP191" s="148"/>
      <c r="AQ191" s="148"/>
      <c r="AR191" s="148"/>
      <c r="AS191" s="148"/>
      <c r="AT191" s="148"/>
      <c r="AU191" s="148"/>
      <c r="AV191" s="148"/>
      <c r="AW191" s="148"/>
      <c r="AX191" s="148"/>
      <c r="AY191" s="148"/>
      <c r="AZ191" s="148"/>
      <c r="BA191" s="148"/>
      <c r="BB191" s="148"/>
      <c r="BC191" s="148"/>
      <c r="BD191" s="148"/>
      <c r="BE191" s="148"/>
      <c r="BF191" s="148"/>
      <c r="BG191" s="148"/>
      <c r="BH191" s="148"/>
      <c r="BI191" s="148"/>
      <c r="BJ191" s="148"/>
    </row>
    <row r="192" spans="1:62" x14ac:dyDescent="0.3">
      <c r="A192" s="140"/>
      <c r="B192" s="140"/>
      <c r="C192" s="140"/>
      <c r="D192" s="140"/>
      <c r="E192" s="141"/>
      <c r="F192" s="141"/>
      <c r="G192" s="167"/>
      <c r="H192" s="141"/>
      <c r="I192" s="141"/>
      <c r="J192" s="141"/>
      <c r="K192" s="141"/>
      <c r="L192" s="141"/>
      <c r="N192" s="143"/>
      <c r="Q192" s="167"/>
      <c r="R192" s="180"/>
      <c r="S192" s="181"/>
      <c r="T192" s="181"/>
      <c r="U192" s="180"/>
      <c r="V192" s="180"/>
      <c r="W192" s="167"/>
      <c r="X192" s="201"/>
      <c r="Y192" s="201"/>
      <c r="Z192" s="201"/>
      <c r="AA192" s="201"/>
      <c r="AB192" s="167"/>
      <c r="AC192" s="200"/>
      <c r="AD192" s="185"/>
      <c r="AE192" s="185"/>
      <c r="AF192" s="185"/>
      <c r="AG192" s="185"/>
      <c r="AH192" s="185"/>
      <c r="AI192" s="185"/>
      <c r="AJ192" s="186"/>
      <c r="AK192" s="167"/>
      <c r="AL192" s="148"/>
      <c r="AM192" s="148"/>
      <c r="AN192" s="148"/>
      <c r="AO192" s="148"/>
      <c r="AP192" s="148"/>
      <c r="AQ192" s="148"/>
      <c r="AR192" s="148"/>
      <c r="AS192" s="148"/>
      <c r="AT192" s="148"/>
      <c r="AU192" s="148"/>
      <c r="AV192" s="148"/>
      <c r="AW192" s="148"/>
      <c r="AX192" s="148"/>
      <c r="AY192" s="148"/>
      <c r="AZ192" s="148"/>
      <c r="BA192" s="148"/>
      <c r="BB192" s="148"/>
      <c r="BC192" s="148"/>
      <c r="BD192" s="148"/>
      <c r="BE192" s="148"/>
      <c r="BF192" s="148"/>
      <c r="BG192" s="148"/>
      <c r="BH192" s="148"/>
      <c r="BI192" s="148"/>
      <c r="BJ192" s="148"/>
    </row>
    <row r="193" spans="1:62" x14ac:dyDescent="0.3">
      <c r="A193" s="140"/>
      <c r="B193" s="140"/>
      <c r="C193" s="140"/>
      <c r="D193" s="140"/>
      <c r="E193" s="141"/>
      <c r="F193" s="141"/>
      <c r="G193" s="167"/>
      <c r="H193" s="141"/>
      <c r="I193" s="141"/>
      <c r="J193" s="141"/>
      <c r="K193" s="141"/>
      <c r="L193" s="141"/>
      <c r="N193" s="143"/>
      <c r="Q193" s="167"/>
      <c r="R193" s="180"/>
      <c r="S193" s="181"/>
      <c r="T193" s="181"/>
      <c r="U193" s="180"/>
      <c r="V193" s="180"/>
      <c r="W193" s="167"/>
      <c r="X193" s="201"/>
      <c r="Y193" s="201"/>
      <c r="Z193" s="201"/>
      <c r="AA193" s="201"/>
      <c r="AB193" s="167"/>
      <c r="AC193" s="200"/>
      <c r="AD193" s="185"/>
      <c r="AE193" s="185"/>
      <c r="AF193" s="185"/>
      <c r="AG193" s="185"/>
      <c r="AH193" s="185"/>
      <c r="AI193" s="185"/>
      <c r="AJ193" s="186"/>
      <c r="AK193" s="167"/>
      <c r="AL193" s="148"/>
      <c r="AM193" s="148"/>
      <c r="AN193" s="148"/>
      <c r="AO193" s="148"/>
      <c r="AP193" s="148"/>
      <c r="AQ193" s="148"/>
      <c r="AR193" s="148"/>
      <c r="AS193" s="148"/>
      <c r="AT193" s="148"/>
      <c r="AU193" s="148"/>
      <c r="AV193" s="148"/>
      <c r="AW193" s="148"/>
      <c r="AX193" s="148"/>
      <c r="AY193" s="148"/>
      <c r="AZ193" s="148"/>
      <c r="BA193" s="148"/>
      <c r="BB193" s="148"/>
      <c r="BC193" s="148"/>
      <c r="BD193" s="148"/>
      <c r="BE193" s="148"/>
      <c r="BF193" s="148"/>
      <c r="BG193" s="148"/>
      <c r="BH193" s="148"/>
      <c r="BI193" s="148"/>
      <c r="BJ193" s="148"/>
    </row>
    <row r="194" spans="1:62" x14ac:dyDescent="0.3">
      <c r="A194" s="140"/>
      <c r="B194" s="140"/>
      <c r="C194" s="140"/>
      <c r="D194" s="140"/>
      <c r="E194" s="141"/>
      <c r="F194" s="141"/>
      <c r="G194" s="167"/>
      <c r="H194" s="141"/>
      <c r="I194" s="141"/>
      <c r="J194" s="141"/>
      <c r="K194" s="141"/>
      <c r="L194" s="141"/>
      <c r="N194" s="143"/>
      <c r="Q194" s="167"/>
      <c r="R194" s="180"/>
      <c r="S194" s="181"/>
      <c r="T194" s="181"/>
      <c r="U194" s="180"/>
      <c r="V194" s="180"/>
      <c r="W194" s="167"/>
      <c r="X194" s="201"/>
      <c r="Y194" s="201"/>
      <c r="Z194" s="201"/>
      <c r="AA194" s="201"/>
      <c r="AB194" s="167"/>
      <c r="AC194" s="200"/>
      <c r="AD194" s="185"/>
      <c r="AE194" s="185"/>
      <c r="AF194" s="185"/>
      <c r="AG194" s="185"/>
      <c r="AH194" s="185"/>
      <c r="AI194" s="185"/>
      <c r="AJ194" s="186"/>
      <c r="AK194" s="167"/>
      <c r="AL194" s="148"/>
      <c r="AM194" s="148"/>
      <c r="AN194" s="148"/>
      <c r="AO194" s="148"/>
      <c r="AP194" s="148"/>
      <c r="AQ194" s="148"/>
      <c r="AR194" s="148"/>
      <c r="AS194" s="148"/>
      <c r="AT194" s="148"/>
      <c r="AU194" s="148"/>
      <c r="AV194" s="148"/>
      <c r="AW194" s="148"/>
      <c r="AX194" s="148"/>
      <c r="AY194" s="148"/>
      <c r="AZ194" s="148"/>
      <c r="BA194" s="148"/>
      <c r="BB194" s="148"/>
      <c r="BC194" s="148"/>
      <c r="BD194" s="148"/>
      <c r="BE194" s="148"/>
      <c r="BF194" s="148"/>
      <c r="BG194" s="148"/>
      <c r="BH194" s="148"/>
      <c r="BI194" s="148"/>
      <c r="BJ194" s="148"/>
    </row>
    <row r="195" spans="1:62" x14ac:dyDescent="0.3">
      <c r="A195" s="140"/>
      <c r="B195" s="140"/>
      <c r="C195" s="140"/>
      <c r="D195" s="140"/>
      <c r="E195" s="141"/>
      <c r="F195" s="141"/>
      <c r="G195" s="167"/>
      <c r="H195" s="141"/>
      <c r="I195" s="141"/>
      <c r="J195" s="141"/>
      <c r="K195" s="141"/>
      <c r="L195" s="141"/>
      <c r="N195" s="143"/>
      <c r="Q195" s="167"/>
      <c r="R195" s="180"/>
      <c r="S195" s="181"/>
      <c r="T195" s="181"/>
      <c r="U195" s="180"/>
      <c r="V195" s="180"/>
      <c r="W195" s="167"/>
      <c r="X195" s="201"/>
      <c r="Y195" s="201"/>
      <c r="Z195" s="201"/>
      <c r="AA195" s="201"/>
      <c r="AB195" s="167"/>
      <c r="AC195" s="200"/>
      <c r="AD195" s="185"/>
      <c r="AE195" s="185"/>
      <c r="AF195" s="185"/>
      <c r="AG195" s="185"/>
      <c r="AH195" s="185"/>
      <c r="AI195" s="185"/>
      <c r="AJ195" s="186"/>
      <c r="AK195" s="167"/>
      <c r="AL195" s="148"/>
      <c r="AM195" s="148"/>
      <c r="AN195" s="148"/>
      <c r="AO195" s="148"/>
      <c r="AP195" s="148"/>
      <c r="AQ195" s="148"/>
      <c r="AR195" s="148"/>
      <c r="AS195" s="148"/>
      <c r="AT195" s="148"/>
      <c r="AU195" s="148"/>
      <c r="AV195" s="148"/>
      <c r="AW195" s="148"/>
      <c r="AX195" s="148"/>
      <c r="AY195" s="148"/>
      <c r="AZ195" s="148"/>
      <c r="BA195" s="148"/>
      <c r="BB195" s="148"/>
      <c r="BC195" s="148"/>
      <c r="BD195" s="148"/>
      <c r="BE195" s="148"/>
      <c r="BF195" s="148"/>
      <c r="BG195" s="148"/>
      <c r="BH195" s="148"/>
      <c r="BI195" s="148"/>
      <c r="BJ195" s="148"/>
    </row>
    <row r="196" spans="1:62" x14ac:dyDescent="0.3">
      <c r="A196" s="140"/>
      <c r="B196" s="140"/>
      <c r="C196" s="140"/>
      <c r="D196" s="140"/>
      <c r="E196" s="141"/>
      <c r="F196" s="141"/>
      <c r="G196" s="167"/>
      <c r="H196" s="141"/>
      <c r="I196" s="141"/>
      <c r="J196" s="141"/>
      <c r="K196" s="141"/>
      <c r="L196" s="141"/>
      <c r="N196" s="143"/>
      <c r="Q196" s="167"/>
      <c r="R196" s="180"/>
      <c r="S196" s="181"/>
      <c r="T196" s="181"/>
      <c r="U196" s="180"/>
      <c r="V196" s="180"/>
      <c r="W196" s="167"/>
      <c r="X196" s="201"/>
      <c r="Y196" s="201"/>
      <c r="Z196" s="201"/>
      <c r="AA196" s="201"/>
      <c r="AB196" s="167"/>
      <c r="AC196" s="200"/>
      <c r="AD196" s="185"/>
      <c r="AE196" s="185"/>
      <c r="AF196" s="185"/>
      <c r="AG196" s="185"/>
      <c r="AH196" s="185"/>
      <c r="AI196" s="185"/>
      <c r="AJ196" s="186"/>
      <c r="AK196" s="167"/>
      <c r="AL196" s="148"/>
      <c r="AM196" s="148"/>
      <c r="AN196" s="148"/>
      <c r="AO196" s="148"/>
      <c r="AP196" s="148"/>
      <c r="AQ196" s="148"/>
      <c r="AR196" s="148"/>
      <c r="AS196" s="148"/>
      <c r="AT196" s="148"/>
      <c r="AU196" s="148"/>
      <c r="AV196" s="148"/>
      <c r="AW196" s="148"/>
      <c r="AX196" s="148"/>
      <c r="AY196" s="148"/>
      <c r="AZ196" s="148"/>
      <c r="BA196" s="148"/>
      <c r="BB196" s="148"/>
      <c r="BC196" s="148"/>
      <c r="BD196" s="148"/>
      <c r="BE196" s="148"/>
      <c r="BF196" s="148"/>
      <c r="BG196" s="148"/>
      <c r="BH196" s="148"/>
      <c r="BI196" s="148"/>
      <c r="BJ196" s="148"/>
    </row>
    <row r="197" spans="1:62" x14ac:dyDescent="0.3">
      <c r="A197" s="140"/>
      <c r="B197" s="140"/>
      <c r="C197" s="140"/>
      <c r="D197" s="140"/>
      <c r="E197" s="141"/>
      <c r="F197" s="141"/>
      <c r="G197" s="167"/>
      <c r="H197" s="141"/>
      <c r="I197" s="141"/>
      <c r="J197" s="141"/>
      <c r="K197" s="141"/>
      <c r="L197" s="141"/>
      <c r="N197" s="143"/>
      <c r="Q197" s="167"/>
      <c r="R197" s="180"/>
      <c r="S197" s="181"/>
      <c r="T197" s="181"/>
      <c r="U197" s="180"/>
      <c r="V197" s="180"/>
      <c r="W197" s="167"/>
      <c r="X197" s="201"/>
      <c r="Y197" s="201"/>
      <c r="Z197" s="201"/>
      <c r="AA197" s="201"/>
      <c r="AB197" s="167"/>
      <c r="AC197" s="200"/>
      <c r="AD197" s="185"/>
      <c r="AE197" s="185"/>
      <c r="AF197" s="185"/>
      <c r="AG197" s="185"/>
      <c r="AH197" s="185"/>
      <c r="AI197" s="185"/>
      <c r="AJ197" s="186"/>
      <c r="AK197" s="167"/>
      <c r="AL197" s="148"/>
      <c r="AM197" s="148"/>
      <c r="AN197" s="148"/>
      <c r="AO197" s="148"/>
      <c r="AP197" s="148"/>
      <c r="AQ197" s="148"/>
      <c r="AR197" s="148"/>
      <c r="AS197" s="148"/>
      <c r="AT197" s="148"/>
      <c r="AU197" s="148"/>
      <c r="AV197" s="148"/>
      <c r="AW197" s="148"/>
      <c r="AX197" s="148"/>
      <c r="AY197" s="148"/>
      <c r="AZ197" s="148"/>
      <c r="BA197" s="148"/>
      <c r="BB197" s="148"/>
      <c r="BC197" s="148"/>
      <c r="BD197" s="148"/>
      <c r="BE197" s="148"/>
      <c r="BF197" s="148"/>
      <c r="BG197" s="148"/>
      <c r="BH197" s="148"/>
      <c r="BI197" s="148"/>
      <c r="BJ197" s="148"/>
    </row>
    <row r="198" spans="1:62" x14ac:dyDescent="0.3">
      <c r="A198" s="140"/>
      <c r="B198" s="140"/>
      <c r="C198" s="140"/>
      <c r="D198" s="140"/>
      <c r="E198" s="141"/>
      <c r="F198" s="141"/>
      <c r="G198" s="167"/>
      <c r="H198" s="141"/>
      <c r="I198" s="141"/>
      <c r="J198" s="141"/>
      <c r="K198" s="141"/>
      <c r="L198" s="141"/>
      <c r="N198" s="143"/>
      <c r="Q198" s="167"/>
      <c r="R198" s="180"/>
      <c r="S198" s="181"/>
      <c r="T198" s="181"/>
      <c r="U198" s="180"/>
      <c r="V198" s="180"/>
      <c r="W198" s="167"/>
      <c r="X198" s="201"/>
      <c r="Y198" s="201"/>
      <c r="Z198" s="201"/>
      <c r="AA198" s="201"/>
      <c r="AB198" s="167"/>
      <c r="AC198" s="200"/>
      <c r="AD198" s="185"/>
      <c r="AE198" s="185"/>
      <c r="AF198" s="185"/>
      <c r="AG198" s="185"/>
      <c r="AH198" s="185"/>
      <c r="AI198" s="185"/>
      <c r="AJ198" s="186"/>
      <c r="AK198" s="167"/>
      <c r="AL198" s="148"/>
      <c r="AM198" s="148"/>
      <c r="AN198" s="148"/>
      <c r="AO198" s="148"/>
      <c r="AP198" s="148"/>
      <c r="AQ198" s="148"/>
      <c r="AR198" s="148"/>
      <c r="AS198" s="148"/>
      <c r="AT198" s="148"/>
      <c r="AU198" s="148"/>
      <c r="AV198" s="148"/>
      <c r="AW198" s="148"/>
      <c r="AX198" s="148"/>
      <c r="AY198" s="148"/>
      <c r="AZ198" s="148"/>
      <c r="BA198" s="148"/>
      <c r="BB198" s="148"/>
      <c r="BC198" s="148"/>
      <c r="BD198" s="148"/>
      <c r="BE198" s="148"/>
      <c r="BF198" s="148"/>
      <c r="BG198" s="148"/>
      <c r="BH198" s="148"/>
      <c r="BI198" s="148"/>
      <c r="BJ198" s="148"/>
    </row>
    <row r="199" spans="1:62" x14ac:dyDescent="0.3">
      <c r="A199" s="140"/>
      <c r="B199" s="140"/>
      <c r="C199" s="140"/>
      <c r="D199" s="140"/>
      <c r="E199" s="141"/>
      <c r="F199" s="141"/>
      <c r="G199" s="167"/>
      <c r="H199" s="141"/>
      <c r="I199" s="141"/>
      <c r="J199" s="141"/>
      <c r="K199" s="141"/>
      <c r="L199" s="141"/>
      <c r="N199" s="143"/>
      <c r="Q199" s="167"/>
      <c r="R199" s="180"/>
      <c r="S199" s="181"/>
      <c r="T199" s="181"/>
      <c r="U199" s="180"/>
      <c r="V199" s="180"/>
      <c r="W199" s="167"/>
      <c r="X199" s="201"/>
      <c r="Y199" s="201"/>
      <c r="Z199" s="201"/>
      <c r="AA199" s="201"/>
      <c r="AB199" s="167"/>
      <c r="AC199" s="200"/>
      <c r="AD199" s="185"/>
      <c r="AE199" s="185"/>
      <c r="AF199" s="185"/>
      <c r="AG199" s="185"/>
      <c r="AH199" s="185"/>
      <c r="AI199" s="185"/>
      <c r="AJ199" s="186"/>
      <c r="AK199" s="167"/>
      <c r="AL199" s="148"/>
      <c r="AM199" s="148"/>
      <c r="AN199" s="148"/>
      <c r="AO199" s="148"/>
      <c r="AP199" s="148"/>
      <c r="AQ199" s="148"/>
      <c r="AR199" s="148"/>
      <c r="AS199" s="148"/>
      <c r="AT199" s="148"/>
      <c r="AU199" s="148"/>
      <c r="AV199" s="148"/>
      <c r="AW199" s="148"/>
      <c r="AX199" s="148"/>
      <c r="AY199" s="148"/>
      <c r="AZ199" s="148"/>
      <c r="BA199" s="148"/>
      <c r="BB199" s="148"/>
      <c r="BC199" s="148"/>
      <c r="BD199" s="148"/>
      <c r="BE199" s="148"/>
      <c r="BF199" s="148"/>
      <c r="BG199" s="148"/>
      <c r="BH199" s="148"/>
      <c r="BI199" s="148"/>
      <c r="BJ199" s="148"/>
    </row>
    <row r="200" spans="1:62" x14ac:dyDescent="0.3">
      <c r="A200" s="140"/>
      <c r="B200" s="140"/>
      <c r="C200" s="140"/>
      <c r="D200" s="140"/>
      <c r="E200" s="141"/>
      <c r="F200" s="141"/>
      <c r="G200" s="167"/>
      <c r="H200" s="141"/>
      <c r="I200" s="141"/>
      <c r="J200" s="141"/>
      <c r="K200" s="141"/>
      <c r="L200" s="141"/>
      <c r="N200" s="143"/>
      <c r="Q200" s="167"/>
      <c r="R200" s="180"/>
      <c r="S200" s="181"/>
      <c r="T200" s="181"/>
      <c r="U200" s="180"/>
      <c r="V200" s="180"/>
      <c r="W200" s="167"/>
      <c r="X200" s="201"/>
      <c r="Y200" s="201"/>
      <c r="Z200" s="201"/>
      <c r="AA200" s="201"/>
      <c r="AB200" s="167"/>
      <c r="AC200" s="200"/>
      <c r="AD200" s="185"/>
      <c r="AE200" s="185"/>
      <c r="AF200" s="185"/>
      <c r="AG200" s="185"/>
      <c r="AH200" s="185"/>
      <c r="AI200" s="185"/>
      <c r="AJ200" s="186"/>
      <c r="AK200" s="167"/>
      <c r="AL200" s="148"/>
      <c r="AM200" s="148"/>
      <c r="AN200" s="148"/>
      <c r="AO200" s="148"/>
      <c r="AP200" s="148"/>
      <c r="AQ200" s="148"/>
      <c r="AR200" s="148"/>
      <c r="AS200" s="148"/>
      <c r="AT200" s="148"/>
      <c r="AU200" s="148"/>
      <c r="AV200" s="148"/>
      <c r="AW200" s="148"/>
      <c r="AX200" s="148"/>
      <c r="AY200" s="148"/>
      <c r="AZ200" s="148"/>
      <c r="BA200" s="148"/>
      <c r="BB200" s="148"/>
      <c r="BC200" s="148"/>
      <c r="BD200" s="148"/>
      <c r="BE200" s="148"/>
      <c r="BF200" s="148"/>
      <c r="BG200" s="148"/>
      <c r="BH200" s="148"/>
      <c r="BI200" s="148"/>
      <c r="BJ200" s="148"/>
    </row>
    <row r="201" spans="1:62" x14ac:dyDescent="0.3">
      <c r="A201" s="142"/>
      <c r="B201" s="142"/>
      <c r="C201" s="142"/>
      <c r="D201" s="142"/>
      <c r="E201" s="202"/>
      <c r="F201" s="202"/>
      <c r="G201" s="167"/>
      <c r="H201" s="202"/>
      <c r="I201" s="202"/>
      <c r="J201" s="202"/>
      <c r="K201" s="202"/>
      <c r="L201" s="202"/>
      <c r="M201" s="203"/>
      <c r="N201" s="204"/>
      <c r="O201" s="205"/>
      <c r="P201" s="205"/>
      <c r="Q201" s="142"/>
      <c r="R201" s="142"/>
      <c r="S201" s="206"/>
      <c r="T201" s="206"/>
      <c r="U201" s="142"/>
      <c r="V201" s="142"/>
      <c r="W201" s="142"/>
      <c r="X201" s="142"/>
      <c r="Y201" s="142"/>
      <c r="Z201" s="142"/>
      <c r="AA201" s="142"/>
      <c r="AB201" s="142"/>
      <c r="AC201" s="142"/>
      <c r="AD201" s="207"/>
      <c r="AE201" s="207"/>
      <c r="AF201" s="207"/>
      <c r="AG201" s="207"/>
      <c r="AH201" s="207"/>
      <c r="AI201" s="207"/>
      <c r="AJ201" s="207"/>
      <c r="AK201" s="142"/>
      <c r="AL201" s="148"/>
      <c r="AM201" s="148"/>
      <c r="AN201" s="148"/>
      <c r="AO201" s="148"/>
      <c r="AP201" s="148"/>
      <c r="AQ201" s="148"/>
      <c r="AR201" s="148"/>
      <c r="AS201" s="148"/>
      <c r="AT201" s="148"/>
      <c r="AU201" s="148"/>
      <c r="AV201" s="148"/>
      <c r="AW201" s="148"/>
      <c r="AX201" s="148"/>
      <c r="AY201" s="148"/>
      <c r="AZ201" s="148"/>
      <c r="BA201" s="148"/>
      <c r="BB201" s="148"/>
      <c r="BC201" s="148"/>
      <c r="BD201" s="148"/>
      <c r="BE201" s="148"/>
      <c r="BF201" s="148"/>
      <c r="BG201" s="148"/>
      <c r="BH201" s="148"/>
      <c r="BI201" s="148"/>
      <c r="BJ201" s="148"/>
    </row>
    <row r="202" spans="1:62" x14ac:dyDescent="0.3">
      <c r="A202" s="140"/>
      <c r="B202" s="140"/>
      <c r="C202" s="140"/>
      <c r="D202" s="140"/>
      <c r="E202" s="141"/>
      <c r="F202" s="141"/>
      <c r="G202" s="140"/>
      <c r="H202" s="141"/>
      <c r="I202" s="141"/>
      <c r="J202" s="141"/>
      <c r="K202" s="141"/>
      <c r="L202" s="141"/>
      <c r="Q202" s="140"/>
      <c r="R202" s="140"/>
      <c r="S202" s="208"/>
      <c r="T202" s="208"/>
      <c r="U202" s="140"/>
      <c r="V202" s="140"/>
      <c r="W202" s="140"/>
      <c r="X202" s="140"/>
      <c r="Y202" s="140"/>
      <c r="Z202" s="140"/>
      <c r="AA202" s="140"/>
      <c r="AB202" s="140"/>
      <c r="AC202" s="140"/>
      <c r="AD202" s="209"/>
      <c r="AE202" s="209"/>
      <c r="AF202" s="209"/>
      <c r="AG202" s="209"/>
      <c r="AH202" s="209"/>
      <c r="AI202" s="209"/>
      <c r="AJ202" s="209"/>
      <c r="AK202" s="140"/>
      <c r="AL202" s="148"/>
      <c r="AM202" s="148"/>
      <c r="AN202" s="148"/>
      <c r="AO202" s="148"/>
      <c r="AP202" s="148"/>
      <c r="AQ202" s="148"/>
      <c r="AR202" s="148"/>
      <c r="AS202" s="148"/>
      <c r="AT202" s="148"/>
      <c r="AU202" s="148"/>
      <c r="AV202" s="148"/>
      <c r="AW202" s="148"/>
      <c r="AX202" s="148"/>
      <c r="AY202" s="148"/>
      <c r="AZ202" s="148"/>
      <c r="BA202" s="148"/>
      <c r="BB202" s="148"/>
      <c r="BC202" s="148"/>
      <c r="BD202" s="148"/>
      <c r="BE202" s="148"/>
      <c r="BF202" s="148"/>
      <c r="BG202" s="148"/>
      <c r="BH202" s="148"/>
      <c r="BI202" s="148"/>
      <c r="BJ202" s="148"/>
    </row>
    <row r="203" spans="1:62" x14ac:dyDescent="0.3">
      <c r="A203" s="140"/>
      <c r="B203" s="140"/>
      <c r="C203" s="140"/>
      <c r="D203" s="140"/>
      <c r="E203" s="141"/>
      <c r="F203" s="141"/>
      <c r="G203" s="140"/>
      <c r="H203" s="141"/>
      <c r="I203" s="141"/>
      <c r="J203" s="141"/>
      <c r="K203" s="141"/>
      <c r="L203" s="141"/>
      <c r="Q203" s="140"/>
      <c r="R203" s="140"/>
      <c r="S203" s="208"/>
      <c r="T203" s="208"/>
      <c r="U203" s="140"/>
      <c r="V203" s="140"/>
      <c r="W203" s="140"/>
      <c r="X203" s="140"/>
      <c r="Y203" s="140"/>
      <c r="Z203" s="140"/>
      <c r="AA203" s="140"/>
      <c r="AB203" s="140"/>
      <c r="AC203" s="140"/>
      <c r="AD203" s="209"/>
      <c r="AE203" s="209"/>
      <c r="AF203" s="209"/>
      <c r="AG203" s="209"/>
      <c r="AH203" s="209"/>
      <c r="AI203" s="209"/>
      <c r="AJ203" s="209"/>
      <c r="AK203" s="140"/>
      <c r="AL203" s="148"/>
      <c r="AM203" s="148"/>
      <c r="AN203" s="148"/>
      <c r="AO203" s="148"/>
      <c r="AP203" s="148"/>
      <c r="AQ203" s="148"/>
      <c r="AR203" s="148"/>
      <c r="AS203" s="148"/>
      <c r="AT203" s="148"/>
      <c r="AU203" s="148"/>
      <c r="AV203" s="148"/>
      <c r="AW203" s="148"/>
      <c r="AX203" s="148"/>
      <c r="AY203" s="148"/>
      <c r="AZ203" s="148"/>
      <c r="BA203" s="148"/>
      <c r="BB203" s="148"/>
      <c r="BC203" s="148"/>
      <c r="BD203" s="148"/>
      <c r="BE203" s="148"/>
      <c r="BF203" s="148"/>
      <c r="BG203" s="148"/>
      <c r="BH203" s="148"/>
      <c r="BI203" s="148"/>
      <c r="BJ203" s="148"/>
    </row>
    <row r="204" spans="1:62" x14ac:dyDescent="0.3">
      <c r="A204" s="140"/>
      <c r="B204" s="140"/>
      <c r="C204" s="140"/>
      <c r="D204" s="140"/>
      <c r="E204" s="141"/>
      <c r="F204" s="141"/>
      <c r="G204" s="140"/>
      <c r="H204" s="141"/>
      <c r="I204" s="141"/>
      <c r="J204" s="141"/>
      <c r="K204" s="141"/>
      <c r="L204" s="141"/>
      <c r="Q204" s="140"/>
      <c r="R204" s="140"/>
      <c r="S204" s="208"/>
      <c r="T204" s="208"/>
      <c r="U204" s="140"/>
      <c r="V204" s="140"/>
      <c r="W204" s="140"/>
      <c r="X204" s="140"/>
      <c r="Y204" s="140"/>
      <c r="Z204" s="140"/>
      <c r="AA204" s="140"/>
      <c r="AB204" s="140"/>
      <c r="AC204" s="140"/>
      <c r="AD204" s="209"/>
      <c r="AE204" s="209"/>
      <c r="AF204" s="209"/>
      <c r="AG204" s="209"/>
      <c r="AH204" s="209"/>
      <c r="AI204" s="209"/>
      <c r="AJ204" s="209"/>
      <c r="AK204" s="140"/>
      <c r="AL204" s="148"/>
      <c r="AM204" s="148"/>
      <c r="AN204" s="148"/>
      <c r="AO204" s="148"/>
      <c r="AP204" s="148"/>
      <c r="AQ204" s="148"/>
      <c r="AR204" s="148"/>
      <c r="AS204" s="148"/>
      <c r="AT204" s="148"/>
      <c r="AU204" s="148"/>
      <c r="AV204" s="148"/>
      <c r="AW204" s="148"/>
      <c r="AX204" s="148"/>
      <c r="AY204" s="148"/>
      <c r="AZ204" s="148"/>
      <c r="BA204" s="148"/>
      <c r="BB204" s="148"/>
      <c r="BC204" s="148"/>
      <c r="BD204" s="148"/>
      <c r="BE204" s="148"/>
      <c r="BF204" s="148"/>
      <c r="BG204" s="148"/>
      <c r="BH204" s="148"/>
      <c r="BI204" s="148"/>
      <c r="BJ204" s="148"/>
    </row>
    <row r="205" spans="1:62" x14ac:dyDescent="0.3">
      <c r="A205" s="140"/>
      <c r="B205" s="140"/>
      <c r="C205" s="140"/>
      <c r="D205" s="140"/>
      <c r="E205" s="141"/>
      <c r="F205" s="141"/>
      <c r="G205" s="140"/>
      <c r="H205" s="141"/>
      <c r="I205" s="141"/>
      <c r="J205" s="141"/>
      <c r="K205" s="141"/>
      <c r="L205" s="141"/>
      <c r="Q205" s="140"/>
      <c r="R205" s="140"/>
      <c r="S205" s="208"/>
      <c r="T205" s="208"/>
      <c r="U205" s="140"/>
      <c r="V205" s="140"/>
      <c r="W205" s="140"/>
      <c r="X205" s="140"/>
      <c r="Y205" s="140"/>
      <c r="Z205" s="140"/>
      <c r="AA205" s="140"/>
      <c r="AB205" s="140"/>
      <c r="AC205" s="140"/>
      <c r="AD205" s="209"/>
      <c r="AE205" s="209"/>
      <c r="AF205" s="209"/>
      <c r="AG205" s="209"/>
      <c r="AH205" s="209"/>
      <c r="AI205" s="209"/>
      <c r="AJ205" s="209"/>
      <c r="AK205" s="140"/>
      <c r="AL205" s="148"/>
      <c r="AM205" s="148"/>
      <c r="AN205" s="148"/>
      <c r="AO205" s="148"/>
      <c r="AP205" s="148"/>
      <c r="AQ205" s="148"/>
      <c r="AR205" s="148"/>
      <c r="AS205" s="148"/>
      <c r="AT205" s="148"/>
      <c r="AU205" s="148"/>
      <c r="AV205" s="148"/>
      <c r="AW205" s="148"/>
      <c r="AX205" s="148"/>
      <c r="AY205" s="148"/>
      <c r="AZ205" s="148"/>
      <c r="BA205" s="148"/>
      <c r="BB205" s="148"/>
      <c r="BC205" s="148"/>
      <c r="BD205" s="148"/>
      <c r="BE205" s="148"/>
      <c r="BF205" s="148"/>
      <c r="BG205" s="148"/>
      <c r="BH205" s="148"/>
      <c r="BI205" s="148"/>
      <c r="BJ205" s="148"/>
    </row>
    <row r="206" spans="1:62" x14ac:dyDescent="0.3">
      <c r="A206" s="140"/>
      <c r="B206" s="140"/>
      <c r="C206" s="140"/>
      <c r="D206" s="140"/>
      <c r="E206" s="141"/>
      <c r="F206" s="141"/>
      <c r="G206" s="140"/>
      <c r="H206" s="141"/>
      <c r="I206" s="141"/>
      <c r="J206" s="141"/>
      <c r="K206" s="141"/>
      <c r="L206" s="141"/>
      <c r="Q206" s="140"/>
      <c r="R206" s="140"/>
      <c r="S206" s="208"/>
      <c r="T206" s="208"/>
      <c r="U206" s="140"/>
      <c r="V206" s="140"/>
      <c r="W206" s="140"/>
      <c r="X206" s="140"/>
      <c r="Y206" s="140"/>
      <c r="Z206" s="140"/>
      <c r="AA206" s="140"/>
      <c r="AB206" s="140"/>
      <c r="AC206" s="140"/>
      <c r="AD206" s="209"/>
      <c r="AE206" s="209"/>
      <c r="AF206" s="209"/>
      <c r="AG206" s="209"/>
      <c r="AH206" s="209"/>
      <c r="AI206" s="209"/>
      <c r="AJ206" s="209"/>
      <c r="AK206" s="140"/>
      <c r="AL206" s="148"/>
      <c r="AM206" s="148"/>
      <c r="AN206" s="148"/>
      <c r="AO206" s="148"/>
      <c r="AP206" s="148"/>
      <c r="AQ206" s="148"/>
      <c r="AR206" s="148"/>
      <c r="AS206" s="148"/>
      <c r="AT206" s="148"/>
      <c r="AU206" s="148"/>
      <c r="AV206" s="148"/>
      <c r="AW206" s="148"/>
      <c r="AX206" s="148"/>
      <c r="AY206" s="148"/>
      <c r="AZ206" s="148"/>
      <c r="BA206" s="148"/>
      <c r="BB206" s="148"/>
      <c r="BC206" s="148"/>
      <c r="BD206" s="148"/>
      <c r="BE206" s="148"/>
      <c r="BF206" s="148"/>
      <c r="BG206" s="148"/>
      <c r="BH206" s="148"/>
      <c r="BI206" s="148"/>
      <c r="BJ206" s="148"/>
    </row>
    <row r="207" spans="1:62" x14ac:dyDescent="0.3">
      <c r="A207" s="140"/>
      <c r="B207" s="140"/>
      <c r="C207" s="140"/>
      <c r="D207" s="140"/>
      <c r="E207" s="141"/>
      <c r="F207" s="141"/>
      <c r="G207" s="140"/>
      <c r="H207" s="141"/>
      <c r="I207" s="141"/>
      <c r="J207" s="141"/>
      <c r="K207" s="141"/>
      <c r="L207" s="141"/>
      <c r="Q207" s="140"/>
      <c r="R207" s="140"/>
      <c r="S207" s="208"/>
      <c r="T207" s="208"/>
      <c r="U207" s="140"/>
      <c r="V207" s="140"/>
      <c r="W207" s="140"/>
      <c r="X207" s="140"/>
      <c r="Y207" s="140"/>
      <c r="Z207" s="140"/>
      <c r="AA207" s="140"/>
      <c r="AB207" s="140"/>
      <c r="AC207" s="140"/>
      <c r="AD207" s="209"/>
      <c r="AE207" s="209"/>
      <c r="AF207" s="209"/>
      <c r="AG207" s="209"/>
      <c r="AH207" s="209"/>
      <c r="AI207" s="209"/>
      <c r="AJ207" s="209"/>
      <c r="AK207" s="140"/>
      <c r="AL207" s="148"/>
      <c r="AM207" s="148"/>
      <c r="AN207" s="148"/>
      <c r="AO207" s="148"/>
      <c r="AP207" s="148"/>
      <c r="AQ207" s="148"/>
      <c r="AR207" s="148"/>
      <c r="AS207" s="148"/>
      <c r="AT207" s="148"/>
      <c r="AU207" s="148"/>
      <c r="AV207" s="148"/>
      <c r="AW207" s="148"/>
      <c r="AX207" s="148"/>
      <c r="AY207" s="148"/>
      <c r="AZ207" s="148"/>
      <c r="BA207" s="148"/>
      <c r="BB207" s="148"/>
      <c r="BC207" s="148"/>
      <c r="BD207" s="148"/>
      <c r="BE207" s="148"/>
      <c r="BF207" s="148"/>
      <c r="BG207" s="148"/>
      <c r="BH207" s="148"/>
      <c r="BI207" s="148"/>
      <c r="BJ207" s="148"/>
    </row>
    <row r="208" spans="1:62" x14ac:dyDescent="0.3">
      <c r="AD208" s="209"/>
      <c r="AE208" s="209"/>
      <c r="AF208" s="209"/>
      <c r="AG208" s="209"/>
      <c r="AH208" s="209"/>
      <c r="AI208" s="209"/>
      <c r="AJ208" s="209"/>
    </row>
    <row r="209" spans="30:36" x14ac:dyDescent="0.3">
      <c r="AD209" s="209"/>
      <c r="AE209" s="209"/>
      <c r="AF209" s="209"/>
      <c r="AG209" s="209"/>
      <c r="AH209" s="209"/>
      <c r="AI209" s="209"/>
      <c r="AJ209" s="209"/>
    </row>
    <row r="210" spans="30:36" x14ac:dyDescent="0.3">
      <c r="AD210" s="209"/>
      <c r="AE210" s="209"/>
      <c r="AF210" s="209"/>
      <c r="AG210" s="209"/>
      <c r="AH210" s="209"/>
      <c r="AI210" s="209"/>
      <c r="AJ210" s="209"/>
    </row>
    <row r="211" spans="30:36" x14ac:dyDescent="0.3">
      <c r="AD211" s="209"/>
      <c r="AE211" s="209"/>
      <c r="AF211" s="209"/>
      <c r="AG211" s="209"/>
      <c r="AH211" s="209"/>
      <c r="AI211" s="209"/>
      <c r="AJ211" s="209"/>
    </row>
    <row r="212" spans="30:36" x14ac:dyDescent="0.3">
      <c r="AD212" s="209"/>
      <c r="AE212" s="209"/>
      <c r="AF212" s="209"/>
      <c r="AG212" s="209"/>
      <c r="AH212" s="209"/>
      <c r="AI212" s="209"/>
      <c r="AJ212" s="209"/>
    </row>
    <row r="213" spans="30:36" x14ac:dyDescent="0.3">
      <c r="AD213" s="209"/>
      <c r="AE213" s="209"/>
      <c r="AF213" s="209"/>
      <c r="AG213" s="209"/>
      <c r="AH213" s="209"/>
      <c r="AI213" s="209"/>
      <c r="AJ213" s="209"/>
    </row>
    <row r="214" spans="30:36" x14ac:dyDescent="0.3">
      <c r="AD214" s="209"/>
      <c r="AE214" s="209"/>
      <c r="AF214" s="209"/>
      <c r="AG214" s="209"/>
      <c r="AH214" s="209"/>
      <c r="AI214" s="209"/>
      <c r="AJ214" s="209"/>
    </row>
    <row r="215" spans="30:36" x14ac:dyDescent="0.3">
      <c r="AD215" s="209"/>
      <c r="AE215" s="209"/>
      <c r="AF215" s="209"/>
      <c r="AG215" s="209"/>
      <c r="AH215" s="209"/>
      <c r="AI215" s="209"/>
      <c r="AJ215" s="209"/>
    </row>
    <row r="216" spans="30:36" x14ac:dyDescent="0.3">
      <c r="AD216" s="209"/>
      <c r="AE216" s="209"/>
      <c r="AF216" s="209"/>
      <c r="AG216" s="209"/>
      <c r="AH216" s="209"/>
      <c r="AI216" s="209"/>
      <c r="AJ216" s="209"/>
    </row>
    <row r="217" spans="30:36" x14ac:dyDescent="0.3">
      <c r="AD217" s="209"/>
      <c r="AE217" s="209"/>
      <c r="AF217" s="209"/>
      <c r="AG217" s="209"/>
      <c r="AH217" s="209"/>
      <c r="AI217" s="209"/>
      <c r="AJ217" s="209"/>
    </row>
    <row r="218" spans="30:36" x14ac:dyDescent="0.3">
      <c r="AD218" s="209"/>
      <c r="AE218" s="209"/>
      <c r="AF218" s="209"/>
      <c r="AG218" s="209"/>
      <c r="AH218" s="209"/>
      <c r="AI218" s="209"/>
      <c r="AJ218" s="209"/>
    </row>
    <row r="219" spans="30:36" x14ac:dyDescent="0.3">
      <c r="AD219" s="209"/>
      <c r="AE219" s="209"/>
      <c r="AF219" s="209"/>
      <c r="AG219" s="209"/>
      <c r="AH219" s="209"/>
      <c r="AI219" s="209"/>
      <c r="AJ219" s="209"/>
    </row>
  </sheetData>
  <sheetProtection algorithmName="SHA-512" hashValue="929WRT7P/qMJvUl6GU7Q5sSibbwTZ9aoAFNc/VPjtjYK4G7RMig169O5ewKrWhSOTm1juZuZxCQrNzEvGBSKNQ==" saltValue="Q3Hn7FsjzJrtWwsNXfGbvA==" spinCount="100000" sheet="1" objects="1" scenarios="1" formatColumns="0" autoFilter="0"/>
  <mergeCells count="39">
    <mergeCell ref="BB4:BE4"/>
    <mergeCell ref="BF4:BI4"/>
    <mergeCell ref="X1:AA1"/>
    <mergeCell ref="AD1:AJ1"/>
    <mergeCell ref="H2:O3"/>
    <mergeCell ref="R2:V3"/>
    <mergeCell ref="X2:AA2"/>
    <mergeCell ref="AD3:AG3"/>
    <mergeCell ref="AH3:AI3"/>
    <mergeCell ref="F5:F6"/>
    <mergeCell ref="AL4:AO4"/>
    <mergeCell ref="AP4:AS4"/>
    <mergeCell ref="AT4:AW4"/>
    <mergeCell ref="AX4:BA4"/>
    <mergeCell ref="AH5:AH6"/>
    <mergeCell ref="N5:N6"/>
    <mergeCell ref="O5:O6"/>
    <mergeCell ref="P5:P6"/>
    <mergeCell ref="R5:R6"/>
    <mergeCell ref="S5:T5"/>
    <mergeCell ref="U5:V5"/>
    <mergeCell ref="X5:X6"/>
    <mergeCell ref="Y5:Y6"/>
    <mergeCell ref="Z5:Z6"/>
    <mergeCell ref="AA5:AA6"/>
    <mergeCell ref="A5:A6"/>
    <mergeCell ref="B5:B6"/>
    <mergeCell ref="C5:C6"/>
    <mergeCell ref="D5:D6"/>
    <mergeCell ref="E5:E6"/>
    <mergeCell ref="AC5:AC6"/>
    <mergeCell ref="BB6:BE6"/>
    <mergeCell ref="BF6:BI6"/>
    <mergeCell ref="AI5:AI6"/>
    <mergeCell ref="AJ5:AJ6"/>
    <mergeCell ref="AL6:AO6"/>
    <mergeCell ref="AP6:AS6"/>
    <mergeCell ref="AT6:AW6"/>
    <mergeCell ref="AX6:BA6"/>
  </mergeCells>
  <phoneticPr fontId="39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7"/>
    <pageSetUpPr fitToPage="1"/>
  </sheetPr>
  <dimension ref="A1:G7"/>
  <sheetViews>
    <sheetView zoomScaleNormal="100" workbookViewId="0">
      <selection activeCell="D14" sqref="D14"/>
    </sheetView>
  </sheetViews>
  <sheetFormatPr defaultColWidth="8.90625" defaultRowHeight="15.6" x14ac:dyDescent="0.3"/>
  <cols>
    <col min="1" max="1" width="5.6328125" style="218" customWidth="1"/>
    <col min="2" max="2" width="22.08984375" style="218" bestFit="1" customWidth="1"/>
    <col min="3" max="3" width="13.36328125" style="228" customWidth="1"/>
    <col min="4" max="4" width="11.6328125" style="229" customWidth="1"/>
    <col min="5" max="5" width="17.36328125" style="229" customWidth="1"/>
    <col min="6" max="6" width="8.90625" style="216"/>
    <col min="7" max="7" width="8.90625" style="217"/>
    <col min="8" max="16384" width="8.90625" style="218"/>
  </cols>
  <sheetData>
    <row r="1" spans="1:5" ht="17.399999999999999" x14ac:dyDescent="0.3">
      <c r="A1" s="212" t="s">
        <v>48</v>
      </c>
      <c r="B1" s="213"/>
      <c r="C1" s="214"/>
      <c r="D1" s="230"/>
      <c r="E1" s="230"/>
    </row>
    <row r="2" spans="1:5" x14ac:dyDescent="0.3">
      <c r="A2" s="219" t="s">
        <v>722</v>
      </c>
      <c r="B2" s="213"/>
      <c r="C2" s="220"/>
      <c r="D2" s="230"/>
      <c r="E2" s="230"/>
    </row>
    <row r="3" spans="1:5" x14ac:dyDescent="0.3">
      <c r="A3" s="215"/>
      <c r="B3" s="213"/>
      <c r="C3" s="221"/>
      <c r="D3" s="231"/>
      <c r="E3" s="231"/>
    </row>
    <row r="4" spans="1:5" ht="31.2" x14ac:dyDescent="0.3">
      <c r="A4" s="215"/>
      <c r="B4" s="222"/>
      <c r="C4" s="223" t="s">
        <v>432</v>
      </c>
      <c r="D4" s="223" t="s">
        <v>431</v>
      </c>
      <c r="E4" s="223" t="s">
        <v>735</v>
      </c>
    </row>
    <row r="5" spans="1:5" x14ac:dyDescent="0.3">
      <c r="A5" s="215"/>
      <c r="B5" s="224" t="s">
        <v>429</v>
      </c>
      <c r="C5" s="225">
        <v>5850.7248383999995</v>
      </c>
      <c r="D5" s="230">
        <v>50</v>
      </c>
      <c r="E5" s="226">
        <f>ROUND(C5/52/D5,2)</f>
        <v>2.25</v>
      </c>
    </row>
    <row r="6" spans="1:5" x14ac:dyDescent="0.3">
      <c r="A6" s="215"/>
      <c r="B6" s="224" t="s">
        <v>430</v>
      </c>
      <c r="C6" s="225">
        <v>132657.07015680004</v>
      </c>
      <c r="D6" s="230">
        <v>771</v>
      </c>
      <c r="E6" s="226">
        <f>ROUND(C6/52/D6,2)</f>
        <v>3.31</v>
      </c>
    </row>
    <row r="7" spans="1:5" x14ac:dyDescent="0.3">
      <c r="A7" s="215"/>
      <c r="B7" s="215"/>
      <c r="C7" s="227">
        <v>138507.79499520001</v>
      </c>
      <c r="D7" s="232">
        <v>821</v>
      </c>
      <c r="E7" s="226">
        <f>C7/D7/52</f>
        <v>3.2443501123208094</v>
      </c>
    </row>
  </sheetData>
  <sheetProtection algorithmName="SHA-512" hashValue="MIkElxlJ5ZygVmuPLLC4EHZ7GOJid1SWPwBqY7ArGXNvp0dMpB8SizahADTqv6Z6KChzgCUwenrstHqhlHG9mw==" saltValue="0xKThrkf6stRNzkuXYJeAA==" spinCount="100000" sheet="1" objects="1" scenarios="1"/>
  <pageMargins left="0.6" right="0.33" top="0.37" bottom="0.32" header="0.25" footer="0.21"/>
  <pageSetup paperSize="9" scale="6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138423A74BBD4AAE48C33044AB9817" ma:contentTypeVersion="15" ma:contentTypeDescription="Create a new document." ma:contentTypeScope="" ma:versionID="691f8220b2f47e204372284f0d516c24">
  <xsd:schema xmlns:xsd="http://www.w3.org/2001/XMLSchema" xmlns:xs="http://www.w3.org/2001/XMLSchema" xmlns:p="http://schemas.microsoft.com/office/2006/metadata/properties" xmlns:ns2="376e0bc9-2597-446d-a9cd-37c2889c4289" xmlns:ns3="6f2ae423-ba33-4d23-be3e-f2a5dfeb2fe4" targetNamespace="http://schemas.microsoft.com/office/2006/metadata/properties" ma:root="true" ma:fieldsID="6681421209bb21fc359e1c163153fca4" ns2:_="" ns3:_="">
    <xsd:import namespace="376e0bc9-2597-446d-a9cd-37c2889c4289"/>
    <xsd:import namespace="6f2ae423-ba33-4d23-be3e-f2a5dfeb2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6e0bc9-2597-446d-a9cd-37c2889c42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ee73f336-9c49-41ab-9427-d263034a010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ae423-ba33-4d23-be3e-f2a5dfeb2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fcfaabb-f65d-4b56-9e68-85e8c42a3a3b}" ma:internalName="TaxCatchAll" ma:showField="CatchAllData" ma:web="6f2ae423-ba33-4d23-be3e-f2a5dfeb2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76e0bc9-2597-446d-a9cd-37c2889c4289">
      <Terms xmlns="http://schemas.microsoft.com/office/infopath/2007/PartnerControls"/>
    </lcf76f155ced4ddcb4097134ff3c332f>
    <TaxCatchAll xmlns="6f2ae423-ba33-4d23-be3e-f2a5dfeb2fe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B832E7-F985-493A-809F-D17F34AFD2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6e0bc9-2597-446d-a9cd-37c2889c4289"/>
    <ds:schemaRef ds:uri="6f2ae423-ba33-4d23-be3e-f2a5dfeb2f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335DD0-C778-4755-A3CD-FFDD7255B194}">
  <ds:schemaRefs>
    <ds:schemaRef ds:uri="376e0bc9-2597-446d-a9cd-37c2889c4289"/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6f2ae423-ba33-4d23-be3e-f2a5dfeb2fe4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081367D-ECFE-4439-A6AD-82533DB451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Tenant Charges 2023-2024</vt:lpstr>
      <vt:lpstr>Electricity</vt:lpstr>
      <vt:lpstr>Gas</vt:lpstr>
      <vt:lpstr>Water</vt:lpstr>
      <vt:lpstr>Cleaning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Kulig, Sebastian</dc:creator>
  <cp:lastModifiedBy>Sebastian Kulig</cp:lastModifiedBy>
  <cp:lastPrinted>2019-01-24T13:58:44Z</cp:lastPrinted>
  <dcterms:created xsi:type="dcterms:W3CDTF">2015-08-26T13:01:57Z</dcterms:created>
  <dcterms:modified xsi:type="dcterms:W3CDTF">2023-05-11T07:59:03Z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0x0101002A138423A74BBD4AAE48C33044AB9817</vt:lpwstr>
  </property>
</Properties>
</file>