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hibber\Downloads\"/>
    </mc:Choice>
  </mc:AlternateContent>
  <xr:revisionPtr revIDLastSave="0" documentId="8_{DE4F0464-1F0D-44B9-A361-476E996ED547}" xr6:coauthVersionLast="47" xr6:coauthVersionMax="47" xr10:uidLastSave="{00000000-0000-0000-0000-000000000000}"/>
  <workbookProtection workbookAlgorithmName="SHA-512" workbookHashValue="o0wgb0D21Zq+FJqndEyrWWta+whIdFAdB7bHSckcRenrr4LvF5PS8OI+uGzEedsHvdlqiU62Ok7ZZ/4Sy/Wz2Q==" workbookSaltValue="oW6PsbV2Ylc5fgUPyFIYMA==" workbookSpinCount="100000" lockStructure="1"/>
  <bookViews>
    <workbookView xWindow="28680" yWindow="-120" windowWidth="38640" windowHeight="15720" xr2:uid="{00000000-000D-0000-FFFF-FFFF00000000}"/>
  </bookViews>
  <sheets>
    <sheet name="DRCR Calc" sheetId="1" r:id="rId1"/>
    <sheet name="Data" sheetId="2" state="hidden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5" i="2"/>
  <c r="J46" i="2"/>
  <c r="J47" i="2"/>
  <c r="J48" i="2"/>
  <c r="J49" i="2"/>
  <c r="J50" i="2"/>
  <c r="J51" i="2"/>
  <c r="J53" i="2"/>
  <c r="J54" i="2"/>
  <c r="J56" i="2"/>
  <c r="J57" i="2"/>
  <c r="J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4" i="2"/>
  <c r="G12" i="1" l="1"/>
  <c r="B17" i="1" s="1"/>
  <c r="G11" i="1"/>
  <c r="D12" i="1"/>
  <c r="D11" i="1"/>
  <c r="B16" i="1" l="1"/>
  <c r="B15" i="1"/>
  <c r="F7" i="1"/>
  <c r="B22" i="1" s="1"/>
  <c r="B18" i="1" l="1"/>
  <c r="B21" i="1" s="1"/>
  <c r="B23" i="1" s="1"/>
  <c r="B24" i="1" l="1"/>
  <c r="C27" i="1" s="1"/>
  <c r="D26" i="1" l="1"/>
  <c r="D27" i="1" s="1"/>
  <c r="C26" i="1"/>
</calcChain>
</file>

<file path=xl/sharedStrings.xml><?xml version="1.0" encoding="utf-8"?>
<sst xmlns="http://schemas.openxmlformats.org/spreadsheetml/2006/main" count="248" uniqueCount="145">
  <si>
    <t>CLOSURE OF ACCOUNTS 2025/2026</t>
  </si>
  <si>
    <t>Universal Infant Free School Meals (UIFSM) -  Year End Debtor/Creditor Calculation 2025/2026</t>
  </si>
  <si>
    <t>Journal to be posted in FMS by Monday 23 March 2026</t>
  </si>
  <si>
    <t>School:</t>
  </si>
  <si>
    <t>Select your school here</t>
  </si>
  <si>
    <t>Pupil data</t>
  </si>
  <si>
    <t>(a)</t>
  </si>
  <si>
    <t>(b)</t>
  </si>
  <si>
    <t>(c)</t>
  </si>
  <si>
    <t>(d)</t>
  </si>
  <si>
    <t>(e)</t>
  </si>
  <si>
    <t>(f)</t>
  </si>
  <si>
    <t xml:space="preserve">School Census </t>
  </si>
  <si>
    <t>Meals taken by ALL pupils in Year Groups 1 and 2</t>
  </si>
  <si>
    <t>Meals taken by FSM pupils in Year Groups 1 and 2</t>
  </si>
  <si>
    <t>Meals taken by grant eligible pupils in Years 1 and 2 (a) - (b)</t>
  </si>
  <si>
    <t>Meals taken by ALL pupils in Year Group R</t>
  </si>
  <si>
    <t>Meals taken by FSM pupils in Year Group R</t>
  </si>
  <si>
    <t>Meals taken by grant eligible pupils in Year R (d) - (e)</t>
  </si>
  <si>
    <t>October 2025</t>
  </si>
  <si>
    <t>January 2026</t>
  </si>
  <si>
    <t>Final Allocation for 25/26 academic year</t>
  </si>
  <si>
    <t>(i) Average of October 2025 and January 2026 take up of meals in Years 1 and 2</t>
  </si>
  <si>
    <t>(October 2025 Year 1 and 2 pupils in (c) + January 2026 Year 1 and 2 pupils in (c))/2 x the meal rate of £2.61  x  190 meal days)</t>
  </si>
  <si>
    <t>(ii) Average of October 2025 and January 2026 take up of meals in Year R only</t>
  </si>
  <si>
    <t>(October 2025 Year R pupils in (f)+ January 2026 Year R pupils in (f))/2 x the meal rate of £2.61  x  190 meal days)</t>
  </si>
  <si>
    <t>(iii) January 2026 take up of meals in Year R only</t>
  </si>
  <si>
    <t>(January 2026 pupils in (f) x the meal rate of £2.61  x  190 meal days</t>
  </si>
  <si>
    <r>
      <t xml:space="preserve">Final allocation = (i) </t>
    </r>
    <r>
      <rPr>
        <sz val="12"/>
        <color theme="1"/>
        <rFont val="Arial"/>
        <family val="2"/>
      </rPr>
      <t>plus the greater of</t>
    </r>
    <r>
      <rPr>
        <b/>
        <sz val="12"/>
        <color theme="1"/>
        <rFont val="Arial"/>
        <family val="2"/>
      </rPr>
      <t xml:space="preserve"> (ii) or (iii) </t>
    </r>
  </si>
  <si>
    <t>Calculation of your school end of year debtor/creditor</t>
  </si>
  <si>
    <t>£</t>
  </si>
  <si>
    <t>Notes</t>
  </si>
  <si>
    <t>7/12ths of final allocation</t>
  </si>
  <si>
    <t>This is the amount you should have received.</t>
  </si>
  <si>
    <t>Cash Advance Provisional Payment</t>
  </si>
  <si>
    <t>This is the figure you received in your cash advance in cell R55</t>
  </si>
  <si>
    <r>
      <t xml:space="preserve">Debtor / (Creditor) value to be raised at 31/03/2026 </t>
    </r>
    <r>
      <rPr>
        <b/>
        <sz val="12"/>
        <color rgb="FFFF0000"/>
        <rFont val="Arial"/>
        <family val="2"/>
      </rPr>
      <t>by 23/03/2026</t>
    </r>
  </si>
  <si>
    <t>A positive balance = debtor (not enough income was recorded for Sep 25 - Mar 26)
A negative balance = creditor (too much income was recorded for Sep 25 - Mar 26)</t>
  </si>
  <si>
    <t>Instructions:</t>
  </si>
  <si>
    <t>Journal to be raised:</t>
  </si>
  <si>
    <t>Enter the relevant census data in the red cells.</t>
  </si>
  <si>
    <t>Post journal in FMS by 23 March 2026 and record on the debtor/creditor list</t>
  </si>
  <si>
    <t>Prov revenue payment for 25/26</t>
  </si>
  <si>
    <t>final allocation for 24/25</t>
  </si>
  <si>
    <t>Abbeys Primary School</t>
  </si>
  <si>
    <t>SP2348</t>
  </si>
  <si>
    <t>Barleyhurst Park Primary</t>
  </si>
  <si>
    <t>SP2238</t>
  </si>
  <si>
    <t>Bishop Parker Catholic School</t>
  </si>
  <si>
    <t>SP3377</t>
  </si>
  <si>
    <t>Bow Brickhill CofE VA Primary School</t>
  </si>
  <si>
    <t>SP3384</t>
  </si>
  <si>
    <t>Brooklands Farm Primary School</t>
  </si>
  <si>
    <t>SP3391</t>
  </si>
  <si>
    <t>Broughton Fields Primary School</t>
  </si>
  <si>
    <t>SP2017</t>
  </si>
  <si>
    <t>Caroline Haslett Primary School</t>
  </si>
  <si>
    <t>SP2336</t>
  </si>
  <si>
    <t>Castlethorpe First School</t>
  </si>
  <si>
    <t>SP2015</t>
  </si>
  <si>
    <t>Cedars Primary School</t>
  </si>
  <si>
    <t>SP2346</t>
  </si>
  <si>
    <t>Cold Harbour Church of England School</t>
  </si>
  <si>
    <t>SP3000</t>
  </si>
  <si>
    <t>Downs Barn School</t>
  </si>
  <si>
    <t>SP2313</t>
  </si>
  <si>
    <t>Falconhurst School</t>
  </si>
  <si>
    <t>SP2285</t>
  </si>
  <si>
    <t>Germander Park School</t>
  </si>
  <si>
    <t>SP2316</t>
  </si>
  <si>
    <t>Giffard Park Primary School</t>
  </si>
  <si>
    <t>SP2323</t>
  </si>
  <si>
    <t>Giles Brook Primary School</t>
  </si>
  <si>
    <t>SP3376</t>
  </si>
  <si>
    <t>Glastonbury Thorn School</t>
  </si>
  <si>
    <t>SP2347</t>
  </si>
  <si>
    <t>Great Linford Primary School</t>
  </si>
  <si>
    <t>SP2303</t>
  </si>
  <si>
    <t>Green Park School</t>
  </si>
  <si>
    <t>SP2337</t>
  </si>
  <si>
    <t>Greenleys First School</t>
  </si>
  <si>
    <t>SP2272</t>
  </si>
  <si>
    <t>Hanslope Primary School</t>
  </si>
  <si>
    <t>SP2042</t>
  </si>
  <si>
    <t>Haversham Village School</t>
  </si>
  <si>
    <t>SP2043</t>
  </si>
  <si>
    <t>Heelands School</t>
  </si>
  <si>
    <t>SP2324</t>
  </si>
  <si>
    <t>Howe Park School</t>
  </si>
  <si>
    <t>SP2006</t>
  </si>
  <si>
    <t>Long Meadow School</t>
  </si>
  <si>
    <t>SP2007</t>
  </si>
  <si>
    <t>Loughton Manor First School</t>
  </si>
  <si>
    <t>SP2506</t>
  </si>
  <si>
    <t>Newton Blossomville Church of England School</t>
  </si>
  <si>
    <t>SP3003</t>
  </si>
  <si>
    <t>Newton Leys Primary School</t>
  </si>
  <si>
    <t>SP3390</t>
  </si>
  <si>
    <t>North Crawley CofE School</t>
  </si>
  <si>
    <t>SP3004</t>
  </si>
  <si>
    <t>Oldbrook First School and Nursery</t>
  </si>
  <si>
    <t>SP2062</t>
  </si>
  <si>
    <t>Pepper Hill School</t>
  </si>
  <si>
    <t>SP2247</t>
  </si>
  <si>
    <t>Portfields Primary School</t>
  </si>
  <si>
    <t>SP2002</t>
  </si>
  <si>
    <t>Priory Common School</t>
  </si>
  <si>
    <t>SP2322</t>
  </si>
  <si>
    <t>Romans Field School</t>
  </si>
  <si>
    <t>SL7015</t>
  </si>
  <si>
    <t>Russell Street School</t>
  </si>
  <si>
    <t>SP2112</t>
  </si>
  <si>
    <t>Sherington Church of England School</t>
  </si>
  <si>
    <t>SP3005</t>
  </si>
  <si>
    <t>Slated Row School</t>
  </si>
  <si>
    <t>SL7026</t>
  </si>
  <si>
    <t>St Andrew's CofE Infant School</t>
  </si>
  <si>
    <t>SP3066</t>
  </si>
  <si>
    <t>St Bernadette's Catholic Primary School</t>
  </si>
  <si>
    <t>SP3383</t>
  </si>
  <si>
    <t>St Mary Magdalene Catholic Primary School</t>
  </si>
  <si>
    <t>SP3379</t>
  </si>
  <si>
    <t>St Monica's Catholic Primary School</t>
  </si>
  <si>
    <t>SP3378</t>
  </si>
  <si>
    <t>St Thomas Aquinas Catholic Primary School</t>
  </si>
  <si>
    <t>SP3369</t>
  </si>
  <si>
    <t>Stoke Goldington Church of England School</t>
  </si>
  <si>
    <t>SP3006</t>
  </si>
  <si>
    <t>Summerfield School</t>
  </si>
  <si>
    <t>SP2327</t>
  </si>
  <si>
    <t>The Redway School</t>
  </si>
  <si>
    <t>SL7034</t>
  </si>
  <si>
    <t>The Willows School and Early Years Centre</t>
  </si>
  <si>
    <t>SP2320</t>
  </si>
  <si>
    <t>Wavendon Gate School</t>
  </si>
  <si>
    <t>SP2000</t>
  </si>
  <si>
    <t>White Spire school</t>
  </si>
  <si>
    <t>SL7009</t>
  </si>
  <si>
    <t>Wood End Infant &amp; Pre-School</t>
  </si>
  <si>
    <t>SP2306</t>
  </si>
  <si>
    <t>SL7021</t>
  </si>
  <si>
    <t>The Woodlands School</t>
  </si>
  <si>
    <t>Wyvern School</t>
  </si>
  <si>
    <t>SP2122</t>
  </si>
  <si>
    <t>White Spire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</si>
</sst>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809]d\ mmmm\ yyyy;@"/>
    <numFmt numFmtId="165" formatCode="_-* #,##0_-;\-* #,##0_-;_-* &quot;-&quot;??_-;_-@_-"/>
    <numFmt numFmtId="166" formatCode="#,##0_ ;\-#,##0\ "/>
    <numFmt numFmtId="167" formatCode="[$£]#,##0"/>
  </numFmts>
  <fonts count="18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auto="1"/>
      </top>
      <bottom style="medium">
        <color auto="1"/>
      </bottom>
      <diagonal/>
    </border>
    <border>
      <left style="medium">
        <color rgb="FFFF0000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0" fillId="0" borderId="0"/>
    <xf numFmtId="0" fontId="13" fillId="0" borderId="0" applyNumberFormat="0" applyBorder="0" applyProtection="0"/>
    <xf numFmtId="0" fontId="1" fillId="0" borderId="0"/>
  </cellStyleXfs>
  <cellXfs count="62">
    <xf numFmtId="0" fontId="0" fillId="0" borderId="0" xfId="0"/>
    <xf numFmtId="0" fontId="8" fillId="3" borderId="4" xfId="0" applyFont="1" applyFill="1" applyBorder="1" applyProtection="1">
      <protection locked="0"/>
    </xf>
    <xf numFmtId="0" fontId="8" fillId="3" borderId="5" xfId="0" applyFont="1" applyFill="1" applyBorder="1" applyProtection="1">
      <protection locked="0"/>
    </xf>
    <xf numFmtId="0" fontId="8" fillId="3" borderId="6" xfId="0" applyFont="1" applyFill="1" applyBorder="1" applyProtection="1">
      <protection locked="0"/>
    </xf>
    <xf numFmtId="0" fontId="5" fillId="4" borderId="9" xfId="0" applyFont="1" applyFill="1" applyBorder="1"/>
    <xf numFmtId="0" fontId="0" fillId="4" borderId="10" xfId="0" applyFill="1" applyBorder="1"/>
    <xf numFmtId="0" fontId="3" fillId="0" borderId="0" xfId="0" applyFont="1" applyAlignment="1">
      <alignment horizont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49" fontId="3" fillId="2" borderId="3" xfId="0" applyNumberFormat="1" applyFont="1" applyFill="1" applyBorder="1"/>
    <xf numFmtId="164" fontId="6" fillId="0" borderId="0" xfId="0" applyNumberFormat="1" applyFont="1"/>
    <xf numFmtId="49" fontId="7" fillId="5" borderId="1" xfId="0" applyNumberFormat="1" applyFont="1" applyFill="1" applyBorder="1"/>
    <xf numFmtId="0" fontId="0" fillId="5" borderId="1" xfId="0" applyFill="1" applyBorder="1"/>
    <xf numFmtId="49" fontId="0" fillId="5" borderId="1" xfId="0" applyNumberFormat="1" applyFill="1" applyBorder="1" applyAlignment="1">
      <alignment wrapText="1"/>
    </xf>
    <xf numFmtId="165" fontId="3" fillId="5" borderId="1" xfId="1" applyNumberFormat="1" applyFont="1" applyFill="1" applyBorder="1" applyProtection="1"/>
    <xf numFmtId="49" fontId="3" fillId="5" borderId="1" xfId="0" applyNumberFormat="1" applyFont="1" applyFill="1" applyBorder="1" applyAlignment="1">
      <alignment wrapText="1"/>
    </xf>
    <xf numFmtId="49" fontId="3" fillId="6" borderId="3" xfId="0" applyNumberFormat="1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/>
    </xf>
    <xf numFmtId="0" fontId="0" fillId="6" borderId="3" xfId="0" applyFill="1" applyBorder="1"/>
    <xf numFmtId="166" fontId="0" fillId="6" borderId="1" xfId="1" applyNumberFormat="1" applyFont="1" applyFill="1" applyBorder="1" applyProtection="1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/>
    <xf numFmtId="166" fontId="3" fillId="6" borderId="8" xfId="1" applyNumberFormat="1" applyFont="1" applyFill="1" applyBorder="1" applyAlignment="1" applyProtection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3" fillId="7" borderId="14" xfId="0" applyFont="1" applyFill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7" fillId="7" borderId="17" xfId="0" applyFont="1" applyFill="1" applyBorder="1"/>
    <xf numFmtId="0" fontId="0" fillId="7" borderId="18" xfId="0" applyFill="1" applyBorder="1"/>
    <xf numFmtId="0" fontId="0" fillId="7" borderId="19" xfId="0" applyFill="1" applyBorder="1" applyAlignment="1">
      <alignment horizontal="left"/>
    </xf>
    <xf numFmtId="166" fontId="0" fillId="7" borderId="20" xfId="0" applyNumberFormat="1" applyFill="1" applyBorder="1"/>
    <xf numFmtId="0" fontId="0" fillId="7" borderId="12" xfId="0" applyFill="1" applyBorder="1" applyAlignment="1">
      <alignment horizontal="left"/>
    </xf>
    <xf numFmtId="166" fontId="0" fillId="7" borderId="13" xfId="0" applyNumberFormat="1" applyFill="1" applyBorder="1"/>
    <xf numFmtId="3" fontId="9" fillId="0" borderId="0" xfId="0" applyNumberFormat="1" applyFont="1"/>
    <xf numFmtId="0" fontId="9" fillId="0" borderId="0" xfId="0" applyFont="1" applyAlignment="1">
      <alignment horizontal="right" wrapText="1"/>
    </xf>
    <xf numFmtId="167" fontId="14" fillId="0" borderId="0" xfId="0" applyNumberFormat="1" applyFont="1" applyAlignment="1">
      <alignment horizontal="left" indent="3"/>
    </xf>
    <xf numFmtId="0" fontId="11" fillId="0" borderId="0" xfId="2" applyFont="1" applyAlignment="1">
      <alignment horizontal="center"/>
    </xf>
    <xf numFmtId="0" fontId="14" fillId="0" borderId="0" xfId="0" applyFont="1" applyAlignment="1">
      <alignment horizontal="right"/>
    </xf>
    <xf numFmtId="167" fontId="14" fillId="0" borderId="0" xfId="0" applyNumberFormat="1" applyFont="1"/>
    <xf numFmtId="0" fontId="3" fillId="6" borderId="11" xfId="0" applyFont="1" applyFill="1" applyBorder="1" applyAlignment="1">
      <alignment vertical="center" wrapText="1"/>
    </xf>
    <xf numFmtId="0" fontId="0" fillId="0" borderId="0" xfId="0" applyAlignment="1">
      <alignment horizontal="left" wrapText="1"/>
    </xf>
    <xf numFmtId="0" fontId="16" fillId="8" borderId="0" xfId="0" applyFont="1" applyFill="1" applyAlignment="1">
      <alignment horizontal="center" vertical="center"/>
    </xf>
    <xf numFmtId="0" fontId="0" fillId="6" borderId="3" xfId="0" applyFill="1" applyBorder="1" applyAlignment="1">
      <alignment horizontal="left"/>
    </xf>
    <xf numFmtId="0" fontId="0" fillId="6" borderId="7" xfId="0" applyFill="1" applyBorder="1" applyAlignment="1">
      <alignment horizontal="left"/>
    </xf>
    <xf numFmtId="0" fontId="15" fillId="6" borderId="3" xfId="0" applyFont="1" applyFill="1" applyBorder="1" applyAlignment="1">
      <alignment horizontal="left" vertical="center" wrapText="1"/>
    </xf>
    <xf numFmtId="0" fontId="15" fillId="6" borderId="7" xfId="0" applyFont="1" applyFill="1" applyBorder="1" applyAlignment="1">
      <alignment horizontal="left" vertical="center" wrapText="1"/>
    </xf>
    <xf numFmtId="0" fontId="4" fillId="9" borderId="0" xfId="0" applyFont="1" applyFill="1" applyAlignment="1">
      <alignment horizontal="center" wrapText="1"/>
    </xf>
    <xf numFmtId="165" fontId="0" fillId="5" borderId="3" xfId="1" applyNumberFormat="1" applyFont="1" applyFill="1" applyBorder="1" applyAlignment="1" applyProtection="1">
      <alignment horizontal="left" wrapText="1"/>
    </xf>
    <xf numFmtId="165" fontId="0" fillId="5" borderId="7" xfId="1" applyNumberFormat="1" applyFont="1" applyFill="1" applyBorder="1" applyAlignment="1" applyProtection="1">
      <alignment horizontal="left" wrapText="1"/>
    </xf>
    <xf numFmtId="0" fontId="3" fillId="6" borderId="7" xfId="0" applyFont="1" applyFill="1" applyBorder="1" applyAlignment="1">
      <alignment horizontal="left" vertical="center"/>
    </xf>
    <xf numFmtId="0" fontId="12" fillId="7" borderId="14" xfId="0" applyFont="1" applyFill="1" applyBorder="1" applyAlignment="1">
      <alignment horizontal="left" wrapText="1"/>
    </xf>
    <xf numFmtId="0" fontId="12" fillId="7" borderId="16" xfId="0" applyFont="1" applyFill="1" applyBorder="1" applyAlignment="1">
      <alignment horizontal="left" wrapText="1"/>
    </xf>
    <xf numFmtId="0" fontId="12" fillId="7" borderId="14" xfId="0" applyFont="1" applyFill="1" applyBorder="1" applyAlignment="1" applyProtection="1">
      <alignment horizontal="left" wrapText="1"/>
      <protection locked="0"/>
    </xf>
    <xf numFmtId="0" fontId="12" fillId="7" borderId="15" xfId="0" applyFont="1" applyFill="1" applyBorder="1" applyAlignment="1" applyProtection="1">
      <alignment horizontal="left" wrapText="1"/>
      <protection locked="0"/>
    </xf>
    <xf numFmtId="165" fontId="0" fillId="5" borderId="3" xfId="1" applyNumberFormat="1" applyFont="1" applyFill="1" applyBorder="1" applyAlignment="1" applyProtection="1">
      <alignment horizontal="center" wrapText="1"/>
    </xf>
    <xf numFmtId="165" fontId="0" fillId="5" borderId="7" xfId="1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center" wrapText="1"/>
    </xf>
  </cellXfs>
  <cellStyles count="5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 5" xfId="4" xr:uid="{69E2C6BF-D325-4554-A748-F6CFBF95637F}"/>
  </cellStyles>
  <dxfs count="2">
    <dxf>
      <fill>
        <patternFill>
          <bgColor theme="7" tint="0.5999633777886288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0</xdr:row>
      <xdr:rowOff>38101</xdr:rowOff>
    </xdr:from>
    <xdr:to>
      <xdr:col>12</xdr:col>
      <xdr:colOff>133350</xdr:colOff>
      <xdr:row>27</xdr:row>
      <xdr:rowOff>66675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934700" y="38101"/>
          <a:ext cx="3133725" cy="6772274"/>
        </a:xfrm>
        <a:prstGeom prst="rect">
          <a:avLst/>
        </a:prstGeom>
        <a:solidFill>
          <a:schemeClr val="lt1"/>
        </a:solidFill>
        <a:ln w="53975" cap="flat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/>
            <a:t>The UIFSM grant is paid on an academic year basis.  The July 2025 payment was made up of two amounts:</a:t>
          </a:r>
        </a:p>
        <a:p>
          <a:r>
            <a:rPr lang="en-GB" sz="1400"/>
            <a:t>-Final</a:t>
          </a:r>
          <a:r>
            <a:rPr lang="en-GB" sz="1400" baseline="0"/>
            <a:t> payment for Apr 25-Aug 25 based on Oct 24 and Jan 25 census</a:t>
          </a:r>
        </a:p>
        <a:p>
          <a:r>
            <a:rPr lang="en-GB" sz="1400" baseline="0"/>
            <a:t>-Provisional payment for Sep 25-Mar 26</a:t>
          </a:r>
        </a:p>
        <a:p>
          <a:endParaRPr lang="en-GB" sz="1400" baseline="0"/>
        </a:p>
        <a:p>
          <a:r>
            <a:rPr lang="en-GB" sz="1400" baseline="0"/>
            <a:t>The provisional payment is calculated using the Oct 24 and Jan 25 census but will be recalculated in July 26 based on the Oct 25 and Jan 26 census.</a:t>
          </a:r>
        </a:p>
        <a:p>
          <a:endParaRPr lang="en-GB" sz="1400" baseline="0"/>
        </a:p>
        <a:p>
          <a:r>
            <a:rPr lang="en-GB" sz="1400" baseline="0"/>
            <a:t>The UIFSM debtor or creditor is calculated based on the amount the final payment should be.  This spreadsheet calculates the final payment, takes 7 months of that payment and then calculates the difference between what the payment should be at the new funding rate vs what has been paid.</a:t>
          </a:r>
        </a:p>
        <a:p>
          <a:endParaRPr lang="en-GB" sz="1400" baseline="0"/>
        </a:p>
        <a:p>
          <a:r>
            <a:rPr lang="en-GB" sz="1400" baseline="0"/>
            <a:t>The difference is the debtor or creditor which should be raised.</a:t>
          </a:r>
        </a:p>
        <a:p>
          <a:endParaRPr lang="en-GB" sz="1400" baseline="0"/>
        </a:p>
        <a:p>
          <a:r>
            <a:rPr lang="en-GB" sz="1400" b="1" baseline="0">
              <a:solidFill>
                <a:srgbClr val="FF0000"/>
              </a:solidFill>
            </a:rPr>
            <a:t>TO COMPLETE</a:t>
          </a:r>
          <a:endParaRPr lang="en-GB" sz="1400" b="0" baseline="0">
            <a:solidFill>
              <a:srgbClr val="FF0000"/>
            </a:solidFill>
          </a:endParaRPr>
        </a:p>
        <a:p>
          <a:r>
            <a:rPr lang="en-GB" sz="1400" b="0" baseline="0">
              <a:solidFill>
                <a:srgbClr val="FF0000"/>
              </a:solidFill>
            </a:rPr>
            <a:t>Select school from yellow box</a:t>
          </a:r>
        </a:p>
        <a:p>
          <a:r>
            <a:rPr lang="en-GB" sz="1400" b="0" baseline="0">
              <a:solidFill>
                <a:srgbClr val="FF0000"/>
              </a:solidFill>
            </a:rPr>
            <a:t>Enter census data in white cells</a:t>
          </a:r>
        </a:p>
        <a:p>
          <a:r>
            <a:rPr lang="en-GB" sz="1400" b="0" baseline="0">
              <a:solidFill>
                <a:srgbClr val="FF0000"/>
              </a:solidFill>
            </a:rPr>
            <a:t>Post journal detailed in rows 26/27</a:t>
          </a:r>
          <a:endParaRPr lang="en-GB" sz="1400" b="1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kcouncil.sharepoint.com/sites/files-fin-FN16/FN16.1/Cash%20Advances%202025-26/Cash%20Advance%20Sheets%202025-26.xlsx" TargetMode="External"/><Relationship Id="rId1" Type="http://schemas.openxmlformats.org/officeDocument/2006/relationships/externalLinkPath" Target="https://mkcouncil.sharepoint.com/sites/files-fin-FN16/FN16.1/Cash%20Advances%202025-26/Cash%20Advance%20Sheets%20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bbeys"/>
      <sheetName val="Barleyhurst Park"/>
      <sheetName val="Bishop Parker"/>
      <sheetName val="Bow Brickhill"/>
      <sheetName val="Bradwell Village"/>
      <sheetName val="Brooklands Farm"/>
      <sheetName val="Broughton Fields"/>
      <sheetName val="Bushfield"/>
      <sheetName val="Caroline Haslett"/>
      <sheetName val="Castlethorpe"/>
      <sheetName val="Cedars"/>
      <sheetName val="Cold Harbour"/>
      <sheetName val="Downs Barn"/>
      <sheetName val="Falconhurst"/>
      <sheetName val="Germander Park"/>
      <sheetName val="Giffard Park"/>
      <sheetName val="Giles Brook"/>
      <sheetName val="Glastonbury Thorn"/>
      <sheetName val="Great Linford"/>
      <sheetName val="St Andrews"/>
      <sheetName val="Green Park"/>
      <sheetName val="Greenleys First"/>
      <sheetName val="Greenleys Jnr"/>
      <sheetName val="Hanslope"/>
      <sheetName val="Haversham"/>
      <sheetName val="Heelands"/>
      <sheetName val="Howe Park"/>
      <sheetName val="Long Meadow"/>
      <sheetName val="Loughton Manor"/>
      <sheetName val="Newton Blossomville"/>
      <sheetName val="Newton Leys"/>
      <sheetName val="North Crawley"/>
      <sheetName val="Oldbrook"/>
      <sheetName val="Pepper Hill"/>
      <sheetName val="Portfields"/>
      <sheetName val="Priory Common"/>
      <sheetName val="Russell Street"/>
      <sheetName val="Sherington"/>
      <sheetName val="Southwood"/>
      <sheetName val="St Bernadettes"/>
      <sheetName val="Stoke Goldington"/>
      <sheetName val="St Mary Magdalene"/>
      <sheetName val="St Monicas"/>
      <sheetName val="St Thomas Aquinas"/>
      <sheetName val="Stanton"/>
      <sheetName val="Summerfield"/>
      <sheetName val="Wavendon Gate"/>
      <sheetName val="Willows"/>
      <sheetName val="Wood End"/>
      <sheetName val="Wyvern"/>
      <sheetName val="Knowles Nursery"/>
      <sheetName val="Moorlands Nursery"/>
      <sheetName val="Radcliffe"/>
      <sheetName val="St Pauls"/>
      <sheetName val="Redway"/>
      <sheetName val="Romansfield"/>
      <sheetName val="Slated Row"/>
      <sheetName val="Woodlands"/>
      <sheetName val="Whitespire"/>
      <sheetName val="Total A-L"/>
      <sheetName val="Total M-Z"/>
      <sheetName val="Total"/>
      <sheetName val="School Formula Summary"/>
      <sheetName val="EY Funding"/>
      <sheetName val="High Needs"/>
      <sheetName val="Growth &amp; Amalgamation"/>
      <sheetName val="EFA"/>
      <sheetName val="Pupil Premium"/>
      <sheetName val="Devolved Capital"/>
      <sheetName val="Academy Conv Calcs"/>
      <sheetName val="UIFSM"/>
      <sheetName val="Deadlines"/>
      <sheetName val="Opening Rec"/>
      <sheetName val="Growth Contingency"/>
      <sheetName val="School Vendor Numbers"/>
      <sheetName val="Place Fund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1">
          <cell r="G1" t="str">
            <v>School Name</v>
          </cell>
          <cell r="H1" t="str">
            <v>2024/25 Provisional Payment July 2024 Cash Advance Payment</v>
          </cell>
          <cell r="I1" t="str">
            <v>Final allocation for 2024-25 (£)</v>
          </cell>
          <cell r="J1" t="str">
            <v>Final 2024/25 Payment (Total less provisional July 2024 payment)</v>
          </cell>
          <cell r="K1" t="str">
            <v>Provisional revenue payment for 2025-26 (£)</v>
          </cell>
        </row>
        <row r="2">
          <cell r="G2" t="str">
            <v>Wavendon Gate School</v>
          </cell>
          <cell r="H2">
            <v>30705</v>
          </cell>
          <cell r="I2">
            <v>47060</v>
          </cell>
          <cell r="J2">
            <v>16355</v>
          </cell>
          <cell r="K2">
            <v>27771</v>
          </cell>
        </row>
        <row r="3">
          <cell r="G3" t="str">
            <v>Portfields Primary School</v>
          </cell>
          <cell r="H3">
            <v>37435</v>
          </cell>
          <cell r="I3">
            <v>71079</v>
          </cell>
          <cell r="J3">
            <v>33644</v>
          </cell>
          <cell r="K3">
            <v>41945</v>
          </cell>
        </row>
        <row r="4">
          <cell r="G4" t="str">
            <v>Howe Park School</v>
          </cell>
          <cell r="H4">
            <v>39398</v>
          </cell>
          <cell r="I4">
            <v>51962</v>
          </cell>
          <cell r="J4">
            <v>12564</v>
          </cell>
          <cell r="K4">
            <v>30664</v>
          </cell>
        </row>
        <row r="5">
          <cell r="G5" t="str">
            <v>Long Meadow School</v>
          </cell>
          <cell r="H5">
            <v>28742</v>
          </cell>
          <cell r="I5">
            <v>51717</v>
          </cell>
          <cell r="J5">
            <v>22975</v>
          </cell>
          <cell r="K5">
            <v>30520</v>
          </cell>
        </row>
        <row r="6">
          <cell r="G6" t="str">
            <v>Castlethorpe First School</v>
          </cell>
          <cell r="H6">
            <v>7432</v>
          </cell>
          <cell r="I6">
            <v>13971</v>
          </cell>
          <cell r="J6">
            <v>6539</v>
          </cell>
          <cell r="K6">
            <v>8245</v>
          </cell>
        </row>
        <row r="7">
          <cell r="G7" t="str">
            <v>Broughton Fields Primary School</v>
          </cell>
          <cell r="H7">
            <v>28883</v>
          </cell>
          <cell r="I7">
            <v>41913</v>
          </cell>
          <cell r="J7">
            <v>13030</v>
          </cell>
          <cell r="K7">
            <v>24734</v>
          </cell>
        </row>
        <row r="8">
          <cell r="G8" t="str">
            <v>Hanslope Primary School</v>
          </cell>
          <cell r="H8">
            <v>15283</v>
          </cell>
          <cell r="I8">
            <v>29412</v>
          </cell>
          <cell r="J8">
            <v>14129</v>
          </cell>
          <cell r="K8">
            <v>17357</v>
          </cell>
        </row>
        <row r="9">
          <cell r="G9" t="str">
            <v>Haversham Village School</v>
          </cell>
          <cell r="H9">
            <v>16404</v>
          </cell>
          <cell r="I9">
            <v>28922</v>
          </cell>
          <cell r="J9">
            <v>12518</v>
          </cell>
          <cell r="K9">
            <v>17068</v>
          </cell>
        </row>
        <row r="10">
          <cell r="G10" t="str">
            <v>Oldbrook First School and Nursery</v>
          </cell>
          <cell r="H10">
            <v>26640</v>
          </cell>
          <cell r="I10">
            <v>49266</v>
          </cell>
          <cell r="J10">
            <v>22626</v>
          </cell>
          <cell r="K10">
            <v>29073</v>
          </cell>
        </row>
        <row r="11">
          <cell r="G11" t="str">
            <v>Russell Street School</v>
          </cell>
          <cell r="H11">
            <v>32949</v>
          </cell>
          <cell r="I11">
            <v>57109</v>
          </cell>
          <cell r="J11">
            <v>24160</v>
          </cell>
          <cell r="K11">
            <v>33701</v>
          </cell>
        </row>
        <row r="12">
          <cell r="G12" t="str">
            <v>Wyvern School</v>
          </cell>
          <cell r="H12">
            <v>56643</v>
          </cell>
          <cell r="I12">
            <v>89217</v>
          </cell>
          <cell r="J12">
            <v>32574</v>
          </cell>
          <cell r="K12">
            <v>52649</v>
          </cell>
        </row>
        <row r="13">
          <cell r="G13" t="str">
            <v>Barleyhurst Park Primary</v>
          </cell>
          <cell r="H13">
            <v>16404</v>
          </cell>
          <cell r="I13">
            <v>27207</v>
          </cell>
          <cell r="J13">
            <v>10803</v>
          </cell>
          <cell r="K13">
            <v>16056</v>
          </cell>
        </row>
        <row r="14">
          <cell r="G14" t="str">
            <v>Pepper Hill School</v>
          </cell>
          <cell r="H14">
            <v>22714</v>
          </cell>
          <cell r="I14">
            <v>51962</v>
          </cell>
          <cell r="J14">
            <v>29248</v>
          </cell>
          <cell r="K14">
            <v>30664</v>
          </cell>
        </row>
        <row r="15">
          <cell r="G15" t="str">
            <v>Greenleys First School</v>
          </cell>
          <cell r="H15">
            <v>15143</v>
          </cell>
          <cell r="I15">
            <v>26716</v>
          </cell>
          <cell r="J15">
            <v>11573</v>
          </cell>
          <cell r="K15">
            <v>15766</v>
          </cell>
        </row>
        <row r="16">
          <cell r="G16" t="str">
            <v>Falconhurst School</v>
          </cell>
          <cell r="H16">
            <v>16404</v>
          </cell>
          <cell r="I16">
            <v>18138</v>
          </cell>
          <cell r="J16">
            <v>1734</v>
          </cell>
          <cell r="K16">
            <v>10704</v>
          </cell>
        </row>
        <row r="17">
          <cell r="G17" t="str">
            <v>Great Linford Primary School</v>
          </cell>
          <cell r="H17">
            <v>28602</v>
          </cell>
          <cell r="I17">
            <v>42158</v>
          </cell>
          <cell r="J17">
            <v>13556</v>
          </cell>
          <cell r="K17">
            <v>24879</v>
          </cell>
        </row>
        <row r="18">
          <cell r="G18" t="str">
            <v>Wood End Infant &amp; Pre-School</v>
          </cell>
          <cell r="H18">
            <v>14161</v>
          </cell>
          <cell r="I18">
            <v>21079</v>
          </cell>
          <cell r="J18">
            <v>6918</v>
          </cell>
          <cell r="K18">
            <v>12440</v>
          </cell>
        </row>
        <row r="19">
          <cell r="G19" t="str">
            <v>Downs Barn School</v>
          </cell>
          <cell r="H19">
            <v>9534</v>
          </cell>
          <cell r="I19">
            <v>15687</v>
          </cell>
          <cell r="J19">
            <v>6153</v>
          </cell>
          <cell r="K19">
            <v>9258</v>
          </cell>
        </row>
        <row r="20">
          <cell r="G20" t="str">
            <v>Germander Park School</v>
          </cell>
          <cell r="H20">
            <v>7852</v>
          </cell>
          <cell r="I20">
            <v>11765</v>
          </cell>
          <cell r="J20">
            <v>3913</v>
          </cell>
          <cell r="K20">
            <v>6943</v>
          </cell>
        </row>
        <row r="21">
          <cell r="G21" t="str">
            <v>The Willows School and Early Years Centre</v>
          </cell>
          <cell r="H21">
            <v>17246</v>
          </cell>
          <cell r="I21">
            <v>30638</v>
          </cell>
          <cell r="J21">
            <v>13392</v>
          </cell>
          <cell r="K21">
            <v>18080</v>
          </cell>
        </row>
        <row r="22">
          <cell r="G22" t="str">
            <v>Priory Common School</v>
          </cell>
          <cell r="H22">
            <v>9254</v>
          </cell>
          <cell r="I22">
            <v>16177</v>
          </cell>
          <cell r="J22">
            <v>6923</v>
          </cell>
          <cell r="K22">
            <v>9547</v>
          </cell>
        </row>
        <row r="23">
          <cell r="G23" t="str">
            <v>Giffard Park Primary School</v>
          </cell>
          <cell r="H23">
            <v>21733</v>
          </cell>
          <cell r="I23">
            <v>31863</v>
          </cell>
          <cell r="J23">
            <v>10130</v>
          </cell>
          <cell r="K23">
            <v>18803</v>
          </cell>
        </row>
        <row r="24">
          <cell r="G24" t="str">
            <v>Heelands School</v>
          </cell>
          <cell r="H24">
            <v>13180</v>
          </cell>
          <cell r="I24">
            <v>18628</v>
          </cell>
          <cell r="J24">
            <v>5448</v>
          </cell>
          <cell r="K24">
            <v>10993</v>
          </cell>
        </row>
        <row r="25">
          <cell r="G25" t="str">
            <v>Summerfield School</v>
          </cell>
          <cell r="H25">
            <v>25658</v>
          </cell>
          <cell r="I25">
            <v>48530</v>
          </cell>
          <cell r="J25">
            <v>22872</v>
          </cell>
          <cell r="K25">
            <v>28639</v>
          </cell>
        </row>
        <row r="26">
          <cell r="G26" t="str">
            <v>Caroline Haslett Primary School</v>
          </cell>
          <cell r="H26">
            <v>38136</v>
          </cell>
          <cell r="I26">
            <v>70099</v>
          </cell>
          <cell r="J26">
            <v>31963</v>
          </cell>
          <cell r="K26">
            <v>41367</v>
          </cell>
        </row>
        <row r="27">
          <cell r="G27" t="str">
            <v>Green Park School</v>
          </cell>
          <cell r="H27">
            <v>30845</v>
          </cell>
          <cell r="I27">
            <v>52942</v>
          </cell>
          <cell r="J27">
            <v>22097</v>
          </cell>
          <cell r="K27">
            <v>31242</v>
          </cell>
        </row>
        <row r="28">
          <cell r="G28" t="str">
            <v>Cedars Primary School</v>
          </cell>
          <cell r="H28">
            <v>19208</v>
          </cell>
          <cell r="I28">
            <v>31373</v>
          </cell>
          <cell r="J28">
            <v>12165</v>
          </cell>
          <cell r="K28">
            <v>18514</v>
          </cell>
        </row>
        <row r="29">
          <cell r="G29" t="str">
            <v>Glastonbury Thorn School</v>
          </cell>
          <cell r="H29">
            <v>36875</v>
          </cell>
          <cell r="I29">
            <v>55883</v>
          </cell>
          <cell r="J29">
            <v>19008</v>
          </cell>
          <cell r="K29">
            <v>32978</v>
          </cell>
        </row>
        <row r="30">
          <cell r="G30" t="str">
            <v>Abbeys Primary School</v>
          </cell>
          <cell r="H30">
            <v>20050</v>
          </cell>
          <cell r="I30">
            <v>36765</v>
          </cell>
          <cell r="J30">
            <v>16715</v>
          </cell>
          <cell r="K30">
            <v>21696</v>
          </cell>
        </row>
        <row r="31">
          <cell r="G31" t="str">
            <v>Loughton Manor First School</v>
          </cell>
          <cell r="H31">
            <v>34631</v>
          </cell>
          <cell r="I31">
            <v>62501</v>
          </cell>
          <cell r="J31">
            <v>27870</v>
          </cell>
          <cell r="K31">
            <v>36883</v>
          </cell>
        </row>
        <row r="32">
          <cell r="G32" t="str">
            <v>Cold Harbour Church of England School</v>
          </cell>
          <cell r="H32">
            <v>12479</v>
          </cell>
          <cell r="I32">
            <v>21814</v>
          </cell>
          <cell r="J32">
            <v>9335</v>
          </cell>
          <cell r="K32">
            <v>12873</v>
          </cell>
        </row>
        <row r="33">
          <cell r="G33" t="str">
            <v>Newton Blossomville Church of England School</v>
          </cell>
          <cell r="H33">
            <v>4767</v>
          </cell>
          <cell r="I33">
            <v>5883</v>
          </cell>
          <cell r="J33">
            <v>1116</v>
          </cell>
          <cell r="K33">
            <v>3472</v>
          </cell>
        </row>
        <row r="34">
          <cell r="G34" t="str">
            <v>North Crawley CofE School</v>
          </cell>
          <cell r="H34">
            <v>6730</v>
          </cell>
          <cell r="I34">
            <v>10540</v>
          </cell>
          <cell r="J34">
            <v>3810</v>
          </cell>
          <cell r="K34">
            <v>6220</v>
          </cell>
        </row>
        <row r="35">
          <cell r="G35" t="str">
            <v>Sherington Church of England School</v>
          </cell>
          <cell r="H35">
            <v>3646</v>
          </cell>
          <cell r="I35">
            <v>7599</v>
          </cell>
          <cell r="J35">
            <v>3953</v>
          </cell>
          <cell r="K35">
            <v>4485</v>
          </cell>
        </row>
        <row r="36">
          <cell r="G36" t="str">
            <v>Stoke Goldington Church of England School</v>
          </cell>
          <cell r="H36">
            <v>3926</v>
          </cell>
          <cell r="I36">
            <v>7108</v>
          </cell>
          <cell r="J36">
            <v>3182</v>
          </cell>
          <cell r="K36">
            <v>4195</v>
          </cell>
        </row>
        <row r="37">
          <cell r="G37" t="str">
            <v>St Andrew's CofE Infant School</v>
          </cell>
          <cell r="H37">
            <v>2384</v>
          </cell>
          <cell r="I37">
            <v>5883</v>
          </cell>
          <cell r="J37">
            <v>3499</v>
          </cell>
          <cell r="K37">
            <v>3472</v>
          </cell>
        </row>
        <row r="38">
          <cell r="G38" t="str">
            <v>St Thomas Aquinas Catholic Primary School</v>
          </cell>
          <cell r="H38">
            <v>15844</v>
          </cell>
          <cell r="I38">
            <v>27207</v>
          </cell>
          <cell r="J38">
            <v>11363</v>
          </cell>
          <cell r="K38">
            <v>16056</v>
          </cell>
        </row>
        <row r="39">
          <cell r="G39" t="str">
            <v>Giles Brook Primary School</v>
          </cell>
          <cell r="H39">
            <v>42483</v>
          </cell>
          <cell r="I39">
            <v>64952</v>
          </cell>
          <cell r="J39">
            <v>22469</v>
          </cell>
          <cell r="K39">
            <v>38330</v>
          </cell>
        </row>
        <row r="40">
          <cell r="G40" t="str">
            <v>Bishop Parker Catholic School</v>
          </cell>
          <cell r="H40">
            <v>8974</v>
          </cell>
          <cell r="I40">
            <v>14952</v>
          </cell>
          <cell r="J40">
            <v>5978</v>
          </cell>
          <cell r="K40">
            <v>8824</v>
          </cell>
        </row>
        <row r="41">
          <cell r="G41" t="str">
            <v>St Monica's Catholic Primary School</v>
          </cell>
          <cell r="H41">
            <v>30145</v>
          </cell>
          <cell r="I41">
            <v>49511</v>
          </cell>
          <cell r="J41">
            <v>19366</v>
          </cell>
          <cell r="K41">
            <v>29218</v>
          </cell>
        </row>
        <row r="42">
          <cell r="G42" t="str">
            <v>St Mary Magdalene Catholic Primary School</v>
          </cell>
          <cell r="H42">
            <v>33509</v>
          </cell>
          <cell r="I42">
            <v>54658</v>
          </cell>
          <cell r="J42">
            <v>21149</v>
          </cell>
          <cell r="K42">
            <v>32255</v>
          </cell>
        </row>
        <row r="43">
          <cell r="G43" t="str">
            <v>St Bernadette's Catholic Primary School</v>
          </cell>
          <cell r="H43">
            <v>30565</v>
          </cell>
          <cell r="I43">
            <v>52452</v>
          </cell>
          <cell r="J43">
            <v>21887</v>
          </cell>
          <cell r="K43">
            <v>30953</v>
          </cell>
        </row>
        <row r="44">
          <cell r="G44" t="str">
            <v>Bow Brickhill CofE VA Primary School</v>
          </cell>
          <cell r="H44">
            <v>6871</v>
          </cell>
          <cell r="I44">
            <v>12010</v>
          </cell>
          <cell r="J44">
            <v>5139</v>
          </cell>
          <cell r="K44">
            <v>7088</v>
          </cell>
        </row>
        <row r="45">
          <cell r="G45" t="str">
            <v>Newton Leys Primary School</v>
          </cell>
          <cell r="H45">
            <v>46689</v>
          </cell>
          <cell r="I45">
            <v>100246</v>
          </cell>
          <cell r="J45">
            <v>53557</v>
          </cell>
          <cell r="K45">
            <v>59157</v>
          </cell>
        </row>
        <row r="46">
          <cell r="G46" t="str">
            <v>Brooklands Farm Primary School</v>
          </cell>
          <cell r="H46">
            <v>124362</v>
          </cell>
          <cell r="I46">
            <v>229659</v>
          </cell>
          <cell r="J46">
            <v>105297</v>
          </cell>
          <cell r="K46">
            <v>135526</v>
          </cell>
        </row>
        <row r="47">
          <cell r="G47" t="str">
            <v>The Woodlands School</v>
          </cell>
          <cell r="H47">
            <v>4347</v>
          </cell>
          <cell r="I47">
            <v>6128</v>
          </cell>
          <cell r="J47">
            <v>1781</v>
          </cell>
          <cell r="K47">
            <v>3617</v>
          </cell>
        </row>
        <row r="48">
          <cell r="G48" t="str">
            <v>Slated Row School</v>
          </cell>
          <cell r="H48">
            <v>1543</v>
          </cell>
          <cell r="I48">
            <v>3677</v>
          </cell>
          <cell r="J48">
            <v>2134</v>
          </cell>
          <cell r="K48">
            <v>2170</v>
          </cell>
        </row>
        <row r="49">
          <cell r="G49" t="str">
            <v>The Redway School</v>
          </cell>
          <cell r="H49">
            <v>4627</v>
          </cell>
          <cell r="I49">
            <v>4657</v>
          </cell>
          <cell r="J49">
            <v>30</v>
          </cell>
          <cell r="K49">
            <v>2749</v>
          </cell>
        </row>
        <row r="50">
          <cell r="G50" t="str">
            <v>White Spire School</v>
          </cell>
          <cell r="H50">
            <v>842</v>
          </cell>
          <cell r="I50">
            <v>0</v>
          </cell>
          <cell r="J50">
            <v>-842</v>
          </cell>
          <cell r="K50">
            <v>0</v>
          </cell>
        </row>
        <row r="51">
          <cell r="G51" t="str">
            <v>Romans Field School</v>
          </cell>
          <cell r="H51">
            <v>562</v>
          </cell>
          <cell r="I51">
            <v>0</v>
          </cell>
          <cell r="J51">
            <v>-562</v>
          </cell>
          <cell r="K51">
            <v>0</v>
          </cell>
        </row>
        <row r="52">
          <cell r="H52"/>
          <cell r="J52"/>
          <cell r="K52"/>
        </row>
        <row r="53">
          <cell r="H53"/>
          <cell r="J53"/>
          <cell r="K53"/>
        </row>
        <row r="54">
          <cell r="H54"/>
          <cell r="J54"/>
          <cell r="K54"/>
        </row>
        <row r="55">
          <cell r="H55">
            <v>1102035</v>
          </cell>
          <cell r="I55">
            <v>1880675</v>
          </cell>
          <cell r="J55">
            <v>777236</v>
          </cell>
          <cell r="K55">
            <v>1109839</v>
          </cell>
        </row>
        <row r="56">
          <cell r="J56" t="e">
            <v>#REF!</v>
          </cell>
        </row>
        <row r="57">
          <cell r="H57" t="str">
            <v>Amount from July 2024 cash advance</v>
          </cell>
          <cell r="I57" t="str">
            <v>Amounts from DfE</v>
          </cell>
          <cell r="J57" t="str">
            <v>Calculated Field</v>
          </cell>
          <cell r="K57"/>
        </row>
        <row r="58">
          <cell r="H58"/>
          <cell r="I58"/>
          <cell r="J58" t="str">
            <v>Amount on remittance advice is £777,236</v>
          </cell>
        </row>
      </sheetData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tabSelected="1" zoomScale="80" zoomScaleNormal="80" workbookViewId="0">
      <selection activeCell="B11" sqref="B11"/>
    </sheetView>
  </sheetViews>
  <sheetFormatPr defaultRowHeight="15" x14ac:dyDescent="0.2"/>
  <cols>
    <col min="1" max="1" width="42.6640625" customWidth="1"/>
    <col min="2" max="7" width="13.77734375" customWidth="1"/>
    <col min="8" max="8" width="1.6640625" customWidth="1"/>
  </cols>
  <sheetData>
    <row r="1" spans="1:7" ht="20.25" x14ac:dyDescent="0.2">
      <c r="A1" s="46" t="s">
        <v>0</v>
      </c>
      <c r="B1" s="46"/>
      <c r="C1" s="46"/>
      <c r="D1" s="46"/>
      <c r="E1" s="46"/>
      <c r="F1" s="46"/>
      <c r="G1" s="46"/>
    </row>
    <row r="2" spans="1:7" ht="3" customHeight="1" x14ac:dyDescent="0.2"/>
    <row r="3" spans="1:7" ht="18.75" customHeight="1" x14ac:dyDescent="0.25">
      <c r="A3" s="51" t="s">
        <v>1</v>
      </c>
      <c r="B3" s="51"/>
      <c r="C3" s="51"/>
      <c r="D3" s="51"/>
      <c r="E3" s="51"/>
      <c r="F3" s="51"/>
      <c r="G3" s="51"/>
    </row>
    <row r="4" spans="1:7" ht="3" customHeight="1" x14ac:dyDescent="0.25">
      <c r="A4" s="31"/>
      <c r="B4" s="31"/>
      <c r="C4" s="31"/>
      <c r="D4" s="31"/>
      <c r="E4" s="31"/>
      <c r="F4" s="31"/>
      <c r="G4" s="31"/>
    </row>
    <row r="5" spans="1:7" ht="18" x14ac:dyDescent="0.25">
      <c r="A5" s="61" t="s">
        <v>2</v>
      </c>
      <c r="B5" s="61"/>
      <c r="C5" s="61"/>
      <c r="D5" s="61"/>
      <c r="E5" s="61"/>
      <c r="F5" s="61"/>
      <c r="G5" s="61"/>
    </row>
    <row r="6" spans="1:7" ht="3" customHeight="1" thickBot="1" x14ac:dyDescent="0.3">
      <c r="A6" s="31"/>
      <c r="B6" s="31"/>
      <c r="C6" s="31"/>
      <c r="D6" s="31"/>
      <c r="E6" s="31"/>
      <c r="F6" s="31"/>
      <c r="G6" s="31"/>
    </row>
    <row r="7" spans="1:7" ht="15.75" customHeight="1" x14ac:dyDescent="0.25">
      <c r="A7" s="30" t="s">
        <v>3</v>
      </c>
      <c r="B7" s="57" t="s">
        <v>4</v>
      </c>
      <c r="C7" s="58" t="s">
        <v>4</v>
      </c>
      <c r="D7" s="58" t="s">
        <v>4</v>
      </c>
      <c r="E7" s="58" t="s">
        <v>4</v>
      </c>
      <c r="F7" s="55" t="str">
        <f>IFERROR(VLOOKUP(B7,Data!A4:B54,2,0),"")</f>
        <v/>
      </c>
      <c r="G7" s="56"/>
    </row>
    <row r="8" spans="1:7" ht="15.75" customHeight="1" x14ac:dyDescent="0.25">
      <c r="A8" s="6"/>
      <c r="B8" s="6"/>
      <c r="C8" s="6"/>
      <c r="D8" s="6"/>
      <c r="E8" s="6"/>
      <c r="F8" s="6"/>
      <c r="G8" s="6"/>
    </row>
    <row r="9" spans="1:7" ht="15.75" x14ac:dyDescent="0.25">
      <c r="A9" s="7" t="s">
        <v>5</v>
      </c>
      <c r="B9" s="8" t="s">
        <v>6</v>
      </c>
      <c r="C9" s="9" t="s">
        <v>7</v>
      </c>
      <c r="D9" s="9" t="s">
        <v>8</v>
      </c>
      <c r="E9" s="9" t="s">
        <v>9</v>
      </c>
      <c r="F9" s="9" t="s">
        <v>10</v>
      </c>
      <c r="G9" s="9" t="s">
        <v>11</v>
      </c>
    </row>
    <row r="10" spans="1:7" ht="63.75" thickBot="1" x14ac:dyDescent="0.3">
      <c r="A10" s="10" t="s">
        <v>12</v>
      </c>
      <c r="B10" s="11" t="s">
        <v>13</v>
      </c>
      <c r="C10" s="11" t="s">
        <v>14</v>
      </c>
      <c r="D10" s="12" t="s">
        <v>15</v>
      </c>
      <c r="E10" s="11" t="s">
        <v>16</v>
      </c>
      <c r="F10" s="11" t="s">
        <v>17</v>
      </c>
      <c r="G10" s="12" t="s">
        <v>18</v>
      </c>
    </row>
    <row r="11" spans="1:7" ht="16.5" thickBot="1" x14ac:dyDescent="0.3">
      <c r="A11" s="13" t="s">
        <v>19</v>
      </c>
      <c r="B11" s="1"/>
      <c r="C11" s="2"/>
      <c r="D11" s="4">
        <f>SUM(B11)-C11</f>
        <v>0</v>
      </c>
      <c r="E11" s="3"/>
      <c r="F11" s="2"/>
      <c r="G11" s="5">
        <f>SUM(E11)-F11</f>
        <v>0</v>
      </c>
    </row>
    <row r="12" spans="1:7" ht="16.5" thickBot="1" x14ac:dyDescent="0.3">
      <c r="A12" s="13" t="s">
        <v>20</v>
      </c>
      <c r="B12" s="1"/>
      <c r="C12" s="1"/>
      <c r="D12" s="4">
        <f>SUM(B12)-C12</f>
        <v>0</v>
      </c>
      <c r="E12" s="1"/>
      <c r="F12" s="1"/>
      <c r="G12" s="5">
        <f>SUM(E12)-F12</f>
        <v>0</v>
      </c>
    </row>
    <row r="13" spans="1:7" x14ac:dyDescent="0.2">
      <c r="A13" s="14"/>
    </row>
    <row r="14" spans="1:7" ht="15.75" x14ac:dyDescent="0.25">
      <c r="A14" s="15" t="s">
        <v>21</v>
      </c>
      <c r="B14" s="16"/>
      <c r="C14" s="59"/>
      <c r="D14" s="60"/>
      <c r="E14" s="60"/>
      <c r="F14" s="60"/>
      <c r="G14" s="60"/>
    </row>
    <row r="15" spans="1:7" ht="31.5" customHeight="1" x14ac:dyDescent="0.25">
      <c r="A15" s="17" t="s">
        <v>22</v>
      </c>
      <c r="B15" s="18">
        <f>SUM((D11+D12)/2)*2.61*190</f>
        <v>0</v>
      </c>
      <c r="C15" s="52" t="s">
        <v>23</v>
      </c>
      <c r="D15" s="53"/>
      <c r="E15" s="53"/>
      <c r="F15" s="53"/>
      <c r="G15" s="53"/>
    </row>
    <row r="16" spans="1:7" ht="31.5" customHeight="1" x14ac:dyDescent="0.25">
      <c r="A16" s="17" t="s">
        <v>24</v>
      </c>
      <c r="B16" s="18">
        <f>(SUM((G11+G12)/2)*2.61*190)</f>
        <v>0</v>
      </c>
      <c r="C16" s="52" t="s">
        <v>25</v>
      </c>
      <c r="D16" s="53"/>
      <c r="E16" s="53"/>
      <c r="F16" s="53"/>
      <c r="G16" s="53"/>
    </row>
    <row r="17" spans="1:7" ht="21" customHeight="1" x14ac:dyDescent="0.25">
      <c r="A17" s="17" t="s">
        <v>26</v>
      </c>
      <c r="B17" s="18">
        <f>SUM((G12))*2.61*190</f>
        <v>0</v>
      </c>
      <c r="C17" s="52" t="s">
        <v>27</v>
      </c>
      <c r="D17" s="53"/>
      <c r="E17" s="53"/>
      <c r="F17" s="53"/>
      <c r="G17" s="53"/>
    </row>
    <row r="18" spans="1:7" ht="33" customHeight="1" x14ac:dyDescent="0.25">
      <c r="A18" s="19" t="s">
        <v>28</v>
      </c>
      <c r="B18" s="18">
        <f>IF(B17&gt;B16,B17,B16)+B15</f>
        <v>0</v>
      </c>
      <c r="C18" s="52"/>
      <c r="D18" s="53"/>
      <c r="E18" s="53"/>
      <c r="F18" s="53"/>
      <c r="G18" s="53"/>
    </row>
    <row r="19" spans="1:7" x14ac:dyDescent="0.2">
      <c r="C19" s="25"/>
      <c r="D19" s="25"/>
      <c r="E19" s="25"/>
      <c r="F19" s="25"/>
      <c r="G19" s="25"/>
    </row>
    <row r="20" spans="1:7" ht="31.5" x14ac:dyDescent="0.2">
      <c r="A20" s="20" t="s">
        <v>29</v>
      </c>
      <c r="B20" s="21" t="s">
        <v>30</v>
      </c>
      <c r="C20" s="54" t="s">
        <v>31</v>
      </c>
      <c r="D20" s="54"/>
      <c r="E20" s="54"/>
      <c r="F20" s="54"/>
      <c r="G20" s="54"/>
    </row>
    <row r="21" spans="1:7" x14ac:dyDescent="0.2">
      <c r="A21" s="22" t="s">
        <v>32</v>
      </c>
      <c r="B21" s="23">
        <f>B18/12*7</f>
        <v>0</v>
      </c>
      <c r="C21" s="47" t="s">
        <v>33</v>
      </c>
      <c r="D21" s="48"/>
      <c r="E21" s="48"/>
      <c r="F21" s="48"/>
      <c r="G21" s="48"/>
    </row>
    <row r="22" spans="1:7" x14ac:dyDescent="0.2">
      <c r="A22" s="22" t="s">
        <v>34</v>
      </c>
      <c r="B22" s="23" t="str">
        <f>IFERROR(VLOOKUP(F7,Data!B4:C54,2,0),"")</f>
        <v/>
      </c>
      <c r="C22" s="47" t="s">
        <v>35</v>
      </c>
      <c r="D22" s="48"/>
      <c r="E22" s="48"/>
      <c r="F22" s="48"/>
      <c r="G22" s="48"/>
    </row>
    <row r="23" spans="1:7" ht="33.75" customHeight="1" x14ac:dyDescent="0.2">
      <c r="A23" s="44" t="s">
        <v>36</v>
      </c>
      <c r="B23" s="27" t="str">
        <f>IFERROR(B21-B22,"")</f>
        <v/>
      </c>
      <c r="C23" s="49" t="s">
        <v>37</v>
      </c>
      <c r="D23" s="50"/>
      <c r="E23" s="50"/>
      <c r="F23" s="50"/>
      <c r="G23" s="50"/>
    </row>
    <row r="24" spans="1:7" ht="16.5" thickBot="1" x14ac:dyDescent="0.3">
      <c r="B24" s="24" t="str">
        <f>IF(B23&lt;0,"Creditor","Debtor")</f>
        <v>Debtor</v>
      </c>
    </row>
    <row r="25" spans="1:7" ht="15.75" x14ac:dyDescent="0.25">
      <c r="A25" s="26" t="s">
        <v>38</v>
      </c>
      <c r="C25" s="32" t="s">
        <v>39</v>
      </c>
      <c r="D25" s="33"/>
    </row>
    <row r="26" spans="1:7" x14ac:dyDescent="0.2">
      <c r="A26" t="s">
        <v>40</v>
      </c>
      <c r="C26" s="34" t="str">
        <f>IF(B24="Creditor","DR   4190382","DR   DR01")</f>
        <v>DR   DR01</v>
      </c>
      <c r="D26" s="35" t="str">
        <f>IF(B24="creditor",-B23,B23)</f>
        <v/>
      </c>
    </row>
    <row r="27" spans="1:7" ht="15.75" thickBot="1" x14ac:dyDescent="0.25">
      <c r="A27" s="45" t="s">
        <v>41</v>
      </c>
      <c r="C27" s="36" t="str">
        <f>IF(B24="Creditor","CR   CR01","CR   4190382")</f>
        <v>CR   4190382</v>
      </c>
      <c r="D27" s="37" t="str">
        <f>IFERROR(-D26,"")</f>
        <v/>
      </c>
    </row>
    <row r="28" spans="1:7" x14ac:dyDescent="0.2">
      <c r="A28" s="45"/>
    </row>
  </sheetData>
  <sheetProtection algorithmName="SHA-512" hashValue="Ilb6iR5vmGPlJ3+26ox6KRiMXXuFU8VQcGA4PyY1W/Od3OVLzggyIdq0iLNXFTs19Wg1eVGGGW5HYU2TvyQHwA==" saltValue="LOvTRrehd46yPe9cu8sQQA==" spinCount="100000" sheet="1" selectLockedCells="1"/>
  <mergeCells count="15">
    <mergeCell ref="A27:A28"/>
    <mergeCell ref="A1:G1"/>
    <mergeCell ref="C21:G21"/>
    <mergeCell ref="C22:G22"/>
    <mergeCell ref="C23:G23"/>
    <mergeCell ref="A3:G3"/>
    <mergeCell ref="C18:G18"/>
    <mergeCell ref="C20:G20"/>
    <mergeCell ref="F7:G7"/>
    <mergeCell ref="B7:E7"/>
    <mergeCell ref="C14:G14"/>
    <mergeCell ref="C15:G15"/>
    <mergeCell ref="C16:G16"/>
    <mergeCell ref="C17:G17"/>
    <mergeCell ref="A5:G5"/>
  </mergeCells>
  <conditionalFormatting sqref="B7:E7">
    <cfRule type="expression" dxfId="1" priority="1">
      <formula>$B$7="Select your school here"</formula>
    </cfRule>
  </conditionalFormatting>
  <pageMargins left="0.15748031496062992" right="0.15748031496062992" top="0.19685039370078741" bottom="0.19685039370078741" header="0.11811023622047245" footer="0.11811023622047245"/>
  <pageSetup paperSize="9"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Data!$A$3:$A$54</xm:f>
          </x14:formula1>
          <xm:sqref>B7:E7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6"/>
  <sheetViews>
    <sheetView workbookViewId="0">
      <selection activeCell="A62" sqref="A62:C67"/>
    </sheetView>
  </sheetViews>
  <sheetFormatPr defaultColWidth="8.6640625" defaultRowHeight="12.75" x14ac:dyDescent="0.2"/>
  <cols>
    <col min="1" max="1" width="26.6640625" style="28" bestFit="1" customWidth="1"/>
    <col min="2" max="2" width="5.33203125" style="29" customWidth="1"/>
    <col min="3" max="3" width="9.5546875" style="28" customWidth="1"/>
    <col min="4" max="4" width="1.21875" style="28" customWidth="1"/>
    <col min="5" max="5" width="8.6640625" style="28"/>
    <col min="6" max="6" width="10.88671875" style="28" customWidth="1"/>
    <col min="7" max="7" width="6.109375" style="28" bestFit="1" customWidth="1"/>
    <col min="8" max="8" width="8.6640625" style="28"/>
    <col min="9" max="9" width="31.6640625" style="28" bestFit="1" customWidth="1"/>
    <col min="10" max="16384" width="8.6640625" style="28"/>
  </cols>
  <sheetData>
    <row r="1" spans="1:10" ht="38.25" x14ac:dyDescent="0.2">
      <c r="C1" s="39" t="s">
        <v>42</v>
      </c>
      <c r="H1" s="28" t="s">
        <v>43</v>
      </c>
    </row>
    <row r="3" spans="1:10" x14ac:dyDescent="0.2">
      <c r="A3" s="28" t="s">
        <v>4</v>
      </c>
    </row>
    <row r="4" spans="1:10" x14ac:dyDescent="0.2">
      <c r="A4" s="40" t="s">
        <v>44</v>
      </c>
      <c r="B4" s="41" t="s">
        <v>45</v>
      </c>
      <c r="C4" s="42">
        <f>VLOOKUP(A4,[1]UIFSM!$G:$K,5,0)</f>
        <v>21696</v>
      </c>
      <c r="G4" s="28" t="s">
        <v>45</v>
      </c>
      <c r="H4" s="28" t="s">
        <v>44</v>
      </c>
      <c r="J4" s="28">
        <f>VLOOKUP(H4,[1]UIFSM!$G:$I,3,0)</f>
        <v>36765</v>
      </c>
    </row>
    <row r="5" spans="1:10" x14ac:dyDescent="0.2">
      <c r="A5" s="40" t="s">
        <v>46</v>
      </c>
      <c r="B5" s="41" t="s">
        <v>47</v>
      </c>
      <c r="C5" s="42">
        <f>VLOOKUP(A5,[1]UIFSM!$G:$K,5,0)</f>
        <v>16056</v>
      </c>
      <c r="G5" s="28" t="s">
        <v>47</v>
      </c>
      <c r="H5" s="28" t="s">
        <v>46</v>
      </c>
      <c r="J5" s="28">
        <f>VLOOKUP(H5,[1]UIFSM!$G:$I,3,0)</f>
        <v>27207</v>
      </c>
    </row>
    <row r="6" spans="1:10" x14ac:dyDescent="0.2">
      <c r="A6" s="40" t="s">
        <v>48</v>
      </c>
      <c r="B6" s="41" t="s">
        <v>49</v>
      </c>
      <c r="C6" s="42">
        <f>VLOOKUP(A6,[1]UIFSM!$G:$K,5,0)</f>
        <v>8824</v>
      </c>
      <c r="G6" s="28" t="s">
        <v>49</v>
      </c>
      <c r="H6" s="28" t="s">
        <v>48</v>
      </c>
      <c r="J6" s="28">
        <f>VLOOKUP(H6,[1]UIFSM!$G:$I,3,0)</f>
        <v>14952</v>
      </c>
    </row>
    <row r="7" spans="1:10" x14ac:dyDescent="0.2">
      <c r="A7" s="40" t="s">
        <v>50</v>
      </c>
      <c r="B7" s="41" t="s">
        <v>51</v>
      </c>
      <c r="C7" s="42">
        <f>VLOOKUP(A7,[1]UIFSM!$G:$K,5,0)</f>
        <v>7088</v>
      </c>
      <c r="G7" s="28" t="s">
        <v>51</v>
      </c>
      <c r="H7" s="28" t="s">
        <v>50</v>
      </c>
      <c r="J7" s="28">
        <f>VLOOKUP(H7,[1]UIFSM!$G:$I,3,0)</f>
        <v>12010</v>
      </c>
    </row>
    <row r="8" spans="1:10" x14ac:dyDescent="0.2">
      <c r="A8" s="40" t="s">
        <v>52</v>
      </c>
      <c r="B8" s="41" t="s">
        <v>53</v>
      </c>
      <c r="C8" s="42">
        <f>VLOOKUP(A8,[1]UIFSM!$G:$K,5,0)</f>
        <v>135526</v>
      </c>
      <c r="G8" s="28" t="s">
        <v>53</v>
      </c>
      <c r="H8" s="28" t="s">
        <v>52</v>
      </c>
      <c r="J8" s="28">
        <f>VLOOKUP(H8,[1]UIFSM!$G:$I,3,0)</f>
        <v>229659</v>
      </c>
    </row>
    <row r="9" spans="1:10" x14ac:dyDescent="0.2">
      <c r="A9" s="40" t="s">
        <v>54</v>
      </c>
      <c r="B9" s="41" t="s">
        <v>55</v>
      </c>
      <c r="C9" s="42">
        <f>VLOOKUP(A9,[1]UIFSM!$G:$K,5,0)</f>
        <v>24734</v>
      </c>
      <c r="G9" s="28" t="s">
        <v>55</v>
      </c>
      <c r="H9" s="28" t="s">
        <v>54</v>
      </c>
      <c r="J9" s="28">
        <f>VLOOKUP(H9,[1]UIFSM!$G:$I,3,0)</f>
        <v>41913</v>
      </c>
    </row>
    <row r="10" spans="1:10" x14ac:dyDescent="0.2">
      <c r="A10" s="40" t="s">
        <v>56</v>
      </c>
      <c r="B10" s="41" t="s">
        <v>57</v>
      </c>
      <c r="C10" s="42">
        <f>VLOOKUP(A10,[1]UIFSM!$G:$K,5,0)</f>
        <v>41367</v>
      </c>
      <c r="G10" s="28" t="s">
        <v>57</v>
      </c>
      <c r="H10" s="28" t="s">
        <v>56</v>
      </c>
      <c r="J10" s="28">
        <f>VLOOKUP(H10,[1]UIFSM!$G:$I,3,0)</f>
        <v>70099</v>
      </c>
    </row>
    <row r="11" spans="1:10" x14ac:dyDescent="0.2">
      <c r="A11" s="40" t="s">
        <v>58</v>
      </c>
      <c r="B11" s="41" t="s">
        <v>59</v>
      </c>
      <c r="C11" s="42">
        <f>VLOOKUP(A11,[1]UIFSM!$G:$K,5,0)</f>
        <v>8245</v>
      </c>
      <c r="G11" s="28" t="s">
        <v>59</v>
      </c>
      <c r="H11" s="28" t="s">
        <v>58</v>
      </c>
      <c r="J11" s="28">
        <f>VLOOKUP(H11,[1]UIFSM!$G:$I,3,0)</f>
        <v>13971</v>
      </c>
    </row>
    <row r="12" spans="1:10" x14ac:dyDescent="0.2">
      <c r="A12" s="40" t="s">
        <v>60</v>
      </c>
      <c r="B12" s="41" t="s">
        <v>61</v>
      </c>
      <c r="C12" s="42">
        <f>VLOOKUP(A12,[1]UIFSM!$G:$K,5,0)</f>
        <v>18514</v>
      </c>
      <c r="G12" s="28" t="s">
        <v>61</v>
      </c>
      <c r="H12" s="28" t="s">
        <v>60</v>
      </c>
      <c r="J12" s="28">
        <f>VLOOKUP(H12,[1]UIFSM!$G:$I,3,0)</f>
        <v>31373</v>
      </c>
    </row>
    <row r="13" spans="1:10" x14ac:dyDescent="0.2">
      <c r="A13" s="40" t="s">
        <v>62</v>
      </c>
      <c r="B13" s="41" t="s">
        <v>63</v>
      </c>
      <c r="C13" s="42">
        <f>VLOOKUP(A13,[1]UIFSM!$G:$K,5,0)</f>
        <v>12873</v>
      </c>
      <c r="G13" s="28" t="s">
        <v>63</v>
      </c>
      <c r="H13" s="28" t="s">
        <v>62</v>
      </c>
      <c r="J13" s="28">
        <f>VLOOKUP(H13,[1]UIFSM!$G:$I,3,0)</f>
        <v>21814</v>
      </c>
    </row>
    <row r="14" spans="1:10" x14ac:dyDescent="0.2">
      <c r="A14" s="40" t="s">
        <v>64</v>
      </c>
      <c r="B14" s="41" t="s">
        <v>65</v>
      </c>
      <c r="C14" s="42">
        <f>VLOOKUP(A14,[1]UIFSM!$G:$K,5,0)</f>
        <v>9258</v>
      </c>
      <c r="G14" s="28" t="s">
        <v>65</v>
      </c>
      <c r="H14" s="28" t="s">
        <v>64</v>
      </c>
      <c r="J14" s="28">
        <f>VLOOKUP(H14,[1]UIFSM!$G:$I,3,0)</f>
        <v>15687</v>
      </c>
    </row>
    <row r="15" spans="1:10" x14ac:dyDescent="0.2">
      <c r="A15" s="40" t="s">
        <v>66</v>
      </c>
      <c r="B15" s="41" t="s">
        <v>67</v>
      </c>
      <c r="C15" s="42">
        <f>VLOOKUP(A15,[1]UIFSM!$G:$K,5,0)</f>
        <v>10704</v>
      </c>
      <c r="G15" s="28" t="s">
        <v>67</v>
      </c>
      <c r="H15" s="28" t="s">
        <v>66</v>
      </c>
      <c r="J15" s="28">
        <f>VLOOKUP(H15,[1]UIFSM!$G:$I,3,0)</f>
        <v>18138</v>
      </c>
    </row>
    <row r="16" spans="1:10" x14ac:dyDescent="0.2">
      <c r="A16" s="40" t="s">
        <v>68</v>
      </c>
      <c r="B16" s="41" t="s">
        <v>69</v>
      </c>
      <c r="C16" s="42">
        <f>VLOOKUP(A16,[1]UIFSM!$G:$K,5,0)</f>
        <v>6943</v>
      </c>
      <c r="G16" s="28" t="s">
        <v>69</v>
      </c>
      <c r="H16" s="28" t="s">
        <v>68</v>
      </c>
      <c r="J16" s="28">
        <f>VLOOKUP(H16,[1]UIFSM!$G:$I,3,0)</f>
        <v>11765</v>
      </c>
    </row>
    <row r="17" spans="1:10" x14ac:dyDescent="0.2">
      <c r="A17" s="40" t="s">
        <v>70</v>
      </c>
      <c r="B17" s="41" t="s">
        <v>71</v>
      </c>
      <c r="C17" s="42">
        <f>VLOOKUP(A17,[1]UIFSM!$G:$K,5,0)</f>
        <v>18803</v>
      </c>
      <c r="G17" s="28" t="s">
        <v>71</v>
      </c>
      <c r="H17" s="28" t="s">
        <v>70</v>
      </c>
      <c r="J17" s="28">
        <f>VLOOKUP(H17,[1]UIFSM!$G:$I,3,0)</f>
        <v>31863</v>
      </c>
    </row>
    <row r="18" spans="1:10" x14ac:dyDescent="0.2">
      <c r="A18" s="40" t="s">
        <v>72</v>
      </c>
      <c r="B18" s="41" t="s">
        <v>73</v>
      </c>
      <c r="C18" s="42">
        <f>VLOOKUP(A18,[1]UIFSM!$G:$K,5,0)</f>
        <v>38330</v>
      </c>
      <c r="G18" s="28" t="s">
        <v>73</v>
      </c>
      <c r="H18" s="28" t="s">
        <v>72</v>
      </c>
      <c r="J18" s="28">
        <f>VLOOKUP(H18,[1]UIFSM!$G:$I,3,0)</f>
        <v>64952</v>
      </c>
    </row>
    <row r="19" spans="1:10" x14ac:dyDescent="0.2">
      <c r="A19" s="40" t="s">
        <v>74</v>
      </c>
      <c r="B19" s="41" t="s">
        <v>75</v>
      </c>
      <c r="C19" s="42">
        <f>VLOOKUP(A19,[1]UIFSM!$G:$K,5,0)</f>
        <v>32978</v>
      </c>
      <c r="G19" s="28" t="s">
        <v>75</v>
      </c>
      <c r="H19" s="28" t="s">
        <v>74</v>
      </c>
      <c r="J19" s="28">
        <f>VLOOKUP(H19,[1]UIFSM!$G:$I,3,0)</f>
        <v>55883</v>
      </c>
    </row>
    <row r="20" spans="1:10" x14ac:dyDescent="0.2">
      <c r="A20" s="40" t="s">
        <v>76</v>
      </c>
      <c r="B20" s="41" t="s">
        <v>77</v>
      </c>
      <c r="C20" s="42">
        <f>VLOOKUP(A20,[1]UIFSM!$G:$K,5,0)</f>
        <v>24879</v>
      </c>
      <c r="G20" s="28" t="s">
        <v>77</v>
      </c>
      <c r="H20" s="28" t="s">
        <v>76</v>
      </c>
      <c r="J20" s="28">
        <f>VLOOKUP(H20,[1]UIFSM!$G:$I,3,0)</f>
        <v>42158</v>
      </c>
    </row>
    <row r="21" spans="1:10" x14ac:dyDescent="0.2">
      <c r="A21" s="40" t="s">
        <v>78</v>
      </c>
      <c r="B21" s="41" t="s">
        <v>79</v>
      </c>
      <c r="C21" s="42">
        <f>VLOOKUP(A21,[1]UIFSM!$G:$K,5,0)</f>
        <v>31242</v>
      </c>
      <c r="G21" s="28" t="s">
        <v>79</v>
      </c>
      <c r="H21" s="28" t="s">
        <v>78</v>
      </c>
      <c r="J21" s="28">
        <f>VLOOKUP(H21,[1]UIFSM!$G:$I,3,0)</f>
        <v>52942</v>
      </c>
    </row>
    <row r="22" spans="1:10" x14ac:dyDescent="0.2">
      <c r="A22" s="40" t="s">
        <v>80</v>
      </c>
      <c r="B22" s="41" t="s">
        <v>81</v>
      </c>
      <c r="C22" s="42">
        <f>VLOOKUP(A22,[1]UIFSM!$G:$K,5,0)</f>
        <v>15766</v>
      </c>
      <c r="G22" s="28" t="s">
        <v>81</v>
      </c>
      <c r="H22" s="28" t="s">
        <v>80</v>
      </c>
      <c r="J22" s="28">
        <f>VLOOKUP(H22,[1]UIFSM!$G:$I,3,0)</f>
        <v>26716</v>
      </c>
    </row>
    <row r="23" spans="1:10" x14ac:dyDescent="0.2">
      <c r="A23" s="40" t="s">
        <v>82</v>
      </c>
      <c r="B23" s="41" t="s">
        <v>83</v>
      </c>
      <c r="C23" s="42">
        <f>VLOOKUP(A23,[1]UIFSM!$G:$K,5,0)</f>
        <v>17357</v>
      </c>
      <c r="G23" s="28" t="s">
        <v>83</v>
      </c>
      <c r="H23" s="28" t="s">
        <v>82</v>
      </c>
      <c r="J23" s="28">
        <f>VLOOKUP(H23,[1]UIFSM!$G:$I,3,0)</f>
        <v>29412</v>
      </c>
    </row>
    <row r="24" spans="1:10" x14ac:dyDescent="0.2">
      <c r="A24" s="40" t="s">
        <v>84</v>
      </c>
      <c r="B24" s="41" t="s">
        <v>85</v>
      </c>
      <c r="C24" s="42">
        <f>VLOOKUP(A24,[1]UIFSM!$G:$K,5,0)</f>
        <v>17068</v>
      </c>
      <c r="G24" s="28" t="s">
        <v>85</v>
      </c>
      <c r="H24" s="28" t="s">
        <v>84</v>
      </c>
      <c r="J24" s="28">
        <f>VLOOKUP(H24,[1]UIFSM!$G:$I,3,0)</f>
        <v>28922</v>
      </c>
    </row>
    <row r="25" spans="1:10" x14ac:dyDescent="0.2">
      <c r="A25" s="40" t="s">
        <v>86</v>
      </c>
      <c r="B25" s="41" t="s">
        <v>87</v>
      </c>
      <c r="C25" s="42">
        <f>VLOOKUP(A25,[1]UIFSM!$G:$K,5,0)</f>
        <v>10993</v>
      </c>
      <c r="G25" s="28" t="s">
        <v>87</v>
      </c>
      <c r="H25" s="28" t="s">
        <v>86</v>
      </c>
      <c r="J25" s="28">
        <f>VLOOKUP(H25,[1]UIFSM!$G:$I,3,0)</f>
        <v>18628</v>
      </c>
    </row>
    <row r="26" spans="1:10" x14ac:dyDescent="0.2">
      <c r="A26" s="40" t="s">
        <v>88</v>
      </c>
      <c r="B26" s="41" t="s">
        <v>89</v>
      </c>
      <c r="C26" s="42">
        <f>VLOOKUP(A26,[1]UIFSM!$G:$K,5,0)</f>
        <v>30664</v>
      </c>
      <c r="G26" s="28" t="s">
        <v>89</v>
      </c>
      <c r="H26" s="28" t="s">
        <v>88</v>
      </c>
      <c r="J26" s="28">
        <f>VLOOKUP(H26,[1]UIFSM!$G:$I,3,0)</f>
        <v>51962</v>
      </c>
    </row>
    <row r="27" spans="1:10" x14ac:dyDescent="0.2">
      <c r="A27" s="40" t="s">
        <v>90</v>
      </c>
      <c r="B27" s="41" t="s">
        <v>91</v>
      </c>
      <c r="C27" s="42">
        <f>VLOOKUP(A27,[1]UIFSM!$G:$K,5,0)</f>
        <v>30520</v>
      </c>
      <c r="G27" s="28" t="s">
        <v>91</v>
      </c>
      <c r="H27" s="28" t="s">
        <v>90</v>
      </c>
      <c r="J27" s="28">
        <f>VLOOKUP(H27,[1]UIFSM!$G:$I,3,0)</f>
        <v>51717</v>
      </c>
    </row>
    <row r="28" spans="1:10" x14ac:dyDescent="0.2">
      <c r="A28" s="40" t="s">
        <v>92</v>
      </c>
      <c r="B28" s="41" t="s">
        <v>93</v>
      </c>
      <c r="C28" s="42">
        <f>VLOOKUP(A28,[1]UIFSM!$G:$K,5,0)</f>
        <v>36883</v>
      </c>
      <c r="G28" s="28" t="s">
        <v>93</v>
      </c>
      <c r="H28" s="28" t="s">
        <v>92</v>
      </c>
      <c r="J28" s="28">
        <f>VLOOKUP(H28,[1]UIFSM!$G:$I,3,0)</f>
        <v>62501</v>
      </c>
    </row>
    <row r="29" spans="1:10" x14ac:dyDescent="0.2">
      <c r="A29" s="40" t="s">
        <v>94</v>
      </c>
      <c r="B29" s="41" t="s">
        <v>95</v>
      </c>
      <c r="C29" s="42">
        <f>VLOOKUP(A29,[1]UIFSM!$G:$K,5,0)</f>
        <v>3472</v>
      </c>
    </row>
    <row r="30" spans="1:10" x14ac:dyDescent="0.2">
      <c r="A30" s="40" t="s">
        <v>96</v>
      </c>
      <c r="B30" s="41" t="s">
        <v>97</v>
      </c>
      <c r="C30" s="42">
        <f>VLOOKUP(A30,[1]UIFSM!$G:$K,5,0)</f>
        <v>59157</v>
      </c>
      <c r="G30" s="28" t="s">
        <v>95</v>
      </c>
      <c r="H30" s="28" t="s">
        <v>94</v>
      </c>
      <c r="J30" s="28">
        <f>VLOOKUP(H30,[1]UIFSM!$G:$I,3,0)</f>
        <v>5883</v>
      </c>
    </row>
    <row r="31" spans="1:10" x14ac:dyDescent="0.2">
      <c r="A31" s="40" t="s">
        <v>98</v>
      </c>
      <c r="B31" s="41" t="s">
        <v>99</v>
      </c>
      <c r="C31" s="42">
        <f>VLOOKUP(A31,[1]UIFSM!$G:$K,5,0)</f>
        <v>6220</v>
      </c>
      <c r="G31" s="28" t="s">
        <v>97</v>
      </c>
      <c r="H31" s="28" t="s">
        <v>96</v>
      </c>
      <c r="J31" s="28">
        <f>VLOOKUP(H31,[1]UIFSM!$G:$I,3,0)</f>
        <v>100246</v>
      </c>
    </row>
    <row r="32" spans="1:10" x14ac:dyDescent="0.2">
      <c r="A32" s="40" t="s">
        <v>100</v>
      </c>
      <c r="B32" s="41" t="s">
        <v>101</v>
      </c>
      <c r="C32" s="42">
        <f>VLOOKUP(A32,[1]UIFSM!$G:$K,5,0)</f>
        <v>29073</v>
      </c>
      <c r="G32" s="28" t="s">
        <v>99</v>
      </c>
      <c r="H32" s="28" t="s">
        <v>98</v>
      </c>
      <c r="J32" s="28">
        <f>VLOOKUP(H32,[1]UIFSM!$G:$I,3,0)</f>
        <v>10540</v>
      </c>
    </row>
    <row r="33" spans="1:10" x14ac:dyDescent="0.2">
      <c r="A33" s="40" t="s">
        <v>102</v>
      </c>
      <c r="B33" s="41" t="s">
        <v>103</v>
      </c>
      <c r="C33" s="42">
        <f>VLOOKUP(A33,[1]UIFSM!$G:$K,5,0)</f>
        <v>30664</v>
      </c>
      <c r="G33" s="28" t="s">
        <v>101</v>
      </c>
      <c r="H33" s="28" t="s">
        <v>100</v>
      </c>
      <c r="J33" s="28">
        <f>VLOOKUP(H33,[1]UIFSM!$G:$I,3,0)</f>
        <v>49266</v>
      </c>
    </row>
    <row r="34" spans="1:10" x14ac:dyDescent="0.2">
      <c r="A34" s="40" t="s">
        <v>104</v>
      </c>
      <c r="B34" s="41" t="s">
        <v>105</v>
      </c>
      <c r="C34" s="42">
        <f>VLOOKUP(A34,[1]UIFSM!$G:$K,5,0)</f>
        <v>41945</v>
      </c>
      <c r="G34" s="28" t="s">
        <v>103</v>
      </c>
      <c r="H34" s="28" t="s">
        <v>102</v>
      </c>
      <c r="J34" s="28">
        <f>VLOOKUP(H34,[1]UIFSM!$G:$I,3,0)</f>
        <v>51962</v>
      </c>
    </row>
    <row r="35" spans="1:10" x14ac:dyDescent="0.2">
      <c r="A35" s="40" t="s">
        <v>106</v>
      </c>
      <c r="B35" s="41" t="s">
        <v>107</v>
      </c>
      <c r="C35" s="42">
        <f>VLOOKUP(A35,[1]UIFSM!$G:$K,5,0)</f>
        <v>9547</v>
      </c>
      <c r="G35" s="28" t="s">
        <v>105</v>
      </c>
      <c r="H35" s="28" t="s">
        <v>104</v>
      </c>
      <c r="J35" s="28">
        <f>VLOOKUP(H35,[1]UIFSM!$G:$I,3,0)</f>
        <v>71079</v>
      </c>
    </row>
    <row r="36" spans="1:10" x14ac:dyDescent="0.2">
      <c r="A36" s="40" t="s">
        <v>108</v>
      </c>
      <c r="B36" s="41" t="s">
        <v>109</v>
      </c>
      <c r="C36" s="42">
        <f>VLOOKUP(A36,[1]UIFSM!$G:$K,5,0)</f>
        <v>0</v>
      </c>
      <c r="G36" s="28" t="s">
        <v>107</v>
      </c>
      <c r="H36" s="28" t="s">
        <v>106</v>
      </c>
      <c r="J36" s="28">
        <f>VLOOKUP(H36,[1]UIFSM!$G:$I,3,0)</f>
        <v>16177</v>
      </c>
    </row>
    <row r="37" spans="1:10" x14ac:dyDescent="0.2">
      <c r="A37" s="40" t="s">
        <v>110</v>
      </c>
      <c r="B37" s="41" t="s">
        <v>111</v>
      </c>
      <c r="C37" s="42">
        <f>VLOOKUP(A37,[1]UIFSM!$G:$K,5,0)</f>
        <v>33701</v>
      </c>
      <c r="G37" s="28" t="s">
        <v>109</v>
      </c>
      <c r="H37" s="28" t="s">
        <v>108</v>
      </c>
      <c r="J37" s="28">
        <f>VLOOKUP(H37,[1]UIFSM!$G:$I,3,0)</f>
        <v>0</v>
      </c>
    </row>
    <row r="38" spans="1:10" x14ac:dyDescent="0.2">
      <c r="A38" s="40" t="s">
        <v>112</v>
      </c>
      <c r="B38" s="41" t="s">
        <v>113</v>
      </c>
      <c r="C38" s="42">
        <f>VLOOKUP(A38,[1]UIFSM!$G:$K,5,0)</f>
        <v>4485</v>
      </c>
      <c r="G38" s="28" t="s">
        <v>111</v>
      </c>
      <c r="H38" s="28" t="s">
        <v>110</v>
      </c>
      <c r="J38" s="28">
        <f>VLOOKUP(H38,[1]UIFSM!$G:$I,3,0)</f>
        <v>57109</v>
      </c>
    </row>
    <row r="39" spans="1:10" x14ac:dyDescent="0.2">
      <c r="A39" s="40" t="s">
        <v>114</v>
      </c>
      <c r="B39" s="41" t="s">
        <v>115</v>
      </c>
      <c r="C39" s="42">
        <f>VLOOKUP(A39,[1]UIFSM!$G:$K,5,0)</f>
        <v>2170</v>
      </c>
      <c r="G39" s="28" t="s">
        <v>113</v>
      </c>
      <c r="H39" s="28" t="s">
        <v>112</v>
      </c>
      <c r="J39" s="28">
        <f>VLOOKUP(H39,[1]UIFSM!$G:$I,3,0)</f>
        <v>7599</v>
      </c>
    </row>
    <row r="40" spans="1:10" x14ac:dyDescent="0.2">
      <c r="A40" s="40" t="s">
        <v>116</v>
      </c>
      <c r="B40" s="41" t="s">
        <v>117</v>
      </c>
      <c r="C40" s="42">
        <f>VLOOKUP(A40,[1]UIFSM!$G:$K,5,0)</f>
        <v>3472</v>
      </c>
      <c r="G40" s="28" t="s">
        <v>115</v>
      </c>
      <c r="H40" s="28" t="s">
        <v>114</v>
      </c>
      <c r="J40" s="28">
        <f>VLOOKUP(H40,[1]UIFSM!$G:$I,3,0)</f>
        <v>3677</v>
      </c>
    </row>
    <row r="41" spans="1:10" x14ac:dyDescent="0.2">
      <c r="A41" s="40" t="s">
        <v>118</v>
      </c>
      <c r="B41" s="41" t="s">
        <v>119</v>
      </c>
      <c r="C41" s="42">
        <f>VLOOKUP(A41,[1]UIFSM!$G:$K,5,0)</f>
        <v>30953</v>
      </c>
      <c r="G41" s="28" t="s">
        <v>117</v>
      </c>
      <c r="H41" s="28" t="s">
        <v>116</v>
      </c>
      <c r="J41" s="28">
        <f>VLOOKUP(H41,[1]UIFSM!$G:$I,3,0)</f>
        <v>5883</v>
      </c>
    </row>
    <row r="42" spans="1:10" x14ac:dyDescent="0.2">
      <c r="A42" s="40" t="s">
        <v>120</v>
      </c>
      <c r="B42" s="41" t="s">
        <v>121</v>
      </c>
      <c r="C42" s="42">
        <f>VLOOKUP(A42,[1]UIFSM!$G:$K,5,0)</f>
        <v>32255</v>
      </c>
      <c r="G42" s="28" t="s">
        <v>119</v>
      </c>
      <c r="H42" s="28" t="s">
        <v>118</v>
      </c>
      <c r="J42" s="28">
        <f>VLOOKUP(H42,[1]UIFSM!$G:$I,3,0)</f>
        <v>52452</v>
      </c>
    </row>
    <row r="43" spans="1:10" x14ac:dyDescent="0.2">
      <c r="A43" s="40" t="s">
        <v>122</v>
      </c>
      <c r="B43" s="41" t="s">
        <v>123</v>
      </c>
      <c r="C43" s="42">
        <f>VLOOKUP(A43,[1]UIFSM!$G:$K,5,0)</f>
        <v>29218</v>
      </c>
      <c r="G43" s="28" t="s">
        <v>121</v>
      </c>
      <c r="H43" s="28" t="s">
        <v>120</v>
      </c>
      <c r="J43" s="28">
        <f>VLOOKUP(H43,[1]UIFSM!$G:$I,3,0)</f>
        <v>54658</v>
      </c>
    </row>
    <row r="44" spans="1:10" x14ac:dyDescent="0.2">
      <c r="A44" s="40" t="s">
        <v>124</v>
      </c>
      <c r="B44" s="41" t="s">
        <v>125</v>
      </c>
      <c r="C44" s="42">
        <f>VLOOKUP(A44,[1]UIFSM!$G:$K,5,0)</f>
        <v>16056</v>
      </c>
    </row>
    <row r="45" spans="1:10" x14ac:dyDescent="0.2">
      <c r="A45" s="40" t="s">
        <v>126</v>
      </c>
      <c r="B45" s="41" t="s">
        <v>127</v>
      </c>
      <c r="C45" s="42">
        <f>VLOOKUP(A45,[1]UIFSM!$G:$K,5,0)</f>
        <v>4195</v>
      </c>
      <c r="G45" s="28" t="s">
        <v>123</v>
      </c>
      <c r="H45" s="28" t="s">
        <v>122</v>
      </c>
      <c r="J45" s="28">
        <f>VLOOKUP(H45,[1]UIFSM!$G:$I,3,0)</f>
        <v>49511</v>
      </c>
    </row>
    <row r="46" spans="1:10" x14ac:dyDescent="0.2">
      <c r="A46" s="40" t="s">
        <v>128</v>
      </c>
      <c r="B46" s="41" t="s">
        <v>129</v>
      </c>
      <c r="C46" s="42">
        <f>VLOOKUP(A46,[1]UIFSM!$G:$K,5,0)</f>
        <v>28639</v>
      </c>
      <c r="G46" s="28" t="s">
        <v>125</v>
      </c>
      <c r="H46" s="28" t="s">
        <v>124</v>
      </c>
      <c r="J46" s="28">
        <f>VLOOKUP(H46,[1]UIFSM!$G:$I,3,0)</f>
        <v>27207</v>
      </c>
    </row>
    <row r="47" spans="1:10" x14ac:dyDescent="0.2">
      <c r="A47" s="40" t="s">
        <v>130</v>
      </c>
      <c r="B47" s="41" t="s">
        <v>131</v>
      </c>
      <c r="C47" s="42">
        <f>VLOOKUP(A47,[1]UIFSM!$G:$K,5,0)</f>
        <v>2749</v>
      </c>
      <c r="G47" s="28" t="s">
        <v>127</v>
      </c>
      <c r="H47" s="28" t="s">
        <v>126</v>
      </c>
      <c r="J47" s="28">
        <f>VLOOKUP(H47,[1]UIFSM!$G:$I,3,0)</f>
        <v>7108</v>
      </c>
    </row>
    <row r="48" spans="1:10" x14ac:dyDescent="0.2">
      <c r="A48" s="40" t="s">
        <v>132</v>
      </c>
      <c r="B48" s="41" t="s">
        <v>133</v>
      </c>
      <c r="C48" s="42">
        <f>VLOOKUP(A48,[1]UIFSM!$G:$K,5,0)</f>
        <v>18080</v>
      </c>
      <c r="G48" s="28" t="s">
        <v>129</v>
      </c>
      <c r="H48" s="28" t="s">
        <v>128</v>
      </c>
      <c r="J48" s="28">
        <f>VLOOKUP(H48,[1]UIFSM!$G:$I,3,0)</f>
        <v>48530</v>
      </c>
    </row>
    <row r="49" spans="1:10" x14ac:dyDescent="0.2">
      <c r="A49" s="40" t="s">
        <v>134</v>
      </c>
      <c r="B49" s="41" t="s">
        <v>135</v>
      </c>
      <c r="C49" s="42">
        <f>VLOOKUP(A49,[1]UIFSM!$G:$K,5,0)</f>
        <v>27771</v>
      </c>
      <c r="G49" s="28" t="s">
        <v>131</v>
      </c>
      <c r="H49" s="28" t="s">
        <v>130</v>
      </c>
      <c r="J49" s="28">
        <f>VLOOKUP(H49,[1]UIFSM!$G:$I,3,0)</f>
        <v>4657</v>
      </c>
    </row>
    <row r="50" spans="1:10" x14ac:dyDescent="0.2">
      <c r="A50" s="40" t="s">
        <v>136</v>
      </c>
      <c r="B50" s="41" t="s">
        <v>137</v>
      </c>
      <c r="C50" s="42">
        <f>VLOOKUP(A50,[1]UIFSM!$G:$K,5,0)</f>
        <v>0</v>
      </c>
      <c r="G50" s="28" t="s">
        <v>133</v>
      </c>
      <c r="H50" s="28" t="s">
        <v>132</v>
      </c>
      <c r="J50" s="28">
        <f>VLOOKUP(H50,[1]UIFSM!$G:$I,3,0)</f>
        <v>30638</v>
      </c>
    </row>
    <row r="51" spans="1:10" x14ac:dyDescent="0.2">
      <c r="A51" s="40" t="s">
        <v>138</v>
      </c>
      <c r="B51" s="41" t="s">
        <v>139</v>
      </c>
      <c r="C51" s="42">
        <f>VLOOKUP(A51,[1]UIFSM!$G:$K,5,0)</f>
        <v>12440</v>
      </c>
      <c r="G51" s="28" t="s">
        <v>140</v>
      </c>
      <c r="H51" s="28" t="s">
        <v>141</v>
      </c>
      <c r="J51" s="28">
        <f>VLOOKUP(H51,[1]UIFSM!$G:$I,3,0)</f>
        <v>6128</v>
      </c>
    </row>
    <row r="52" spans="1:10" x14ac:dyDescent="0.2">
      <c r="A52" s="40" t="s">
        <v>141</v>
      </c>
      <c r="B52" s="41" t="s">
        <v>140</v>
      </c>
      <c r="C52" s="42">
        <f>VLOOKUP(A52,[1]UIFSM!$G:$K,5,0)</f>
        <v>3617</v>
      </c>
    </row>
    <row r="53" spans="1:10" x14ac:dyDescent="0.2">
      <c r="A53" s="40" t="s">
        <v>142</v>
      </c>
      <c r="B53" s="41" t="s">
        <v>143</v>
      </c>
      <c r="C53" s="42">
        <f>VLOOKUP(A53,[1]UIFSM!$G:$K,5,0)</f>
        <v>52649</v>
      </c>
      <c r="G53" s="28" t="s">
        <v>135</v>
      </c>
      <c r="H53" s="28" t="s">
        <v>134</v>
      </c>
      <c r="J53" s="28">
        <f>VLOOKUP(H53,[1]UIFSM!$G:$I,3,0)</f>
        <v>47060</v>
      </c>
    </row>
    <row r="54" spans="1:10" x14ac:dyDescent="0.2">
      <c r="A54" s="40"/>
      <c r="B54" s="41"/>
      <c r="C54" s="42"/>
      <c r="G54" s="28" t="s">
        <v>137</v>
      </c>
      <c r="H54" s="28" t="s">
        <v>144</v>
      </c>
      <c r="I54" s="43"/>
      <c r="J54" s="28">
        <f>VLOOKUP(H54,[1]UIFSM!$G:$I,3,0)</f>
        <v>0</v>
      </c>
    </row>
    <row r="56" spans="1:10" x14ac:dyDescent="0.2">
      <c r="G56" s="28" t="s">
        <v>139</v>
      </c>
      <c r="H56" s="28" t="s">
        <v>138</v>
      </c>
      <c r="J56" s="28">
        <f>VLOOKUP(H56,[1]UIFSM!$G:$I,3,0)</f>
        <v>21079</v>
      </c>
    </row>
    <row r="57" spans="1:10" x14ac:dyDescent="0.2">
      <c r="G57" s="28" t="s">
        <v>143</v>
      </c>
      <c r="H57" s="28" t="s">
        <v>142</v>
      </c>
      <c r="J57" s="28">
        <f>VLOOKUP(H57,[1]UIFSM!$G:$I,3,0)</f>
        <v>89217</v>
      </c>
    </row>
    <row r="63" spans="1:10" x14ac:dyDescent="0.2">
      <c r="C63" s="42"/>
    </row>
    <row r="64" spans="1:10" x14ac:dyDescent="0.2">
      <c r="A64" s="29"/>
      <c r="C64" s="38"/>
    </row>
    <row r="66" spans="3:3" x14ac:dyDescent="0.2">
      <c r="C66" s="38"/>
    </row>
  </sheetData>
  <sheetProtection algorithmName="SHA-512" hashValue="bfS7cFXhNs/F+jKhLSpam1XeFRbs6RWUCSolV6ipxGrmlTiiagvp8WE0FGleZxw/Ix0aThdcMJPQjkd0s2Ux0g==" saltValue="0agdUM6HZ3vkrH1ZWVIzHw==" spinCount="100000" sheet="1"/>
  <sortState xmlns:xlrd2="http://schemas.microsoft.com/office/spreadsheetml/2017/richdata2" ref="F4:G63">
    <sortCondition ref="F4"/>
  </sortState>
  <conditionalFormatting sqref="B4:B54">
    <cfRule type="expression" dxfId="0" priority="5">
      <formula>#REF!="Academy"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KC Spreadsheet" ma:contentTypeID="0x01010054A39C6B0182D84CB6645B035BA02E08004D5776253E965C418A13D9DE6F8B1B07" ma:contentTypeVersion="2" ma:contentTypeDescription="MKC Branded Excel Template Document" ma:contentTypeScope="" ma:versionID="d83a7e09b3c96d5d52c8648dba5c236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5078f6377a1acaa6732c3e8203db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SharedContentType xmlns="Microsoft.SharePoint.Taxonomy.ContentTypeSync" SourceId="ee73f336-9c49-41ab-9427-d263034a0100" ContentTypeId="0x01010054A39C6B0182D84CB6645B035BA02E08" PreviousValue="false" LastSyncTimeStamp="2021-10-01T14:39:30.94Z"/>
</file>

<file path=customXml/itemProps1.xml><?xml version="1.0" encoding="utf-8"?>
<ds:datastoreItem xmlns:ds="http://schemas.openxmlformats.org/officeDocument/2006/customXml" ds:itemID="{DAD34370-6360-4825-8C52-71A0AD9BB1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9E3C50-FEC3-47AF-B51E-8A7E613559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6D33CE-9BEA-40DD-ABB6-F8724AFC985D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92303D40-5935-46AE-A4C4-3D93DD0AF9A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DRCR Calc</vt:lpstr>
      <vt:lpstr>Data</vt:lpstr>
    </vt:vector>
  </TitlesOfParts>
  <Manager/>
  <Company>Milton Keynes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Francis, Karen</dc:creator>
  <cp:keywords/>
  <dc:description/>
  <cp:lastModifiedBy>Michelle Hibbert</cp:lastModifiedBy>
  <cp:revision/>
  <dcterms:created xsi:type="dcterms:W3CDTF">2016-03-04T14:21:03Z</dcterms:created>
  <dcterms:modified xsi:type="dcterms:W3CDTF">2026-02-13T19:07:22Z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0x01010054A39C6B0182D84CB6645B035BA02E08004D5776253E965C418A13D9DE6F8B1B07</vt:lpwstr>
  </property>
  <property fmtid="{D5CDD505-2E9C-101B-9397-08002B2CF9AE}" pid="3" name="Order">
    <vt:r8>9500</vt:r8>
  </property>
  <property fmtid="{D5CDD505-2E9C-101B-9397-08002B2CF9AE}" pid="4" name="SharedWithUsers">
    <vt:lpwstr>22;#Jennifer Hackett;#20;#Michelle Hibbert</vt:lpwstr>
  </property>
</Properties>
</file>