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charts/chart7.xml" ContentType="application/vnd.openxmlformats-officedocument.drawingml.chart+xml"/>
  <Override PartName="/xl/charts/chart8.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https://mkcouncil-my.sharepoint.com/personal/michelle_hibbert_milton-keynes_gov_uk/Documents/Documents/"/>
    </mc:Choice>
  </mc:AlternateContent>
  <xr:revisionPtr revIDLastSave="0" documentId="8_{00463D19-2BFC-4D77-9E1A-E42140E43982}" xr6:coauthVersionLast="47" xr6:coauthVersionMax="47" xr10:uidLastSave="{00000000-0000-0000-0000-000000000000}"/>
  <workbookProtection workbookAlgorithmName="SHA-512" workbookHashValue="oOOQA6+qsMpHp1a+YXQdDm0wITM680r1G4JnbxMtxrDhBN8Wtf+1nbd13C/1GIZq06pl8GTAjyHj0f2cESF7jw==" workbookSaltValue="JrDOwEk3wH9YGXsXfocXXw==" workbookSpinCount="100000" lockStructure="1"/>
  <bookViews>
    <workbookView xWindow="-120" yWindow="-120" windowWidth="29040" windowHeight="15720" xr2:uid="{00000000-000D-0000-FFFF-FFFF00000000}"/>
  </bookViews>
  <sheets>
    <sheet name="Instructions for Completion" sheetId="7" r:id="rId1"/>
    <sheet name="Guidance" sheetId="9" r:id="rId2"/>
    <sheet name="Inflation Factors" sheetId="8" r:id="rId3"/>
    <sheet name="3YP" sheetId="1" r:id="rId4"/>
    <sheet name="Add'l Data" sheetId="3" r:id="rId5"/>
    <sheet name="KPI's" sheetId="4" r:id="rId6"/>
    <sheet name="Graphs" sheetId="6" r:id="rId7"/>
    <sheet name="School Data" sheetId="5" state="hidden" r:id="rId8"/>
    <sheet name="Opening balances" sheetId="12" state="hidden" r:id="rId9"/>
    <sheet name="Sheet1" sheetId="10" state="hidden" r:id="rId10"/>
    <sheet name="Deployment Projection Year" sheetId="11" state="hidden" r:id="rId11"/>
  </sheets>
  <externalReferences>
    <externalReference r:id="rId12"/>
  </externalReferences>
  <definedNames>
    <definedName name="_xlnm.Print_Area" localSheetId="4">'Add''l Data'!$A$1:$S$94</definedName>
    <definedName name="_xlnm.Print_Area" localSheetId="6">Graphs!$A$1:$I$47</definedName>
    <definedName name="_xlnm.Print_Area" localSheetId="0">'Instructions for Completion'!$A$1:$C$37</definedName>
    <definedName name="_xlnm.Print_Titles" localSheetId="3">'3YP'!$1:$7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 i="4" l="1"/>
  <c r="F1" i="1" l="1"/>
  <c r="B26" i="11" l="1"/>
  <c r="C22" i="11"/>
  <c r="G18" i="11"/>
  <c r="C24" i="11" s="1"/>
  <c r="F18" i="11"/>
  <c r="C23" i="11" s="1"/>
  <c r="E18" i="11"/>
  <c r="B11" i="11"/>
  <c r="A11" i="11"/>
  <c r="B10" i="11"/>
  <c r="A10" i="11"/>
  <c r="B9" i="11"/>
  <c r="A9" i="11"/>
  <c r="B8" i="11"/>
  <c r="A8" i="11"/>
  <c r="B7" i="11"/>
  <c r="A7" i="11"/>
  <c r="B6" i="11"/>
  <c r="A6" i="11"/>
  <c r="B5" i="11"/>
  <c r="B18" i="11" s="1"/>
  <c r="A5" i="11"/>
  <c r="B2" i="11"/>
  <c r="B69" i="10"/>
  <c r="B67" i="10"/>
  <c r="B66" i="10"/>
  <c r="C64" i="10"/>
  <c r="B61" i="10"/>
  <c r="B60" i="10"/>
  <c r="D59" i="10"/>
  <c r="C59" i="10"/>
  <c r="B59" i="10"/>
  <c r="D58" i="10"/>
  <c r="C58" i="10"/>
  <c r="B58" i="10"/>
  <c r="B55" i="10"/>
  <c r="B54" i="10"/>
  <c r="B51" i="10"/>
  <c r="D48" i="10"/>
  <c r="C48" i="10"/>
  <c r="D38" i="10"/>
  <c r="D27" i="10" s="1"/>
  <c r="C38" i="10"/>
  <c r="B38" i="10"/>
  <c r="C37" i="10"/>
  <c r="C25" i="10" s="1"/>
  <c r="B37" i="10"/>
  <c r="B36" i="10"/>
  <c r="C36" i="10" s="1"/>
  <c r="B35" i="10"/>
  <c r="C35" i="10" s="1"/>
  <c r="B30" i="10"/>
  <c r="B39" i="10" s="1"/>
  <c r="D29" i="10"/>
  <c r="C29" i="10"/>
  <c r="C27" i="10"/>
  <c r="D19" i="10"/>
  <c r="C19" i="10"/>
  <c r="B19" i="10"/>
  <c r="D18" i="10"/>
  <c r="D57" i="10" s="1"/>
  <c r="C18" i="10"/>
  <c r="C57" i="10" s="1"/>
  <c r="B18" i="10"/>
  <c r="B57" i="10" s="1"/>
  <c r="D17" i="10"/>
  <c r="C17" i="10"/>
  <c r="B17" i="10"/>
  <c r="D16" i="10"/>
  <c r="C16" i="10"/>
  <c r="B16" i="10"/>
  <c r="D15" i="10"/>
  <c r="D55" i="10" s="1"/>
  <c r="C15" i="10"/>
  <c r="C55" i="10" s="1"/>
  <c r="B15" i="10"/>
  <c r="D14" i="10"/>
  <c r="C14" i="10"/>
  <c r="D13" i="10"/>
  <c r="D66" i="10" s="1"/>
  <c r="C13" i="10"/>
  <c r="C65" i="10" s="1"/>
  <c r="B13" i="10"/>
  <c r="B64" i="10" s="1"/>
  <c r="D11" i="10"/>
  <c r="D67" i="10" s="1"/>
  <c r="C11" i="10"/>
  <c r="C68" i="10" s="1"/>
  <c r="B11" i="10"/>
  <c r="B68" i="10" s="1"/>
  <c r="C2" i="10"/>
  <c r="D2" i="10" s="1"/>
  <c r="B56" i="10" l="1"/>
  <c r="C29" i="11"/>
  <c r="C28" i="11"/>
  <c r="C20" i="11"/>
  <c r="C23" i="10"/>
  <c r="C61" i="10" s="1"/>
  <c r="D36" i="10"/>
  <c r="D23" i="10" s="1"/>
  <c r="B52" i="10"/>
  <c r="B41" i="10"/>
  <c r="B53" i="10" s="1"/>
  <c r="C30" i="10"/>
  <c r="C39" i="10" s="1"/>
  <c r="D35" i="10"/>
  <c r="C22" i="10"/>
  <c r="C51" i="10"/>
  <c r="D37" i="10"/>
  <c r="D25" i="10" s="1"/>
  <c r="D61" i="10" s="1"/>
  <c r="D64" i="10"/>
  <c r="C67" i="10"/>
  <c r="D68" i="10"/>
  <c r="B34" i="10"/>
  <c r="C54" i="10"/>
  <c r="C56" i="10" s="1"/>
  <c r="B65" i="10"/>
  <c r="C66" i="10"/>
  <c r="D65" i="10"/>
  <c r="B31" i="10"/>
  <c r="D54" i="10"/>
  <c r="D56" i="10" s="1"/>
  <c r="C41" i="10" l="1"/>
  <c r="C53" i="10" s="1"/>
  <c r="C52" i="10"/>
  <c r="C69" i="10"/>
  <c r="C60" i="10"/>
  <c r="C31" i="10"/>
  <c r="C34" i="10"/>
  <c r="B50" i="10"/>
  <c r="B62" i="10" s="1"/>
  <c r="B63" i="10" s="1"/>
  <c r="D22" i="10"/>
  <c r="D51" i="10"/>
  <c r="D69" i="10" l="1"/>
  <c r="D60" i="10"/>
  <c r="D30" i="10"/>
  <c r="D34" i="10"/>
  <c r="D50" i="10" s="1"/>
  <c r="D62" i="10" s="1"/>
  <c r="D63" i="10" s="1"/>
  <c r="C50" i="10"/>
  <c r="C62" i="10" s="1"/>
  <c r="C63" i="10" s="1"/>
  <c r="D39" i="10" l="1"/>
  <c r="D31" i="10"/>
  <c r="D52" i="10" l="1"/>
  <c r="D41" i="10"/>
  <c r="D53" i="10" s="1"/>
  <c r="E52" i="3" l="1"/>
  <c r="F22" i="4" l="1"/>
  <c r="D22" i="4"/>
  <c r="B22" i="4"/>
  <c r="I1" i="6" l="1"/>
  <c r="F1" i="4"/>
  <c r="E64" i="3" l="1"/>
  <c r="D64" i="3"/>
  <c r="E57" i="3"/>
  <c r="D57" i="3"/>
  <c r="C57" i="3"/>
  <c r="D52" i="3"/>
  <c r="C52" i="3"/>
  <c r="L1" i="1" l="1"/>
  <c r="C64" i="3"/>
  <c r="E99" i="1" l="1"/>
  <c r="E93" i="1"/>
  <c r="E95" i="1"/>
  <c r="E94" i="1"/>
  <c r="E98" i="1"/>
  <c r="E48" i="3"/>
  <c r="D48" i="3"/>
  <c r="C48" i="3"/>
  <c r="E100" i="1" l="1"/>
  <c r="J27" i="3"/>
  <c r="J26" i="3"/>
  <c r="J25" i="3"/>
  <c r="E107" i="1" l="1"/>
  <c r="G95" i="1" s="1"/>
  <c r="G107" i="1" s="1"/>
  <c r="I95" i="1" s="1"/>
  <c r="E96" i="1"/>
  <c r="E102" i="1" s="1"/>
  <c r="I107" i="1" l="1"/>
  <c r="F25" i="5" l="1"/>
  <c r="F24" i="5"/>
  <c r="F23" i="5"/>
  <c r="G19" i="5"/>
  <c r="F19" i="5"/>
  <c r="E19" i="5"/>
  <c r="J21" i="5"/>
  <c r="J20" i="5"/>
  <c r="J19" i="5"/>
  <c r="I20" i="5"/>
  <c r="I21" i="5"/>
  <c r="I19" i="5"/>
  <c r="H19" i="5"/>
  <c r="I76" i="1"/>
  <c r="E76" i="1"/>
  <c r="G24" i="5" l="1"/>
  <c r="G25" i="5"/>
  <c r="G23" i="5"/>
  <c r="F20" i="5" l="1"/>
  <c r="F21" i="5"/>
  <c r="E21" i="5"/>
  <c r="E20" i="5"/>
  <c r="G21" i="5"/>
  <c r="G20" i="5"/>
  <c r="H20" i="5"/>
  <c r="H21" i="5"/>
  <c r="J6" i="1"/>
  <c r="H6" i="1"/>
  <c r="F21" i="4" l="1"/>
  <c r="D21" i="4"/>
  <c r="R9" i="3"/>
  <c r="R8" i="3"/>
  <c r="R7" i="3"/>
  <c r="B21" i="4"/>
  <c r="E23" i="5" l="1"/>
  <c r="B23" i="4"/>
  <c r="D23" i="4"/>
  <c r="E24" i="5"/>
  <c r="F23" i="4"/>
  <c r="E25" i="5"/>
  <c r="A9" i="3" l="1"/>
  <c r="A108" i="3" s="1"/>
  <c r="A8" i="3"/>
  <c r="A107" i="3" s="1"/>
  <c r="A7" i="3"/>
  <c r="A106" i="3" s="1"/>
  <c r="A1" i="1"/>
  <c r="B12" i="3" l="1"/>
  <c r="A27" i="3"/>
  <c r="E31" i="3" s="1"/>
  <c r="F3" i="4"/>
  <c r="A25" i="3"/>
  <c r="C31" i="3" s="1"/>
  <c r="B3" i="4"/>
  <c r="A26" i="3"/>
  <c r="D31" i="3" s="1"/>
  <c r="D3" i="4"/>
  <c r="C72" i="3" l="1"/>
  <c r="C97" i="3"/>
  <c r="D72" i="3"/>
  <c r="D97" i="3"/>
  <c r="E72" i="3"/>
  <c r="E97" i="3"/>
  <c r="D12" i="5"/>
  <c r="D4" i="5"/>
  <c r="D24" i="5"/>
  <c r="D20" i="5"/>
  <c r="D16" i="5"/>
  <c r="D8" i="5"/>
  <c r="D23" i="5"/>
  <c r="D19" i="5"/>
  <c r="D15" i="5"/>
  <c r="D7" i="5"/>
  <c r="D11" i="5"/>
  <c r="D3" i="5"/>
  <c r="D25" i="5"/>
  <c r="D21" i="5"/>
  <c r="D17" i="5"/>
  <c r="D9" i="5"/>
  <c r="D13" i="5"/>
  <c r="D5" i="5"/>
  <c r="I90" i="1" l="1"/>
  <c r="G90" i="1"/>
  <c r="I78" i="1"/>
  <c r="G76" i="1"/>
  <c r="G78" i="1" s="1"/>
  <c r="I70" i="1"/>
  <c r="G70" i="1"/>
  <c r="I27" i="1"/>
  <c r="G27" i="1"/>
  <c r="D5" i="4" s="1"/>
  <c r="E90" i="1"/>
  <c r="E110" i="1" s="1"/>
  <c r="G98" i="1" s="1"/>
  <c r="E78" i="1"/>
  <c r="E70" i="1"/>
  <c r="E27" i="1"/>
  <c r="B5" i="4" s="1"/>
  <c r="E11" i="5" l="1"/>
  <c r="K21" i="5"/>
  <c r="F15" i="4"/>
  <c r="F13" i="4" a="1"/>
  <c r="F13" i="4" s="1"/>
  <c r="K20" i="5"/>
  <c r="D15" i="4"/>
  <c r="D13" i="4" a="1"/>
  <c r="D13" i="4" s="1"/>
  <c r="B13" i="4" a="1"/>
  <c r="B13" i="4" s="1"/>
  <c r="B15" i="4"/>
  <c r="G110" i="1"/>
  <c r="I98" i="1" s="1"/>
  <c r="I110" i="1" s="1"/>
  <c r="E111" i="1"/>
  <c r="G99" i="1" s="1"/>
  <c r="G100" i="1" s="1"/>
  <c r="E106" i="1"/>
  <c r="E108" i="1" s="1"/>
  <c r="B6" i="4" s="1"/>
  <c r="K19" i="5"/>
  <c r="B17" i="4"/>
  <c r="B14" i="4"/>
  <c r="B12" i="4"/>
  <c r="B10" i="4"/>
  <c r="B11" i="4"/>
  <c r="F14" i="4"/>
  <c r="F12" i="4"/>
  <c r="F11" i="4"/>
  <c r="F10" i="4"/>
  <c r="F17" i="4"/>
  <c r="E13" i="5"/>
  <c r="E33" i="3"/>
  <c r="E68" i="3" s="1"/>
  <c r="D14" i="4"/>
  <c r="D12" i="4"/>
  <c r="D10" i="4"/>
  <c r="D11" i="4"/>
  <c r="D17" i="4"/>
  <c r="E12" i="5"/>
  <c r="D33" i="3"/>
  <c r="D68" i="3" s="1"/>
  <c r="C33" i="3"/>
  <c r="C68" i="3" s="1"/>
  <c r="G111" i="1" l="1"/>
  <c r="I99" i="1" s="1"/>
  <c r="I100" i="1" s="1"/>
  <c r="I111" i="1" s="1"/>
  <c r="I112" i="1" s="1"/>
  <c r="F30" i="4" s="1"/>
  <c r="E112" i="1"/>
  <c r="B30" i="4" s="1"/>
  <c r="G94" i="1"/>
  <c r="G96" i="1" s="1"/>
  <c r="G102" i="1" s="1"/>
  <c r="B33" i="4"/>
  <c r="B27" i="4"/>
  <c r="E3" i="5" s="1"/>
  <c r="B16" i="4"/>
  <c r="F16" i="4"/>
  <c r="D16" i="4"/>
  <c r="E114" i="1" l="1"/>
  <c r="E115" i="1" s="1"/>
  <c r="G112" i="1"/>
  <c r="D30" i="4" s="1"/>
  <c r="F31" i="4" s="1"/>
  <c r="G106" i="1"/>
  <c r="I94" i="1" s="1"/>
  <c r="I96" i="1" s="1"/>
  <c r="E15" i="5"/>
  <c r="F11" i="5"/>
  <c r="E7" i="5"/>
  <c r="B112" i="1" l="1"/>
  <c r="D31" i="4"/>
  <c r="G108" i="1"/>
  <c r="I102" i="1"/>
  <c r="I106" i="1"/>
  <c r="E9" i="5"/>
  <c r="E8" i="5"/>
  <c r="D33" i="4" l="1"/>
  <c r="D6" i="4"/>
  <c r="F12" i="5" s="1"/>
  <c r="G114" i="1"/>
  <c r="G115" i="1" s="1"/>
  <c r="D27" i="4"/>
  <c r="I108" i="1"/>
  <c r="F6" i="4" s="1"/>
  <c r="C106" i="1"/>
  <c r="E4" i="5" l="1"/>
  <c r="D28" i="4"/>
  <c r="E16" i="5"/>
  <c r="I114" i="1"/>
  <c r="I115" i="1" s="1"/>
  <c r="F33" i="4"/>
  <c r="F27" i="4"/>
  <c r="F28" i="4" s="1"/>
  <c r="E5" i="5" l="1"/>
  <c r="E17" i="5"/>
  <c r="F13"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tc={DAFBCB40-3D4F-4720-BC9F-74081B348F8B}</author>
  </authors>
  <commentList>
    <comment ref="E43" authorId="0" shapeId="0" xr:uid="{DAFBCB40-3D4F-4720-BC9F-74081B348F8B}">
      <text>
        <t>[Threaded comment]
Your version of Excel allows you to read this threaded comment; however, any edits to it will get removed if the file is opened in a newer version of Excel. Learn more: https://go.microsoft.com/fwlink/?linkid=870924
Comment:
    £12 adjustment made by MKCC. Awaiting new unspent balance report.</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4" authorId="0" shapeId="0" xr:uid="{2B43CC9D-182E-4A38-BF65-E2024A5E8B5E}">
      <text>
        <r>
          <rPr>
            <b/>
            <sz val="9"/>
            <color indexed="81"/>
            <rFont val="Tahoma"/>
            <family val="2"/>
          </rPr>
          <t>Author:</t>
        </r>
        <r>
          <rPr>
            <sz val="9"/>
            <color indexed="81"/>
            <rFont val="Tahoma"/>
            <family val="2"/>
          </rPr>
          <t xml:space="preserve">
Column C and D show red if the required total is higher than the employed total, Green if the values are equal and yellow if the employed value is higher than the required total.</t>
        </r>
      </text>
    </comment>
    <comment ref="A18" authorId="0" shapeId="0" xr:uid="{72FE3A67-BA57-4DCB-9984-296C8AE2E5CC}">
      <text>
        <r>
          <rPr>
            <b/>
            <sz val="9"/>
            <color indexed="81"/>
            <rFont val="Tahoma"/>
            <family val="2"/>
          </rPr>
          <t>Author:</t>
        </r>
        <r>
          <rPr>
            <sz val="9"/>
            <color indexed="81"/>
            <rFont val="Tahoma"/>
            <family val="2"/>
          </rPr>
          <t xml:space="preserve">
This line will show n/a if the DEPLOYMENT SHEET is incomplete</t>
        </r>
      </text>
    </comment>
    <comment ref="A19" authorId="0" shapeId="0" xr:uid="{779E6FFC-2B29-4C82-B4CF-3FD9A70D50E2}">
      <text>
        <r>
          <rPr>
            <b/>
            <sz val="9"/>
            <color indexed="81"/>
            <rFont val="Tahoma"/>
            <family val="2"/>
          </rPr>
          <t>Author:</t>
        </r>
        <r>
          <rPr>
            <sz val="9"/>
            <color indexed="81"/>
            <rFont val="Tahoma"/>
            <family val="2"/>
          </rPr>
          <t xml:space="preserve">
This sheet assumes that the user can check if this capacity is available from the Educational Support Line Staffing below rather than split out different possible categories of Educational Support Staff.</t>
        </r>
      </text>
    </comment>
    <comment ref="A57" authorId="0" shapeId="0" xr:uid="{2234267E-F6E5-4874-961C-684C8B8791AF}">
      <text>
        <r>
          <rPr>
            <b/>
            <sz val="9"/>
            <color indexed="81"/>
            <rFont val="Tahoma"/>
            <family val="2"/>
          </rPr>
          <t>Author:</t>
        </r>
        <r>
          <rPr>
            <sz val="9"/>
            <color indexed="81"/>
            <rFont val="Tahoma"/>
            <family val="2"/>
          </rPr>
          <t xml:space="preserve">
if the actual average class size ( this line) is lower than the value shown on the previous line it means that the teacher deployment is using fewer teacher periods than are available for the number of teachers employed operating at the contact ratio shown.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<sst xmlns="http://schemas.openxmlformats.org/spreadsheetml/2006/main" count="1073" uniqueCount="673">
  <si>
    <t>THREE YEAR PLAN TEMPLATE</t>
  </si>
  <si>
    <t>INSTRUCTIONS FOR COMPLETION</t>
  </si>
  <si>
    <t>Schools should submit the excel version and a signed pdf of the 3YP page to schoolsfinance@milton-keynes.gov.uk.  If a signed version is not available the COG can send an authorising email to Schools Finance.</t>
  </si>
  <si>
    <t>There are 7 tabs in the worksheet:</t>
  </si>
  <si>
    <t>3 Red tabs provide guidance and information for completion.</t>
  </si>
  <si>
    <t>2 Green tabs need to be completed.</t>
  </si>
  <si>
    <t xml:space="preserve">3YP - Enter the financial data here.  </t>
  </si>
  <si>
    <t>Please check:</t>
  </si>
  <si>
    <r>
      <rPr>
        <u/>
        <sz val="12"/>
        <color theme="1"/>
        <rFont val="Arial"/>
        <family val="2"/>
      </rPr>
      <t>All</t>
    </r>
    <r>
      <rPr>
        <sz val="12"/>
        <color theme="1"/>
        <rFont val="Arial"/>
        <family val="2"/>
      </rPr>
      <t xml:space="preserve"> income streams are budgeted for over the three years</t>
    </r>
  </si>
  <si>
    <t>Capital carry forward is not in deficit</t>
  </si>
  <si>
    <t>All assumptions are detailed in column H and J - plans without assumptions will be returned</t>
  </si>
  <si>
    <t>Any relevant notes and explanations are included in column L</t>
  </si>
  <si>
    <t>Please note:</t>
  </si>
  <si>
    <t>Add'l Data - Enter additional data here.  Ensure all shaded cells are completed.</t>
  </si>
  <si>
    <t>All leases and contracts with the associated costs have been included.</t>
  </si>
  <si>
    <t>2 Blue tabs provide trend data and year on year information.</t>
  </si>
  <si>
    <t>KPI's - All this information is calculated.</t>
  </si>
  <si>
    <t>These figures show a trend over the three years of the Key Performance Indicators.  They can be used to highlight problem areas or to ensure consistency is maintained.</t>
  </si>
  <si>
    <t>Graphs - All this information is calculated.</t>
  </si>
  <si>
    <t>The graphs show the KPI's and additional data in a visual form to provide a quick guide in trends.</t>
  </si>
  <si>
    <t>ADDITIONAL GUIDANCE</t>
  </si>
  <si>
    <t>This guidance is intended to support informed discussion about the assumptions made as part of the three year plan process.  From the 2021/22 funding year, maintained schools are required to submit a 3YP each year.  In this document the three years are:</t>
  </si>
  <si>
    <t>Year 1</t>
  </si>
  <si>
    <t>Year 2</t>
  </si>
  <si>
    <t>Year 3</t>
  </si>
  <si>
    <t>It is essential schools are realistic about pupil numbers when compiling their 3YP.  Consider trends and events in your area and do not be overly pessimistic or optimistic.</t>
  </si>
  <si>
    <t>Current inflation factors and assumptions are given on the next tab.  These should be used by all schools.</t>
  </si>
  <si>
    <t>It is also sensible to consider the impact of any decisions taken to review/renew large contracts eg catering, energy or HR as these decision may secure savings that will offset more arbitrarily applied inflationary increases.</t>
  </si>
  <si>
    <t>Remember - the 3YP is a snapshot of the financial position over the next three years based on the best information available at the time.</t>
  </si>
  <si>
    <t>Inflation Factors &amp; Assumptions</t>
  </si>
  <si>
    <t>INCOME</t>
  </si>
  <si>
    <t>School Budget Share</t>
  </si>
  <si>
    <t>Toolkit</t>
  </si>
  <si>
    <t>Based on pupil numbers using current rates</t>
  </si>
  <si>
    <t>UIFSM</t>
  </si>
  <si>
    <t>UIFSM - link to .gov website</t>
  </si>
  <si>
    <t>Pupil Premium</t>
  </si>
  <si>
    <t>Pupil Premium - link to .gov website</t>
  </si>
  <si>
    <t>PE &amp; Sports Grant</t>
  </si>
  <si>
    <t>PE &amp; Sports - link to .gov website</t>
  </si>
  <si>
    <t>Devolved Formula Capital</t>
  </si>
  <si>
    <t>DFC - link to .gov website</t>
  </si>
  <si>
    <t>SALARY EXPENDITURE</t>
  </si>
  <si>
    <t>Teachers Pension</t>
  </si>
  <si>
    <t>Use current rates</t>
  </si>
  <si>
    <t>Support staff Pension</t>
  </si>
  <si>
    <t>OTHER EXPENDITURE</t>
  </si>
  <si>
    <t>Insurance (other)</t>
  </si>
  <si>
    <t>Electricity inflation</t>
  </si>
  <si>
    <t>Gas inflation</t>
  </si>
  <si>
    <t>Water inflation</t>
  </si>
  <si>
    <t>All other expenditure</t>
  </si>
  <si>
    <t>For any categories not covered by the above tables, schools should use current rates.</t>
  </si>
  <si>
    <t>School Name:</t>
  </si>
  <si>
    <t>Select school name here</t>
  </si>
  <si>
    <t>School Code:</t>
  </si>
  <si>
    <t>Date of Completion</t>
  </si>
  <si>
    <t>Start date of first year of forecast</t>
  </si>
  <si>
    <t>Comments</t>
  </si>
  <si>
    <t>£</t>
  </si>
  <si>
    <t>INCOME (Input as minus figures)</t>
  </si>
  <si>
    <t>Ledger Code</t>
  </si>
  <si>
    <t>I01</t>
  </si>
  <si>
    <t>Funds delegated by the LEA</t>
  </si>
  <si>
    <t>I02</t>
  </si>
  <si>
    <t>Funding for sixth form students</t>
  </si>
  <si>
    <t>I03</t>
  </si>
  <si>
    <t>SEN funding and High Needs Top Up funding</t>
  </si>
  <si>
    <t>I05</t>
  </si>
  <si>
    <t>I06</t>
  </si>
  <si>
    <t>Other government grants</t>
  </si>
  <si>
    <t>I07</t>
  </si>
  <si>
    <t>Other grants and payments received</t>
  </si>
  <si>
    <t>I08a</t>
  </si>
  <si>
    <t>Income from Letting Premises</t>
  </si>
  <si>
    <t>I08b</t>
  </si>
  <si>
    <t>Other Income from Facilities &amp; Sevices</t>
  </si>
  <si>
    <t>I09</t>
  </si>
  <si>
    <t>Income from catering</t>
  </si>
  <si>
    <t>I10</t>
  </si>
  <si>
    <t>Receipts from supply teacher insurance claims</t>
  </si>
  <si>
    <t>I11</t>
  </si>
  <si>
    <t>Receipts from other insurance claims</t>
  </si>
  <si>
    <t>I12</t>
  </si>
  <si>
    <t>Income from contributions to visits etc.</t>
  </si>
  <si>
    <t>I13</t>
  </si>
  <si>
    <t>Donations and/or voluntary funds</t>
  </si>
  <si>
    <t>I15</t>
  </si>
  <si>
    <t>Pupil focused Extended School Funding &amp; Grants</t>
  </si>
  <si>
    <t>I16</t>
  </si>
  <si>
    <t>Community Focused School Funding and/or Grants</t>
  </si>
  <si>
    <t>I17</t>
  </si>
  <si>
    <t>Community Focused School Facilities Income</t>
  </si>
  <si>
    <t>TOTAL INCOME</t>
  </si>
  <si>
    <t>EXPENDITURE</t>
  </si>
  <si>
    <t>E01</t>
  </si>
  <si>
    <t>Teaching staff</t>
  </si>
  <si>
    <t>E02</t>
  </si>
  <si>
    <t>Supply staff</t>
  </si>
  <si>
    <t>E03</t>
  </si>
  <si>
    <t>Education support staff</t>
  </si>
  <si>
    <t>E04</t>
  </si>
  <si>
    <t>Premises staff</t>
  </si>
  <si>
    <t>E05</t>
  </si>
  <si>
    <t>Administrative &amp; clerical staff</t>
  </si>
  <si>
    <t>E06</t>
  </si>
  <si>
    <t>Catering staff</t>
  </si>
  <si>
    <t>E07</t>
  </si>
  <si>
    <t>Cost of other staff</t>
  </si>
  <si>
    <t>E08</t>
  </si>
  <si>
    <t>Indirect employee expenses</t>
  </si>
  <si>
    <t>E09</t>
  </si>
  <si>
    <t>Staff development &amp; training</t>
  </si>
  <si>
    <t>E10</t>
  </si>
  <si>
    <t>Supply teacher insurance</t>
  </si>
  <si>
    <t>E11</t>
  </si>
  <si>
    <t>Staff related insurance</t>
  </si>
  <si>
    <t>E12</t>
  </si>
  <si>
    <t>Building maintenance and improvement</t>
  </si>
  <si>
    <t>E13</t>
  </si>
  <si>
    <t>Grounds maintenance and improvement</t>
  </si>
  <si>
    <t>E14</t>
  </si>
  <si>
    <t>Cleaning &amp; caretaking</t>
  </si>
  <si>
    <t>E15</t>
  </si>
  <si>
    <t>Water &amp; sewerage</t>
  </si>
  <si>
    <t>E16</t>
  </si>
  <si>
    <t>Energy</t>
  </si>
  <si>
    <t>E17</t>
  </si>
  <si>
    <t>Rates</t>
  </si>
  <si>
    <t>E18</t>
  </si>
  <si>
    <t>Other occupation costs</t>
  </si>
  <si>
    <t>E19</t>
  </si>
  <si>
    <t>Learning resources (not ICT)</t>
  </si>
  <si>
    <t>E21</t>
  </si>
  <si>
    <t>Exam fees</t>
  </si>
  <si>
    <t>E22</t>
  </si>
  <si>
    <t>Administrative supplies</t>
  </si>
  <si>
    <t>E23</t>
  </si>
  <si>
    <t>Other insurance premiums</t>
  </si>
  <si>
    <t>E24</t>
  </si>
  <si>
    <t>Special facilities</t>
  </si>
  <si>
    <t>E25</t>
  </si>
  <si>
    <t>Catering supplies</t>
  </si>
  <si>
    <t>E26</t>
  </si>
  <si>
    <t>Agency supply staff</t>
  </si>
  <si>
    <t>E27</t>
  </si>
  <si>
    <t>Bought in professional services – curriculum</t>
  </si>
  <si>
    <t>E28</t>
  </si>
  <si>
    <t>Bought in professional services - other</t>
  </si>
  <si>
    <t>E29</t>
  </si>
  <si>
    <t>Loan interest</t>
  </si>
  <si>
    <t>E30</t>
  </si>
  <si>
    <t>Direct revenue financing (revenue contributions to capital - Match CI04)</t>
  </si>
  <si>
    <t>E31</t>
  </si>
  <si>
    <t>Community Focused School Staff</t>
  </si>
  <si>
    <t>E32</t>
  </si>
  <si>
    <t>Community Focused School Costs</t>
  </si>
  <si>
    <t>TOTAL EXPENDITURE</t>
  </si>
  <si>
    <t>CAPITAL INCOME (Input as minus figures)</t>
  </si>
  <si>
    <t>CI01</t>
  </si>
  <si>
    <t>Capital Income</t>
  </si>
  <si>
    <t>CI03</t>
  </si>
  <si>
    <t>Private Income</t>
  </si>
  <si>
    <t>CI04</t>
  </si>
  <si>
    <t>Direct revenue financing (revenue contributions to capital - Match E30)</t>
  </si>
  <si>
    <t>TOTAL CAPITAL INCOME</t>
  </si>
  <si>
    <t>CAPITAL EXPENDITURE</t>
  </si>
  <si>
    <t>CE01</t>
  </si>
  <si>
    <t>Acquisition of land &amp; existing buildings</t>
  </si>
  <si>
    <t>CE02</t>
  </si>
  <si>
    <t>New construction, conversion, and renovation</t>
  </si>
  <si>
    <t>CE03</t>
  </si>
  <si>
    <t>Vehicles, plant, equipment and machinery</t>
  </si>
  <si>
    <t>TOTAL CAPITAL EXPENDITURE</t>
  </si>
  <si>
    <t>BALANCES BROUGHT FORWARD (Input surpluses as minus figures)</t>
  </si>
  <si>
    <t>B01</t>
  </si>
  <si>
    <t>Committed Revenue</t>
  </si>
  <si>
    <t>B02</t>
  </si>
  <si>
    <t>Uncommitted Revenue</t>
  </si>
  <si>
    <t>B06</t>
  </si>
  <si>
    <t>Community Funding</t>
  </si>
  <si>
    <t>TOTAL REVENUE</t>
  </si>
  <si>
    <t>B03</t>
  </si>
  <si>
    <t>B05</t>
  </si>
  <si>
    <t>Other Capital</t>
  </si>
  <si>
    <t>TOTAL CAPITAL</t>
  </si>
  <si>
    <t>TOTAL (SURPLUS)/DEFICIT BROUGHT FORWARD</t>
  </si>
  <si>
    <t>BALANCES CARRIED FORWARD</t>
  </si>
  <si>
    <t>B/fwd</t>
  </si>
  <si>
    <t>SURPLUS/(DEFICIT) BALANCE CARRIED FORWARD</t>
  </si>
  <si>
    <r>
      <t>Headteacher</t>
    </r>
    <r>
      <rPr>
        <b/>
        <sz val="12"/>
        <color indexed="10"/>
        <rFont val="Arial"/>
        <family val="2"/>
      </rPr>
      <t xml:space="preserve"> </t>
    </r>
  </si>
  <si>
    <t>Chair of Governors / Finance Committee</t>
  </si>
  <si>
    <t>Signature (1):</t>
  </si>
  <si>
    <t>Signature (2):</t>
  </si>
  <si>
    <t>Name:</t>
  </si>
  <si>
    <t>Position:</t>
  </si>
  <si>
    <t>Date Signed:</t>
  </si>
  <si>
    <t xml:space="preserve"> </t>
  </si>
  <si>
    <t>Graph Data</t>
  </si>
  <si>
    <t>SP2348</t>
  </si>
  <si>
    <t>Revenue c/f £</t>
  </si>
  <si>
    <t>SP2238</t>
  </si>
  <si>
    <t>SP3377</t>
  </si>
  <si>
    <t>SP3384</t>
  </si>
  <si>
    <t>SP2309</t>
  </si>
  <si>
    <t>Capital c/f £ (on secondary axis)</t>
  </si>
  <si>
    <t>SP3391</t>
  </si>
  <si>
    <t>SP2017</t>
  </si>
  <si>
    <t>SP2121</t>
  </si>
  <si>
    <t>LA Income %</t>
  </si>
  <si>
    <t>Rev % of income</t>
  </si>
  <si>
    <t>SP2336</t>
  </si>
  <si>
    <t>SP2015</t>
  </si>
  <si>
    <t>SP2346</t>
  </si>
  <si>
    <t>SP3000</t>
  </si>
  <si>
    <t>Rev c/fwd as a % of LA Income</t>
  </si>
  <si>
    <t>SP2313</t>
  </si>
  <si>
    <t>SP2285</t>
  </si>
  <si>
    <t>Teaching Staff</t>
  </si>
  <si>
    <t>Support Staff</t>
  </si>
  <si>
    <t>Other Staff</t>
  </si>
  <si>
    <t>Premises</t>
  </si>
  <si>
    <t>Curriculum</t>
  </si>
  <si>
    <t>Comm Funding</t>
  </si>
  <si>
    <t>Other</t>
  </si>
  <si>
    <t>SP2316</t>
  </si>
  <si>
    <t>SP2323</t>
  </si>
  <si>
    <t>SP3376</t>
  </si>
  <si>
    <t>SP2347</t>
  </si>
  <si>
    <t>Total Pupils</t>
  </si>
  <si>
    <t>SP2303</t>
  </si>
  <si>
    <t>SP2337</t>
  </si>
  <si>
    <t>SP2272</t>
  </si>
  <si>
    <t>SP2305</t>
  </si>
  <si>
    <t>SP2042</t>
  </si>
  <si>
    <t>SP2043</t>
  </si>
  <si>
    <t>SP2324</t>
  </si>
  <si>
    <t>SP2006</t>
  </si>
  <si>
    <t>SN1003</t>
  </si>
  <si>
    <t>SP2007</t>
  </si>
  <si>
    <t>SP2506</t>
  </si>
  <si>
    <t>SN1090</t>
  </si>
  <si>
    <t>SP3003</t>
  </si>
  <si>
    <t>SP3390</t>
  </si>
  <si>
    <t>SP3004</t>
  </si>
  <si>
    <t>SP2062</t>
  </si>
  <si>
    <t>SP2247</t>
  </si>
  <si>
    <t>SP2002</t>
  </si>
  <si>
    <t>SP2322</t>
  </si>
  <si>
    <t>SS5406</t>
  </si>
  <si>
    <t>SL7034</t>
  </si>
  <si>
    <t>SL7015</t>
  </si>
  <si>
    <t>SP2112</t>
  </si>
  <si>
    <t>SP3005</t>
  </si>
  <si>
    <t>SL7026</t>
  </si>
  <si>
    <t>SP2299</t>
  </si>
  <si>
    <t>SP3066</t>
  </si>
  <si>
    <t>SP3383</t>
  </si>
  <si>
    <t>SP3379</t>
  </si>
  <si>
    <t>St Mary's Wavendon C of E Primary</t>
  </si>
  <si>
    <t>SP3058</t>
  </si>
  <si>
    <t>SP3378</t>
  </si>
  <si>
    <t>SS4702</t>
  </si>
  <si>
    <t>SP3369</t>
  </si>
  <si>
    <t>Stanton</t>
  </si>
  <si>
    <t>SP2301</t>
  </si>
  <si>
    <t>SP3006</t>
  </si>
  <si>
    <t>SP2327</t>
  </si>
  <si>
    <t>SL7021</t>
  </si>
  <si>
    <t>SP2000</t>
  </si>
  <si>
    <t>SL7009</t>
  </si>
  <si>
    <t>SP2320</t>
  </si>
  <si>
    <t>SP2306</t>
  </si>
  <si>
    <t>SP2122</t>
  </si>
  <si>
    <t>Additional Data to be completed</t>
  </si>
  <si>
    <t>Pupil Numbers by Year Group</t>
  </si>
  <si>
    <t>PAN</t>
  </si>
  <si>
    <t>EY</t>
  </si>
  <si>
    <t>R</t>
  </si>
  <si>
    <t>TOTAL</t>
  </si>
  <si>
    <t>NOTES FOR COMPLETING PUPIL NUMBERS</t>
  </si>
  <si>
    <t>Future years should be estimated.</t>
  </si>
  <si>
    <t>EY - this is 2-4 year olds in nursery classes</t>
  </si>
  <si>
    <t>FTE Staff Numbers by CFR code</t>
  </si>
  <si>
    <t>All</t>
  </si>
  <si>
    <t>Leadership</t>
  </si>
  <si>
    <t>Income Analysis (enter data as negatives)</t>
  </si>
  <si>
    <t>ASSUMPTIONS</t>
  </si>
  <si>
    <t>Total per 3YP sheet</t>
  </si>
  <si>
    <t>I01 TOTAL</t>
  </si>
  <si>
    <t>Post 16 Place Funding</t>
  </si>
  <si>
    <t>Sixth Form Funding</t>
  </si>
  <si>
    <t>I02 TOTAL</t>
  </si>
  <si>
    <t>High Needs Top Ups</t>
  </si>
  <si>
    <t>Department Top Ups</t>
  </si>
  <si>
    <t>I03 TOTAL</t>
  </si>
  <si>
    <t>I05 Pupil Premium</t>
  </si>
  <si>
    <t>PE &amp; Sports Premium</t>
  </si>
  <si>
    <t>Check</t>
  </si>
  <si>
    <t>List of Contracts/Leases - payments per year</t>
  </si>
  <si>
    <t>End date</t>
  </si>
  <si>
    <t>Additional Information</t>
  </si>
  <si>
    <t>Health and Safety</t>
  </si>
  <si>
    <t>Enter description here</t>
  </si>
  <si>
    <t>dd/mm/yy</t>
  </si>
  <si>
    <t>Building</t>
  </si>
  <si>
    <t>Landscaping</t>
  </si>
  <si>
    <t>KEY PERFORMANCE INDICATORS</t>
  </si>
  <si>
    <t>Teaching Staff as a % of revenue expenditure</t>
  </si>
  <si>
    <t>Support Staff as a % of revenue expenditure</t>
  </si>
  <si>
    <t>Total Staff costs as a % of revenue expenditure</t>
  </si>
  <si>
    <t>Premises costs (E12-E16 + E18) as a % of revenue expenditure</t>
  </si>
  <si>
    <t>Curriculum costs (E19 + E27) as a % of revenue expenditure</t>
  </si>
  <si>
    <t>Remaining costs as a % of revenue expenditure</t>
  </si>
  <si>
    <t>Revenue expenditure as a % of revenue income</t>
  </si>
  <si>
    <t>SCHOOL CHARACTERISTICS</t>
  </si>
  <si>
    <t>Average teacher cost</t>
  </si>
  <si>
    <t>Senior leaders as a % of teaching staff</t>
  </si>
  <si>
    <t>Pupil to teacher ratio</t>
  </si>
  <si>
    <t>BALANCES</t>
  </si>
  <si>
    <t>Revenue Carried Forward -  Surplus/(Deficit)</t>
  </si>
  <si>
    <t>% change on prior year</t>
  </si>
  <si>
    <t>Capital Carried Forward - Surplus/(Deficit)</t>
  </si>
  <si>
    <t>In year movement</t>
  </si>
  <si>
    <t>YEAR ON YEAR TRENDS</t>
  </si>
  <si>
    <t>BASE YEAR</t>
  </si>
  <si>
    <t>Planned year</t>
  </si>
  <si>
    <t>Projection year</t>
  </si>
  <si>
    <t>Year in which the academic year starts</t>
  </si>
  <si>
    <t>PUPIL ROLL BY YEAR GROUP ESTIMATES</t>
  </si>
  <si>
    <t>Reception</t>
  </si>
  <si>
    <t>Year 4</t>
  </si>
  <si>
    <t>Year 5</t>
  </si>
  <si>
    <t>Year 6</t>
  </si>
  <si>
    <t>(Check for sense line) Totals</t>
  </si>
  <si>
    <t>CURRICULUM DATA</t>
  </si>
  <si>
    <t>FTE Teachers employed ( or planned to be employed in future years) COPIED FROM LINE 20 below</t>
  </si>
  <si>
    <t>FTE Teachers Required in future years  (Copied from the DEPLOYMENT SHEETS)</t>
  </si>
  <si>
    <t>N/A</t>
  </si>
  <si>
    <t>Contact ratio from DEPLOYMENT SHEETS (Shown to 3 decimal places)</t>
  </si>
  <si>
    <t>Length of timetable cycle (Copied from the DEPLOYMENT SHEETS)</t>
  </si>
  <si>
    <t>Average teaching load (Copied from the DEPLOYMENT SHEETS) Shown to 2 decimal places</t>
  </si>
  <si>
    <t>Average class size i.e. pupil to teacher ratio in the curriculum (Copied from DEPLOYMENT SHEETS) shown to 2 decimal places</t>
  </si>
  <si>
    <t>FTE value of Teacher role staff required in term time assuming 1FTE delivers a full timetable cycle of teaching periods</t>
  </si>
  <si>
    <t>EXPENDITURE SUMMARY</t>
  </si>
  <si>
    <t xml:space="preserve">FTE Teachers employed ( or planned to be employed in future years) </t>
  </si>
  <si>
    <t>Total Teacher Cost Including on costs</t>
  </si>
  <si>
    <t>Total Educational Support Staff cost including on Costs</t>
  </si>
  <si>
    <t>FTE Educational Support Staff Employed</t>
  </si>
  <si>
    <t>Total Admin and Clerical Staff cost including on costs</t>
  </si>
  <si>
    <t>FTE Admin and Clerical Staff Employed</t>
  </si>
  <si>
    <t>Total of all other employed staff costs including on costs</t>
  </si>
  <si>
    <t>FTE total of all other staff employed</t>
  </si>
  <si>
    <t>Total of all other revenue expenditure expenditure (i.e. all expenditure not included above)</t>
  </si>
  <si>
    <t>(Check for sense line) Total In Year Expenditure</t>
  </si>
  <si>
    <t>(Check for sense line) In year expenditure per pupil</t>
  </si>
  <si>
    <t>REVENUE SUMMARY</t>
  </si>
  <si>
    <t>Total in year revenue ( exclude any carry forward or deficit)</t>
  </si>
  <si>
    <t>(Check for sense line) Per pupil revenue</t>
  </si>
  <si>
    <t>(Check for sense line) Average Teacher Cost</t>
  </si>
  <si>
    <t>(Check for sense line) Average Educational Support Staff Cost</t>
  </si>
  <si>
    <t>(Check for sense line) Average Admin Staff Cost</t>
  </si>
  <si>
    <t>(Check for sense line) Average All Other Employed staff cost</t>
  </si>
  <si>
    <t>In Year Balance</t>
  </si>
  <si>
    <t>Carry forward or deficit (enter as negative) from previous years</t>
  </si>
  <si>
    <t xml:space="preserve">The data in the red tab sheets as supplied is sample data and does not represent any particular school at any point in time. </t>
  </si>
  <si>
    <t>Cumulative Balance</t>
  </si>
  <si>
    <t>The three years shown are initially identical  in data terms.</t>
  </si>
  <si>
    <t>PERCENTAGE CHANGES IN REVENUE AND  COSTS FROM PREVIOUS YEAR</t>
  </si>
  <si>
    <t>Percentage change in Average Teacher Cost</t>
  </si>
  <si>
    <t>The sheet can be populated with actual data in the  BASE year and then with expected values and changes for the PLANNED and PROJECTION years to determine a possible ICFP strategy.</t>
  </si>
  <si>
    <t>Percentage change in Educational Support staff cost</t>
  </si>
  <si>
    <t>Percentage change in Admin and Clerical staff cost</t>
  </si>
  <si>
    <t>Percentage change in All Other Employed Staff cost</t>
  </si>
  <si>
    <t>Percentage change in all other revenue expenditure</t>
  </si>
  <si>
    <t>Percentage change in per pupil revenue</t>
  </si>
  <si>
    <t>SUMMARY STATISTICS (Example  potential KPI and benchmark values )</t>
  </si>
  <si>
    <t>Per Pupil Revenue (in Year)</t>
  </si>
  <si>
    <t>Average Teacher Cost</t>
  </si>
  <si>
    <t>In year balance as a percentage of in year revenue</t>
  </si>
  <si>
    <t>Cumulative balance as a percentage of the in year revenue</t>
  </si>
  <si>
    <t>Pupil to teacher ratio ( This is the number of pupils on roll divided by the number of teachers employed)</t>
  </si>
  <si>
    <t xml:space="preserve">Teacher contact ratio </t>
  </si>
  <si>
    <t>The product of these two quantities equals</t>
  </si>
  <si>
    <t>Average Class Size (Pupil to teacher ratio in timetable) for PTR and Contact ratio on previous two lines</t>
  </si>
  <si>
    <t>the Pupil to Teacher Ratio in the school.</t>
  </si>
  <si>
    <t>Average Class Size (Pupil to teacher ratio in timetable)  on DEPLOYMENT SHEETS ( see comment attached to cell)</t>
  </si>
  <si>
    <t>Pupil to teaching staff ratio in timetable ( includes teacher role staff)</t>
  </si>
  <si>
    <t>These two lines provide more meaningful statistics for a primary school</t>
  </si>
  <si>
    <t>Average size of a teaching group (i.e classes into which pupils are organised)</t>
  </si>
  <si>
    <t>context than the strict definition of Average class size used elsewhere</t>
  </si>
  <si>
    <t>Proportion of in year revenue spent on teaching staff</t>
  </si>
  <si>
    <t>Proportion of in year revenue available for teaching in a balanced budget if all other costs are fixed</t>
  </si>
  <si>
    <t>PTR value in a balanced budget based on in year revenue</t>
  </si>
  <si>
    <t xml:space="preserve">AFFORDABLE FTE TEACHERS in a balanced budget (Shown to 1 decimal place) </t>
  </si>
  <si>
    <t>FTE TEACHERS EMPLOYED</t>
  </si>
  <si>
    <t>Teachers employed  to Ed support staff ratio</t>
  </si>
  <si>
    <t>All staff to admin staff ratio</t>
  </si>
  <si>
    <t>Pupil to Ed support staff ratio</t>
  </si>
  <si>
    <t>Pupil to adult ratio</t>
  </si>
  <si>
    <t>Proportion of revenue spent on staff costs</t>
  </si>
  <si>
    <t xml:space="preserve">Deployment plan for the base year (Teachers and Educational Support Staff who act in teacher role) </t>
  </si>
  <si>
    <t>Year</t>
  </si>
  <si>
    <t>This section records the actual teacher period allocations and brief curriculum descriptions of the actual timetable in use in the base year.</t>
  </si>
  <si>
    <t>Timetable cycle length in periods</t>
  </si>
  <si>
    <t>National Curriculum Year</t>
  </si>
  <si>
    <t>Pupil Roll</t>
  </si>
  <si>
    <t>Reorganised Area Name or NC year if no reorganisation applied</t>
  </si>
  <si>
    <t>Number of classes</t>
  </si>
  <si>
    <t>tp Allocation</t>
  </si>
  <si>
    <t>Teacher role period (trp) allocation</t>
  </si>
  <si>
    <t>NOTES</t>
  </si>
  <si>
    <t>2 classes 9tp per class plus 1 trp per class</t>
  </si>
  <si>
    <t>Y1</t>
  </si>
  <si>
    <t>Y2</t>
  </si>
  <si>
    <t>Y3</t>
  </si>
  <si>
    <t>Y4</t>
  </si>
  <si>
    <t>Y5</t>
  </si>
  <si>
    <t>Y6</t>
  </si>
  <si>
    <t>Whole School Areas (i.e. all other teacher contact time not allocated in year group sections above)</t>
  </si>
  <si>
    <t>Learning Support</t>
  </si>
  <si>
    <t>n/a</t>
  </si>
  <si>
    <t>Senco does 5 half days extracting target pupils from classes</t>
  </si>
  <si>
    <t>Intervention activity</t>
  </si>
  <si>
    <t>Team Teaching;1 half day literacy &amp; 1 half day numeracy. 10 half days HLTA in team teaching</t>
  </si>
  <si>
    <t>Other teacher contact time</t>
  </si>
  <si>
    <t>5 half days music support from a piano playing HLTA</t>
  </si>
  <si>
    <t>Overall totals</t>
  </si>
  <si>
    <t>Roll</t>
  </si>
  <si>
    <t>trp allocation</t>
  </si>
  <si>
    <t>Totals</t>
  </si>
  <si>
    <t>TEACHING IMPLICATIONS</t>
  </si>
  <si>
    <t>Average Class Size (PTR in the curriculum)</t>
  </si>
  <si>
    <t>Teacher Contact Ratio</t>
  </si>
  <si>
    <t>This input drives the FTE total. It should be informed by the current value in the KNOWN year and investigated using other spreadsheets like those supplied in this workbook</t>
  </si>
  <si>
    <t>Average teaching load</t>
  </si>
  <si>
    <t>FTE Teachers required by this deployment</t>
  </si>
  <si>
    <t>Value is rounded up to one decimal place</t>
  </si>
  <si>
    <t xml:space="preserve">FTE Teacher role staff required </t>
  </si>
  <si>
    <t>Assumes 1 FTE delivers a full cycle of periods</t>
  </si>
  <si>
    <t>Copied from</t>
  </si>
  <si>
    <t>The FTE teacher totals have to be reconciled either by adjustments to this deployment (change tp allocations, change contact ratio by changing teacher loadings) or by financial adjustments</t>
  </si>
  <si>
    <t xml:space="preserve">FTE TEACHERS EMPLOYED </t>
  </si>
  <si>
    <t>SUMMARY</t>
  </si>
  <si>
    <t>on the SUMMARY DATA sheet.</t>
  </si>
  <si>
    <t>DATA</t>
  </si>
  <si>
    <t xml:space="preserve">It is suggested that sheets like WHAT IS CONTACT RATIO and/or MODELLING CONTACT are used where any issues concerning contact ratio are being considered. </t>
  </si>
  <si>
    <t>Pupil to teaching staff ratio</t>
  </si>
  <si>
    <t>Includes teacher role staff</t>
  </si>
  <si>
    <t>Average teaching group size</t>
  </si>
  <si>
    <t>Average size of classes as organised</t>
  </si>
  <si>
    <t>From ICFP</t>
  </si>
  <si>
    <t>2026/27</t>
  </si>
  <si>
    <t>E20a</t>
  </si>
  <si>
    <t>E20b</t>
  </si>
  <si>
    <t>E20c</t>
  </si>
  <si>
    <t>E20d</t>
  </si>
  <si>
    <t>E20e</t>
  </si>
  <si>
    <t>E20f</t>
  </si>
  <si>
    <t>E20g</t>
  </si>
  <si>
    <t>ICT - Connectivity</t>
  </si>
  <si>
    <t>ICT - Administration Software and Systems</t>
  </si>
  <si>
    <t>ICT - Laptops, Desktops and Tablets</t>
  </si>
  <si>
    <t>ICT - Other Hardware</t>
  </si>
  <si>
    <t>CE04a</t>
  </si>
  <si>
    <t>CE04b</t>
  </si>
  <si>
    <t>CE04c</t>
  </si>
  <si>
    <t>CE04d</t>
  </si>
  <si>
    <t>ICT - Online Servers</t>
  </si>
  <si>
    <t>CE04e</t>
  </si>
  <si>
    <t>Number of Classes</t>
  </si>
  <si>
    <t>De-delegation</t>
  </si>
  <si>
    <t>NNDR Allocation</t>
  </si>
  <si>
    <t>Place Funding</t>
  </si>
  <si>
    <t xml:space="preserve">Growth Funding </t>
  </si>
  <si>
    <t>Growth Protection</t>
  </si>
  <si>
    <t>Additional Notional SEN</t>
  </si>
  <si>
    <t>Confirmation of energy inflation rates used</t>
  </si>
  <si>
    <t xml:space="preserve">Gas </t>
  </si>
  <si>
    <t>Electricity</t>
  </si>
  <si>
    <t>Explanation of in year deficit if applicable</t>
  </si>
  <si>
    <t>If this is due to one off planned expenditure please explain what the expenditure is for, or if this is for ongoing costs such as staff costs, you should clearly state how these costs will be sustained in the future when the balances have diminished.</t>
  </si>
  <si>
    <t>IT costs (E20 a-g) as a % of revenue expenditure</t>
  </si>
  <si>
    <t>Support staff</t>
  </si>
  <si>
    <t>Financial year 2027/28</t>
  </si>
  <si>
    <t>2027/28</t>
  </si>
  <si>
    <t xml:space="preserve">E01 staffing figures are split between all teaching staff (B25 to B27) and then just the leadership FTE (C25 to C27) </t>
  </si>
  <si>
    <t>All staff figures are entered as a FTE</t>
  </si>
  <si>
    <t>The Scheme for Financing Schools</t>
  </si>
  <si>
    <t>Deficit Recovery Plan</t>
  </si>
  <si>
    <t>SCHOOL</t>
  </si>
  <si>
    <t>CODE</t>
  </si>
  <si>
    <t>COMMITTED REV BALANCE B01</t>
  </si>
  <si>
    <t>UNCOMMITTED REV BALANCE B02</t>
  </si>
  <si>
    <t>DEVOLVED CAPITAL BALANCE B03</t>
  </si>
  <si>
    <t>OTHER CAPITAL NOT SF B05</t>
  </si>
  <si>
    <t>COMMUNITY FOCUSED EXTENDED SCHOOLS B06</t>
  </si>
  <si>
    <t>TOTAL BALANCES</t>
  </si>
  <si>
    <t>Total Revenue Closing Balance</t>
  </si>
  <si>
    <t>Total Capital Closing Balance</t>
  </si>
  <si>
    <t>PRIMARY</t>
  </si>
  <si>
    <t>Abbey's Primary</t>
  </si>
  <si>
    <t>Y</t>
  </si>
  <si>
    <t>Barleyhurst Park Primary</t>
  </si>
  <si>
    <t>Bishop Parker Catholic</t>
  </si>
  <si>
    <t>Bow Brickhill Church of England Primary</t>
  </si>
  <si>
    <t>Bradwell Village</t>
  </si>
  <si>
    <t>Brooklands Farm Primary</t>
  </si>
  <si>
    <t>Broughton Fields Primary</t>
  </si>
  <si>
    <t>Bushfield</t>
  </si>
  <si>
    <t>Caroline Haslett Primary</t>
  </si>
  <si>
    <t>Castlethorpe First</t>
  </si>
  <si>
    <t>Cedars Primary</t>
  </si>
  <si>
    <t>Cold Harbour C of E</t>
  </si>
  <si>
    <t>Downs Barn</t>
  </si>
  <si>
    <t>Falconhurst</t>
  </si>
  <si>
    <t>Germander Park</t>
  </si>
  <si>
    <t>Giffard Park Primary</t>
  </si>
  <si>
    <t>Giles Brook Primary</t>
  </si>
  <si>
    <t>Glastonbury Thorn</t>
  </si>
  <si>
    <t>Great Linford Primary</t>
  </si>
  <si>
    <t>Green Park</t>
  </si>
  <si>
    <t>Greenley's First</t>
  </si>
  <si>
    <t>Greenleys Junior</t>
  </si>
  <si>
    <t>Hanslope Primary</t>
  </si>
  <si>
    <t>Haversham Village</t>
  </si>
  <si>
    <t>Heelands</t>
  </si>
  <si>
    <t>Howe Park</t>
  </si>
  <si>
    <t>Long Meadow</t>
  </si>
  <si>
    <t>Loughton Manor First</t>
  </si>
  <si>
    <t>Newton Blossomville CE</t>
  </si>
  <si>
    <t>Newton Leys</t>
  </si>
  <si>
    <t>North Crawley CE</t>
  </si>
  <si>
    <t>Oldbrook First</t>
  </si>
  <si>
    <t>Pepper Hill</t>
  </si>
  <si>
    <t>Portfields Combined</t>
  </si>
  <si>
    <t>Priory Common</t>
  </si>
  <si>
    <t>Russell Street</t>
  </si>
  <si>
    <t>Sherington C of E</t>
  </si>
  <si>
    <t>Southwood School</t>
  </si>
  <si>
    <t>St Andrews C of E Infant</t>
  </si>
  <si>
    <t>St Bernadettes Catholic Primary</t>
  </si>
  <si>
    <t>St Mary Magdalene Catholic Primary</t>
  </si>
  <si>
    <t>St Monica's Catholic Primary</t>
  </si>
  <si>
    <t>St Thomas Aquinas Catholic Primary</t>
  </si>
  <si>
    <t>Stoke Goldington C of E First</t>
  </si>
  <si>
    <t>Summerfield</t>
  </si>
  <si>
    <t>Wavendon Gate</t>
  </si>
  <si>
    <t>Willows School and Early Years Centre (The)</t>
  </si>
  <si>
    <t>Wood End First</t>
  </si>
  <si>
    <t>Wyvern</t>
  </si>
  <si>
    <t>TOTAL PRIMARY:</t>
  </si>
  <si>
    <t>SECONDARY</t>
  </si>
  <si>
    <t>Radcliffe (The)</t>
  </si>
  <si>
    <t>St Paul's Catholic</t>
  </si>
  <si>
    <t>TOTAL SECONDARY:</t>
  </si>
  <si>
    <t>SPECIAL</t>
  </si>
  <si>
    <t/>
  </si>
  <si>
    <t>Redway (The)</t>
  </si>
  <si>
    <t>Romans Field</t>
  </si>
  <si>
    <t>Slated Row</t>
  </si>
  <si>
    <t>Woodlands</t>
  </si>
  <si>
    <t>White Spire</t>
  </si>
  <si>
    <t>TOTAL SPECIAL:</t>
  </si>
  <si>
    <t>SUB TOTAL:</t>
  </si>
  <si>
    <t>NURSERY</t>
  </si>
  <si>
    <t>Knowles Nursery</t>
  </si>
  <si>
    <t>Moorland Nursery</t>
  </si>
  <si>
    <t>TOTAL NURSERY:</t>
  </si>
  <si>
    <t>OVERALL TOTALS:</t>
  </si>
  <si>
    <t>ERP Balance</t>
  </si>
  <si>
    <t>Variance</t>
  </si>
  <si>
    <t>Website Password</t>
  </si>
  <si>
    <t>Greenley's Junior</t>
  </si>
  <si>
    <t>Woodlands (The)</t>
  </si>
  <si>
    <t>Enter password here</t>
  </si>
  <si>
    <t>683x296j</t>
  </si>
  <si>
    <t>544h335u</t>
  </si>
  <si>
    <t>208w746y</t>
  </si>
  <si>
    <t>785w778f</t>
  </si>
  <si>
    <t>356i515x</t>
  </si>
  <si>
    <t>367k15d</t>
  </si>
  <si>
    <t>593d393f</t>
  </si>
  <si>
    <t>966x438s</t>
  </si>
  <si>
    <t>576m105i</t>
  </si>
  <si>
    <t>567s135u</t>
  </si>
  <si>
    <t>192u596h</t>
  </si>
  <si>
    <t>188b616h</t>
  </si>
  <si>
    <t>35s874q</t>
  </si>
  <si>
    <t>64d48c</t>
  </si>
  <si>
    <t>405r710m</t>
  </si>
  <si>
    <t>6s938g</t>
  </si>
  <si>
    <t>310c303f</t>
  </si>
  <si>
    <t>123o359k</t>
  </si>
  <si>
    <t>275h732y</t>
  </si>
  <si>
    <t>443o470v</t>
  </si>
  <si>
    <t>450u970i</t>
  </si>
  <si>
    <t>643y979t</t>
  </si>
  <si>
    <t>967n246o</t>
  </si>
  <si>
    <t>274t686m</t>
  </si>
  <si>
    <t>128h609d</t>
  </si>
  <si>
    <t>283y650v</t>
  </si>
  <si>
    <t>841x879w</t>
  </si>
  <si>
    <t>326l864s</t>
  </si>
  <si>
    <t>316y546e</t>
  </si>
  <si>
    <t>116q376h</t>
  </si>
  <si>
    <t>Moorlands Nursery</t>
  </si>
  <si>
    <t>92q49d</t>
  </si>
  <si>
    <t>1xH34pR7</t>
  </si>
  <si>
    <t>497k484l</t>
  </si>
  <si>
    <t>933t403r</t>
  </si>
  <si>
    <t>550u834a</t>
  </si>
  <si>
    <t>694c861d</t>
  </si>
  <si>
    <t>752d733h</t>
  </si>
  <si>
    <t>172c677k</t>
  </si>
  <si>
    <t>984n400c</t>
  </si>
  <si>
    <t>354x156y</t>
  </si>
  <si>
    <t>733u76l</t>
  </si>
  <si>
    <t>929u173s</t>
  </si>
  <si>
    <t>972e667i</t>
  </si>
  <si>
    <t>667j918p</t>
  </si>
  <si>
    <t>487e802m</t>
  </si>
  <si>
    <t>686d673m</t>
  </si>
  <si>
    <t>294c302f</t>
  </si>
  <si>
    <t>494k327e</t>
  </si>
  <si>
    <t>775p999d</t>
  </si>
  <si>
    <t>843v588r</t>
  </si>
  <si>
    <t>783g426m</t>
  </si>
  <si>
    <t>447l172j</t>
  </si>
  <si>
    <t>403o958c</t>
  </si>
  <si>
    <t>93p960h</t>
  </si>
  <si>
    <t>424w108l</t>
  </si>
  <si>
    <t>890o873b</t>
  </si>
  <si>
    <t>124s704k</t>
  </si>
  <si>
    <t>39b257j</t>
  </si>
  <si>
    <t>75e560f</t>
  </si>
  <si>
    <t>729u814h</t>
  </si>
  <si>
    <t>LA income (I01-I06) as a % of revenue income</t>
  </si>
  <si>
    <t>Revenue C/Fwd as a % of LA income (I01-I06)</t>
  </si>
  <si>
    <t>Opening balances will be picked up via a look up once you have entered your password on the 3YP page in cell I3.</t>
  </si>
  <si>
    <t>I06 TOTAL</t>
  </si>
  <si>
    <t>Other (I07-I15)</t>
  </si>
  <si>
    <t>Early Years - Pupil Premium</t>
  </si>
  <si>
    <t>Early Years - Inclusion Funding</t>
  </si>
  <si>
    <t>Early Years - Core Funding</t>
  </si>
  <si>
    <t>Early Years - Disability Access Funding DAF)</t>
  </si>
  <si>
    <t>Due to Schools Finance no later than 1 June 2026</t>
  </si>
  <si>
    <t>The majority of the data should be the same as the data in the original budget submitted by 1 May 2026.  An explanation of any movement should be included in the box beneath the 3YP</t>
  </si>
  <si>
    <t>Financial year 2028/29</t>
  </si>
  <si>
    <t>2028/29</t>
  </si>
  <si>
    <t>Teachers</t>
  </si>
  <si>
    <t>ICT - Onsite Servers</t>
  </si>
  <si>
    <t>ICT - Learning Resources</t>
  </si>
  <si>
    <t>ICT - Software Licences</t>
  </si>
  <si>
    <t>ICT - Hardware Purchases</t>
  </si>
  <si>
    <t>ICT - Support</t>
  </si>
  <si>
    <t>Explanation of the movement (if any) between the original budget submitted on 1 May 2026 and the year 1 budget included on the 3 year plan</t>
  </si>
  <si>
    <t>Inclusive Mainstream Fund for Schools</t>
  </si>
  <si>
    <t>IMF Calculator Tool</t>
  </si>
  <si>
    <t>Government_evidence_to_the_STRB_2026.pdf</t>
  </si>
  <si>
    <t>SCHOOL PREDICTED BALANCES 2025-26</t>
  </si>
  <si>
    <t>Per balance check file</t>
  </si>
  <si>
    <t>SP3991</t>
  </si>
  <si>
    <t>St Andrews Moved to Reserves</t>
  </si>
  <si>
    <t>Less Academy Converters/Almagamations</t>
  </si>
  <si>
    <t>Brooklands Farm</t>
  </si>
  <si>
    <t>St Andrews</t>
  </si>
  <si>
    <t>Please explain assumptions and information used for calculating pupil numbers:</t>
  </si>
  <si>
    <t>Early Years - Quality Supplement</t>
  </si>
  <si>
    <t>Inclusive Mainstream Fund</t>
  </si>
  <si>
    <t>If any year of your 3YP has an in year deficit please explain why this has occurred, a deficit recovery plan will also be required to be submitted with the 3YP template.</t>
  </si>
  <si>
    <t>The income analysis table is completed so that the check in row 68 is zero</t>
  </si>
  <si>
    <t>As per The Scheme for Financing Schools, schools must submit a recovery plan the the budget plan when they forecast a revenue deficit in any year of the 3YP.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</si>
</sst>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164" formatCode="00"/>
    <numFmt numFmtId="165" formatCode="dd/mm/yy"/>
    <numFmt numFmtId="166" formatCode="mmm\ yy"/>
    <numFmt numFmtId="167" formatCode="yyyy"/>
    <numFmt numFmtId="168" formatCode="#,##0;[Red]\(#,##0\)"/>
    <numFmt numFmtId="169" formatCode="&quot;£&quot;#,##0"/>
    <numFmt numFmtId="170" formatCode="0.0"/>
    <numFmt numFmtId="171" formatCode="0.000"/>
    <numFmt numFmtId="172" formatCode="0.0_ ;[Red]\-0.0\ "/>
    <numFmt numFmtId="173" formatCode="0.00_ ;[Red]\-0.00\ "/>
    <numFmt numFmtId="174" formatCode="#,##0.00000"/>
    <numFmt numFmtId="175" formatCode="#,##0.000"/>
    <numFmt numFmtId="176" formatCode="0.0%"/>
    <numFmt numFmtId="177" formatCode="#,##0.0"/>
    <numFmt numFmtId="178" formatCode="0.0000"/>
    <numFmt numFmtId="179" formatCode="#,##0.00_ ;[Red]\-#,##0.00\ "/>
  </numFmts>
  <fonts count="43" x14ac:knownFonts="1">
    <font>
      <sz val="12"/>
      <color theme="1"/>
      <name val="Arial"/>
      <family val="2"/>
    </font>
    <font>
      <b/>
      <sz val="18"/>
      <name val="Arial"/>
      <family val="2"/>
    </font>
    <font>
      <b/>
      <u/>
      <sz val="18"/>
      <name val="Arial"/>
      <family val="2"/>
    </font>
    <font>
      <sz val="10"/>
      <name val="Arial"/>
      <family val="2"/>
    </font>
    <font>
      <b/>
      <sz val="11"/>
      <name val="Arial"/>
      <family val="2"/>
    </font>
    <font>
      <sz val="11"/>
      <name val="Arial"/>
      <family val="2"/>
    </font>
    <font>
      <b/>
      <sz val="14"/>
      <name val="Arial"/>
      <family val="2"/>
    </font>
    <font>
      <b/>
      <sz val="13"/>
      <name val="Arial"/>
      <family val="2"/>
    </font>
    <font>
      <sz val="14"/>
      <name val="Arial"/>
      <family val="2"/>
    </font>
    <font>
      <b/>
      <sz val="12"/>
      <name val="Arial"/>
      <family val="2"/>
    </font>
    <font>
      <b/>
      <sz val="10"/>
      <name val="Arial"/>
      <family val="2"/>
    </font>
    <font>
      <sz val="10"/>
      <color theme="1"/>
      <name val="Arial"/>
      <family val="2"/>
    </font>
    <font>
      <sz val="12"/>
      <name val="Arial"/>
      <family val="2"/>
    </font>
    <font>
      <b/>
      <sz val="12"/>
      <color theme="1"/>
      <name val="Arial"/>
      <family val="2"/>
    </font>
    <font>
      <sz val="14"/>
      <color theme="1"/>
      <name val="Arial"/>
      <family val="2"/>
    </font>
    <font>
      <b/>
      <u/>
      <sz val="18"/>
      <color theme="1"/>
      <name val="Arial"/>
      <family val="2"/>
    </font>
    <font>
      <sz val="12"/>
      <color rgb="FF3A3A3A"/>
      <name val="Arial"/>
      <family val="2"/>
    </font>
    <font>
      <b/>
      <u/>
      <sz val="12"/>
      <color theme="1"/>
      <name val="Arial"/>
      <family val="2"/>
    </font>
    <font>
      <b/>
      <u/>
      <sz val="14"/>
      <color theme="1"/>
      <name val="Arial"/>
      <family val="2"/>
    </font>
    <font>
      <b/>
      <sz val="10"/>
      <color theme="1"/>
      <name val="Arial"/>
      <family val="2"/>
    </font>
    <font>
      <b/>
      <sz val="12"/>
      <color rgb="FFFF0000"/>
      <name val="Arial"/>
      <family val="2"/>
    </font>
    <font>
      <sz val="12"/>
      <color rgb="FFFF0000"/>
      <name val="Arial"/>
      <family val="2"/>
    </font>
    <font>
      <sz val="11"/>
      <color rgb="FF1F497D"/>
      <name val="Calibri"/>
      <family val="2"/>
    </font>
    <font>
      <b/>
      <sz val="11"/>
      <color rgb="FF1F497D"/>
      <name val="Calibri"/>
      <family val="2"/>
    </font>
    <font>
      <u/>
      <sz val="12"/>
      <color theme="10"/>
      <name val="Arial"/>
      <family val="2"/>
    </font>
    <font>
      <sz val="10"/>
      <name val="Calibri"/>
      <family val="2"/>
      <scheme val="minor"/>
    </font>
    <font>
      <u/>
      <sz val="10"/>
      <color theme="10"/>
      <name val="Calibri"/>
      <family val="2"/>
      <scheme val="minor"/>
    </font>
    <font>
      <sz val="12"/>
      <color theme="0"/>
      <name val="Arial"/>
      <family val="2"/>
    </font>
    <font>
      <b/>
      <sz val="12"/>
      <color theme="0"/>
      <name val="Arial"/>
      <family val="2"/>
    </font>
    <font>
      <b/>
      <sz val="12"/>
      <color indexed="10"/>
      <name val="Arial"/>
      <family val="2"/>
    </font>
    <font>
      <sz val="12"/>
      <name val="Calibri"/>
      <family val="2"/>
      <scheme val="minor"/>
    </font>
    <font>
      <sz val="14"/>
      <color rgb="FFFF0000"/>
      <name val="Arial"/>
      <family val="2"/>
    </font>
    <font>
      <u/>
      <sz val="12"/>
      <color theme="1"/>
      <name val="Arial"/>
      <family val="2"/>
    </font>
    <font>
      <b/>
      <sz val="11"/>
      <color theme="0"/>
      <name val="Calibri"/>
      <family val="2"/>
      <scheme val="minor"/>
    </font>
    <font>
      <b/>
      <sz val="11"/>
      <color theme="1"/>
      <name val="Calibri"/>
      <family val="2"/>
      <scheme val="minor"/>
    </font>
    <font>
      <b/>
      <sz val="11"/>
      <color rgb="FF0070C0"/>
      <name val="Calibri"/>
      <family val="2"/>
      <scheme val="minor"/>
    </font>
    <font>
      <b/>
      <sz val="11"/>
      <name val="Calibri"/>
      <family val="2"/>
      <scheme val="minor"/>
    </font>
    <font>
      <sz val="11"/>
      <name val="Calibri"/>
      <family val="2"/>
      <scheme val="minor"/>
    </font>
    <font>
      <b/>
      <sz val="9"/>
      <color indexed="81"/>
      <name val="Tahoma"/>
      <family val="2"/>
    </font>
    <font>
      <sz val="9"/>
      <color indexed="81"/>
      <name val="Tahoma"/>
      <family val="2"/>
    </font>
    <font>
      <sz val="11"/>
      <name val="Calibri"/>
      <family val="2"/>
    </font>
    <font>
      <b/>
      <sz val="11"/>
      <name val="Calibri"/>
      <family val="2"/>
    </font>
    <font>
      <b/>
      <sz val="11"/>
      <color indexed="8"/>
      <name val="Calibri"/>
      <family val="2"/>
      <scheme val="minor"/>
    </font>
  </fonts>
  <fills count="21">
    <fill>
      <patternFill patternType="none"/>
    </fill>
    <fill>
      <patternFill patternType="gray125"/>
    </fill>
    <fill>
      <patternFill patternType="solid">
        <fgColor theme="8" tint="0.59999389629810485"/>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theme="8" tint="0.39997558519241921"/>
        <bgColor indexed="64"/>
      </patternFill>
    </fill>
    <fill>
      <patternFill patternType="solid">
        <fgColor theme="6" tint="0.59999389629810485"/>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0"/>
        <bgColor indexed="64"/>
      </patternFill>
    </fill>
    <fill>
      <patternFill patternType="solid">
        <fgColor rgb="FFC00000"/>
        <bgColor indexed="64"/>
      </patternFill>
    </fill>
    <fill>
      <patternFill patternType="solid">
        <fgColor theme="6"/>
        <bgColor indexed="64"/>
      </patternFill>
    </fill>
    <fill>
      <patternFill patternType="solid">
        <fgColor theme="4" tint="0.39997558519241921"/>
        <bgColor indexed="64"/>
      </patternFill>
    </fill>
    <fill>
      <patternFill patternType="solid">
        <fgColor theme="3" tint="-0.499984740745262"/>
        <bgColor indexed="64"/>
      </patternFill>
    </fill>
    <fill>
      <patternFill patternType="solid">
        <fgColor theme="8" tint="-0.499984740745262"/>
        <bgColor indexed="64"/>
      </patternFill>
    </fill>
    <fill>
      <patternFill patternType="solid">
        <fgColor rgb="FFFFFF00"/>
        <bgColor indexed="64"/>
      </patternFill>
    </fill>
    <fill>
      <patternFill patternType="solid">
        <fgColor rgb="FF002060"/>
        <bgColor indexed="64"/>
      </patternFill>
    </fill>
    <fill>
      <patternFill patternType="solid">
        <fgColor rgb="FF00B0F0"/>
        <bgColor indexed="64"/>
      </patternFill>
    </fill>
    <fill>
      <patternFill patternType="solid">
        <fgColor rgb="FFFFC000"/>
        <bgColor indexed="64"/>
      </patternFill>
    </fill>
    <fill>
      <patternFill patternType="solid">
        <fgColor theme="9" tint="0.79998168889431442"/>
        <bgColor indexed="64"/>
      </patternFill>
    </fill>
  </fills>
  <borders count="48">
    <border>
      <left/>
      <right/>
      <top/>
      <bottom/>
      <diagonal/>
    </border>
    <border>
      <left/>
      <right style="thin">
        <color indexed="22"/>
      </right>
      <top style="thin">
        <color indexed="22"/>
      </top>
      <bottom style="thin">
        <color indexed="22"/>
      </bottom>
      <diagonal/>
    </border>
    <border>
      <left/>
      <right style="thin">
        <color indexed="22"/>
      </right>
      <top/>
      <bottom style="thin">
        <color indexed="22"/>
      </bottom>
      <diagonal/>
    </border>
    <border>
      <left/>
      <right style="thin">
        <color indexed="22"/>
      </right>
      <top/>
      <bottom/>
      <diagonal/>
    </border>
    <border>
      <left/>
      <right/>
      <top/>
      <bottom style="thin">
        <color indexed="22"/>
      </bottom>
      <diagonal/>
    </border>
    <border>
      <left/>
      <right/>
      <top style="thin">
        <color indexed="22"/>
      </top>
      <bottom style="thin">
        <color indexed="22"/>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22"/>
      </top>
      <bottom style="thin">
        <color indexed="22"/>
      </bottom>
      <diagonal/>
    </border>
    <border>
      <left style="medium">
        <color indexed="64"/>
      </left>
      <right style="medium">
        <color indexed="64"/>
      </right>
      <top/>
      <bottom style="thin">
        <color indexed="22"/>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3">
    <xf numFmtId="0" fontId="0" fillId="0" borderId="0"/>
    <xf numFmtId="0" fontId="3" fillId="0" borderId="0"/>
    <xf numFmtId="0" fontId="24" fillId="0" borderId="0" applyNumberFormat="0" applyFill="0" applyBorder="0" applyAlignment="0" applyProtection="0"/>
  </cellStyleXfs>
  <cellXfs count="452">
    <xf numFmtId="0" fontId="0" fillId="0" borderId="0" xfId="0"/>
    <xf numFmtId="0" fontId="7" fillId="0" borderId="0" xfId="0" applyFont="1" applyAlignment="1" applyProtection="1">
      <alignment wrapText="1"/>
      <protection locked="0"/>
    </xf>
    <xf numFmtId="4" fontId="3" fillId="4" borderId="12" xfId="0" applyNumberFormat="1" applyFont="1" applyFill="1" applyBorder="1" applyProtection="1">
      <protection locked="0"/>
    </xf>
    <xf numFmtId="4" fontId="3" fillId="0" borderId="4" xfId="0" applyNumberFormat="1" applyFont="1" applyBorder="1" applyProtection="1">
      <protection locked="0"/>
    </xf>
    <xf numFmtId="4" fontId="3" fillId="6" borderId="7" xfId="0" applyNumberFormat="1" applyFont="1" applyFill="1" applyBorder="1" applyProtection="1">
      <protection locked="0"/>
    </xf>
    <xf numFmtId="4" fontId="3" fillId="3" borderId="7" xfId="0" applyNumberFormat="1" applyFont="1" applyFill="1" applyBorder="1" applyProtection="1">
      <protection locked="0"/>
    </xf>
    <xf numFmtId="4" fontId="3" fillId="5" borderId="7" xfId="0" applyNumberFormat="1" applyFont="1" applyFill="1" applyBorder="1" applyProtection="1">
      <protection locked="0"/>
    </xf>
    <xf numFmtId="4" fontId="3" fillId="0" borderId="5" xfId="0" applyNumberFormat="1" applyFont="1" applyBorder="1" applyProtection="1">
      <protection locked="0"/>
    </xf>
    <xf numFmtId="4" fontId="3" fillId="2" borderId="7" xfId="0" applyNumberFormat="1" applyFont="1" applyFill="1" applyBorder="1" applyProtection="1">
      <protection locked="0"/>
    </xf>
    <xf numFmtId="4" fontId="3" fillId="7" borderId="7" xfId="0" applyNumberFormat="1" applyFont="1" applyFill="1" applyBorder="1" applyProtection="1">
      <protection locked="0"/>
    </xf>
    <xf numFmtId="4" fontId="3" fillId="0" borderId="1" xfId="0" applyNumberFormat="1" applyFont="1" applyBorder="1" applyProtection="1">
      <protection locked="0"/>
    </xf>
    <xf numFmtId="4" fontId="3" fillId="0" borderId="2" xfId="0" applyNumberFormat="1" applyFont="1" applyBorder="1" applyProtection="1">
      <protection locked="0"/>
    </xf>
    <xf numFmtId="0" fontId="1" fillId="0" borderId="19" xfId="0" applyFont="1" applyBorder="1" applyProtection="1">
      <protection locked="0"/>
    </xf>
    <xf numFmtId="0" fontId="2" fillId="0" borderId="20" xfId="0" applyFont="1" applyBorder="1" applyProtection="1">
      <protection locked="0"/>
    </xf>
    <xf numFmtId="0" fontId="2" fillId="0" borderId="21" xfId="0" applyFont="1" applyBorder="1" applyProtection="1">
      <protection locked="0"/>
    </xf>
    <xf numFmtId="0" fontId="6" fillId="0" borderId="18" xfId="0" applyFont="1" applyBorder="1" applyAlignment="1" applyProtection="1">
      <alignment horizontal="right"/>
      <protection locked="0"/>
    </xf>
    <xf numFmtId="0" fontId="0" fillId="0" borderId="0" xfId="0" applyProtection="1">
      <protection locked="0"/>
    </xf>
    <xf numFmtId="0" fontId="3" fillId="0" borderId="0" xfId="0" applyFont="1" applyProtection="1">
      <protection locked="0"/>
    </xf>
    <xf numFmtId="0" fontId="4" fillId="0" borderId="0" xfId="0" applyFont="1" applyAlignment="1" applyProtection="1">
      <alignment wrapText="1"/>
      <protection locked="0"/>
    </xf>
    <xf numFmtId="0" fontId="5" fillId="0" borderId="0" xfId="0" applyFont="1" applyAlignment="1" applyProtection="1">
      <alignment wrapText="1"/>
      <protection locked="0"/>
    </xf>
    <xf numFmtId="3" fontId="3" fillId="0" borderId="0" xfId="0" applyNumberFormat="1" applyFont="1" applyProtection="1">
      <protection locked="0"/>
    </xf>
    <xf numFmtId="3" fontId="3" fillId="0" borderId="0" xfId="0" applyNumberFormat="1" applyFont="1" applyAlignment="1" applyProtection="1">
      <alignment wrapText="1"/>
      <protection locked="0"/>
    </xf>
    <xf numFmtId="0" fontId="6" fillId="0" borderId="0" xfId="0" applyFont="1" applyAlignment="1" applyProtection="1">
      <alignment horizontal="left"/>
      <protection locked="0"/>
    </xf>
    <xf numFmtId="0" fontId="6" fillId="0" borderId="0" xfId="0" applyFont="1" applyAlignment="1" applyProtection="1">
      <alignment horizontal="right" wrapText="1"/>
      <protection locked="0"/>
    </xf>
    <xf numFmtId="0" fontId="7" fillId="0" borderId="0" xfId="0" applyFont="1" applyAlignment="1" applyProtection="1">
      <alignment horizontal="center" wrapText="1"/>
      <protection locked="0"/>
    </xf>
    <xf numFmtId="3" fontId="3" fillId="0" borderId="0" xfId="0" applyNumberFormat="1" applyFont="1" applyAlignment="1" applyProtection="1">
      <alignment horizontal="center"/>
      <protection locked="0"/>
    </xf>
    <xf numFmtId="0" fontId="10" fillId="0" borderId="9" xfId="0" applyFont="1" applyBorder="1" applyProtection="1">
      <protection locked="0"/>
    </xf>
    <xf numFmtId="0" fontId="10" fillId="0" borderId="15" xfId="0" applyFont="1" applyBorder="1" applyAlignment="1" applyProtection="1">
      <alignment vertical="center"/>
      <protection locked="0"/>
    </xf>
    <xf numFmtId="0" fontId="10" fillId="0" borderId="10" xfId="0" applyFont="1" applyBorder="1" applyAlignment="1" applyProtection="1">
      <alignment horizontal="center" wrapText="1"/>
      <protection locked="0"/>
    </xf>
    <xf numFmtId="3" fontId="10" fillId="4" borderId="10" xfId="0" applyNumberFormat="1" applyFont="1" applyFill="1" applyBorder="1" applyAlignment="1" applyProtection="1">
      <alignment horizontal="center" vertical="center"/>
      <protection locked="0"/>
    </xf>
    <xf numFmtId="3" fontId="10" fillId="0" borderId="0" xfId="0" applyNumberFormat="1" applyFont="1" applyAlignment="1" applyProtection="1">
      <alignment horizontal="center" vertical="center"/>
      <protection locked="0"/>
    </xf>
    <xf numFmtId="3" fontId="10" fillId="6" borderId="6" xfId="0" applyNumberFormat="1" applyFont="1" applyFill="1" applyBorder="1" applyAlignment="1" applyProtection="1">
      <alignment horizontal="center" vertical="center"/>
      <protection locked="0"/>
    </xf>
    <xf numFmtId="3" fontId="10" fillId="3" borderId="6" xfId="0" applyNumberFormat="1" applyFont="1" applyFill="1" applyBorder="1" applyAlignment="1" applyProtection="1">
      <alignment horizontal="center" vertical="center"/>
      <protection locked="0"/>
    </xf>
    <xf numFmtId="0" fontId="11" fillId="0" borderId="0" xfId="0" applyFont="1" applyProtection="1">
      <protection locked="0"/>
    </xf>
    <xf numFmtId="0" fontId="3" fillId="0" borderId="11" xfId="0" applyFont="1" applyBorder="1" applyProtection="1">
      <protection locked="0"/>
    </xf>
    <xf numFmtId="0" fontId="3" fillId="0" borderId="0" xfId="0" applyFont="1" applyAlignment="1" applyProtection="1">
      <alignment wrapText="1"/>
      <protection locked="0"/>
    </xf>
    <xf numFmtId="164" fontId="10" fillId="0" borderId="12" xfId="0" applyNumberFormat="1" applyFont="1" applyBorder="1" applyAlignment="1" applyProtection="1">
      <alignment horizontal="center"/>
      <protection locked="0"/>
    </xf>
    <xf numFmtId="0" fontId="10" fillId="0" borderId="12" xfId="0" applyFont="1" applyBorder="1" applyAlignment="1" applyProtection="1">
      <alignment horizontal="center"/>
      <protection locked="0"/>
    </xf>
    <xf numFmtId="4" fontId="3" fillId="0" borderId="0" xfId="0" applyNumberFormat="1" applyFont="1" applyProtection="1">
      <protection locked="0"/>
    </xf>
    <xf numFmtId="4" fontId="3" fillId="0" borderId="0" xfId="0" applyNumberFormat="1" applyFont="1" applyAlignment="1" applyProtection="1">
      <alignment wrapText="1"/>
      <protection locked="0"/>
    </xf>
    <xf numFmtId="0" fontId="12" fillId="0" borderId="13" xfId="0" applyFont="1" applyBorder="1" applyProtection="1">
      <protection locked="0"/>
    </xf>
    <xf numFmtId="0" fontId="9" fillId="0" borderId="16" xfId="0" applyFont="1" applyBorder="1" applyProtection="1">
      <protection locked="0"/>
    </xf>
    <xf numFmtId="164" fontId="9" fillId="0" borderId="14" xfId="0" applyNumberFormat="1" applyFont="1" applyBorder="1" applyAlignment="1" applyProtection="1">
      <alignment horizontal="center"/>
      <protection locked="0"/>
    </xf>
    <xf numFmtId="4" fontId="9" fillId="0" borderId="0" xfId="0" applyNumberFormat="1" applyFont="1" applyProtection="1">
      <protection locked="0"/>
    </xf>
    <xf numFmtId="4" fontId="9" fillId="0" borderId="0" xfId="0" applyNumberFormat="1" applyFont="1" applyAlignment="1" applyProtection="1">
      <alignment wrapText="1"/>
      <protection locked="0"/>
    </xf>
    <xf numFmtId="3" fontId="9" fillId="0" borderId="0" xfId="0" applyNumberFormat="1" applyFont="1" applyAlignment="1" applyProtection="1">
      <alignment wrapText="1"/>
      <protection locked="0"/>
    </xf>
    <xf numFmtId="164" fontId="10" fillId="0" borderId="0" xfId="0" applyNumberFormat="1" applyFont="1" applyAlignment="1" applyProtection="1">
      <alignment horizontal="center"/>
      <protection locked="0"/>
    </xf>
    <xf numFmtId="4" fontId="10" fillId="0" borderId="17" xfId="0" applyNumberFormat="1" applyFont="1" applyBorder="1" applyAlignment="1" applyProtection="1">
      <alignment horizontal="center"/>
      <protection locked="0"/>
    </xf>
    <xf numFmtId="0" fontId="10" fillId="0" borderId="15" xfId="0" applyFont="1" applyBorder="1" applyProtection="1">
      <protection locked="0"/>
    </xf>
    <xf numFmtId="164" fontId="10" fillId="0" borderId="10" xfId="0" applyNumberFormat="1" applyFont="1" applyBorder="1" applyAlignment="1" applyProtection="1">
      <alignment horizontal="center"/>
      <protection locked="0"/>
    </xf>
    <xf numFmtId="4" fontId="3" fillId="4" borderId="10" xfId="0" applyNumberFormat="1" applyFont="1" applyFill="1" applyBorder="1" applyProtection="1">
      <protection locked="0"/>
    </xf>
    <xf numFmtId="4" fontId="3" fillId="6" borderId="6" xfId="0" applyNumberFormat="1" applyFont="1" applyFill="1" applyBorder="1" applyProtection="1">
      <protection locked="0"/>
    </xf>
    <xf numFmtId="4" fontId="3" fillId="3" borderId="6" xfId="0" applyNumberFormat="1" applyFont="1" applyFill="1" applyBorder="1" applyProtection="1">
      <protection locked="0"/>
    </xf>
    <xf numFmtId="0" fontId="3" fillId="0" borderId="11" xfId="0" applyFont="1" applyBorder="1" applyAlignment="1" applyProtection="1">
      <alignment vertical="center"/>
      <protection locked="0"/>
    </xf>
    <xf numFmtId="0" fontId="3" fillId="0" borderId="0" xfId="0" applyFont="1" applyAlignment="1" applyProtection="1">
      <alignment vertical="center"/>
      <protection locked="0"/>
    </xf>
    <xf numFmtId="0" fontId="3" fillId="0" borderId="0" xfId="0" applyFont="1" applyAlignment="1" applyProtection="1">
      <alignment vertical="center" wrapText="1"/>
      <protection locked="0"/>
    </xf>
    <xf numFmtId="4" fontId="10" fillId="0" borderId="0" xfId="0" applyNumberFormat="1" applyFont="1" applyAlignment="1" applyProtection="1">
      <alignment horizontal="center"/>
      <protection locked="0"/>
    </xf>
    <xf numFmtId="0" fontId="3" fillId="0" borderId="9" xfId="0" applyFont="1" applyBorder="1" applyProtection="1">
      <protection locked="0"/>
    </xf>
    <xf numFmtId="4" fontId="3" fillId="5" borderId="6" xfId="0" applyNumberFormat="1" applyFont="1" applyFill="1" applyBorder="1" applyProtection="1">
      <protection locked="0"/>
    </xf>
    <xf numFmtId="4" fontId="3" fillId="2" borderId="6" xfId="0" applyNumberFormat="1" applyFont="1" applyFill="1" applyBorder="1" applyProtection="1">
      <protection locked="0"/>
    </xf>
    <xf numFmtId="4" fontId="3" fillId="7" borderId="6" xfId="0" applyNumberFormat="1" applyFont="1" applyFill="1" applyBorder="1" applyProtection="1">
      <protection locked="0"/>
    </xf>
    <xf numFmtId="0" fontId="10" fillId="0" borderId="0" xfId="0" applyFont="1" applyProtection="1">
      <protection locked="0"/>
    </xf>
    <xf numFmtId="0" fontId="3" fillId="0" borderId="0" xfId="0" quotePrefix="1" applyFont="1" applyAlignment="1" applyProtection="1">
      <alignment wrapText="1"/>
      <protection locked="0"/>
    </xf>
    <xf numFmtId="0" fontId="3" fillId="0" borderId="12" xfId="0" applyFont="1" applyBorder="1" applyAlignment="1" applyProtection="1">
      <alignment wrapText="1"/>
      <protection locked="0"/>
    </xf>
    <xf numFmtId="4" fontId="10" fillId="0" borderId="0" xfId="0" applyNumberFormat="1" applyFont="1" applyProtection="1">
      <protection locked="0"/>
    </xf>
    <xf numFmtId="0" fontId="0" fillId="0" borderId="0" xfId="0" applyAlignment="1" applyProtection="1">
      <alignment wrapText="1"/>
      <protection locked="0"/>
    </xf>
    <xf numFmtId="0" fontId="13" fillId="0" borderId="0" xfId="0" applyFont="1"/>
    <xf numFmtId="0" fontId="8" fillId="0" borderId="0" xfId="0" applyFont="1" applyAlignment="1" applyProtection="1">
      <alignment horizontal="center" vertical="center"/>
      <protection locked="0"/>
    </xf>
    <xf numFmtId="0" fontId="8" fillId="0" borderId="0" xfId="0" applyFont="1" applyAlignment="1" applyProtection="1">
      <alignment horizontal="center" vertical="center" wrapText="1"/>
      <protection locked="0"/>
    </xf>
    <xf numFmtId="3" fontId="8" fillId="0" borderId="0" xfId="0" applyNumberFormat="1" applyFont="1" applyAlignment="1" applyProtection="1">
      <alignment horizontal="center" vertical="center"/>
      <protection locked="0"/>
    </xf>
    <xf numFmtId="0" fontId="14" fillId="0" borderId="0" xfId="0" applyFont="1" applyAlignment="1" applyProtection="1">
      <alignment horizontal="center" vertical="center"/>
      <protection locked="0"/>
    </xf>
    <xf numFmtId="3" fontId="8" fillId="0" borderId="7" xfId="0" quotePrefix="1" applyNumberFormat="1" applyFont="1" applyBorder="1" applyAlignment="1" applyProtection="1">
      <alignment horizontal="center" vertical="center" wrapText="1"/>
      <protection locked="0"/>
    </xf>
    <xf numFmtId="3" fontId="3" fillId="0" borderId="8" xfId="0" applyNumberFormat="1" applyFont="1" applyBorder="1" applyAlignment="1" applyProtection="1">
      <alignment horizontal="center"/>
      <protection locked="0"/>
    </xf>
    <xf numFmtId="3" fontId="8" fillId="0" borderId="6" xfId="0" quotePrefix="1" applyNumberFormat="1" applyFont="1" applyBorder="1" applyAlignment="1" applyProtection="1">
      <alignment horizontal="center" wrapText="1"/>
      <protection locked="0"/>
    </xf>
    <xf numFmtId="3" fontId="3" fillId="0" borderId="8" xfId="0" applyNumberFormat="1" applyFont="1" applyBorder="1" applyAlignment="1" applyProtection="1">
      <alignment horizontal="center" wrapText="1"/>
      <protection locked="0"/>
    </xf>
    <xf numFmtId="0" fontId="15" fillId="0" borderId="0" xfId="0" applyFont="1"/>
    <xf numFmtId="3" fontId="13" fillId="0" borderId="0" xfId="0" applyNumberFormat="1" applyFont="1" applyAlignment="1">
      <alignment horizontal="right"/>
    </xf>
    <xf numFmtId="4" fontId="0" fillId="0" borderId="0" xfId="0" applyNumberFormat="1" applyAlignment="1">
      <alignment horizontal="right"/>
    </xf>
    <xf numFmtId="0" fontId="0" fillId="0" borderId="0" xfId="0" applyAlignment="1">
      <alignment horizontal="right"/>
    </xf>
    <xf numFmtId="10" fontId="0" fillId="0" borderId="0" xfId="0" applyNumberFormat="1" applyAlignment="1">
      <alignment horizontal="right"/>
    </xf>
    <xf numFmtId="3" fontId="0" fillId="0" borderId="0" xfId="0" applyNumberFormat="1"/>
    <xf numFmtId="3" fontId="0" fillId="0" borderId="0" xfId="0" applyNumberFormat="1" applyAlignment="1">
      <alignment horizontal="right"/>
    </xf>
    <xf numFmtId="0" fontId="0" fillId="0" borderId="6" xfId="0" applyBorder="1" applyAlignment="1" applyProtection="1">
      <alignment horizontal="center"/>
      <protection locked="0"/>
    </xf>
    <xf numFmtId="166" fontId="8" fillId="0" borderId="7" xfId="0" quotePrefix="1" applyNumberFormat="1" applyFont="1" applyBorder="1" applyAlignment="1" applyProtection="1">
      <alignment horizontal="center" vertical="center"/>
      <protection locked="0"/>
    </xf>
    <xf numFmtId="167" fontId="3" fillId="0" borderId="0" xfId="0" applyNumberFormat="1" applyFont="1" applyAlignment="1" applyProtection="1">
      <alignment wrapText="1"/>
      <protection locked="0"/>
    </xf>
    <xf numFmtId="167" fontId="8" fillId="0" borderId="7" xfId="0" quotePrefix="1" applyNumberFormat="1" applyFont="1" applyBorder="1" applyAlignment="1" applyProtection="1">
      <alignment horizontal="center" vertical="center" wrapText="1"/>
      <protection locked="0"/>
    </xf>
    <xf numFmtId="165" fontId="6" fillId="3" borderId="18" xfId="0" applyNumberFormat="1" applyFont="1" applyFill="1" applyBorder="1" applyAlignment="1" applyProtection="1">
      <alignment horizontal="center" wrapText="1"/>
      <protection locked="0"/>
    </xf>
    <xf numFmtId="4" fontId="9" fillId="0" borderId="23" xfId="0" applyNumberFormat="1" applyFont="1" applyBorder="1" applyProtection="1">
      <protection locked="0"/>
    </xf>
    <xf numFmtId="4" fontId="3" fillId="0" borderId="7" xfId="0" applyNumberFormat="1" applyFont="1" applyBorder="1" applyProtection="1">
      <protection locked="0"/>
    </xf>
    <xf numFmtId="4" fontId="3" fillId="0" borderId="7" xfId="0" applyNumberFormat="1" applyFont="1" applyBorder="1"/>
    <xf numFmtId="0" fontId="17" fillId="0" borderId="0" xfId="0" applyFont="1"/>
    <xf numFmtId="10" fontId="0" fillId="0" borderId="0" xfId="0" applyNumberFormat="1"/>
    <xf numFmtId="4" fontId="0" fillId="0" borderId="0" xfId="0" applyNumberFormat="1"/>
    <xf numFmtId="0" fontId="0" fillId="0" borderId="0" xfId="0" applyAlignment="1">
      <alignment wrapText="1"/>
    </xf>
    <xf numFmtId="0" fontId="18" fillId="0" borderId="0" xfId="0" applyFont="1"/>
    <xf numFmtId="0" fontId="12" fillId="0" borderId="0" xfId="0" applyFont="1" applyProtection="1">
      <protection locked="0"/>
    </xf>
    <xf numFmtId="0" fontId="9" fillId="0" borderId="0" xfId="0" applyFont="1" applyProtection="1">
      <protection locked="0"/>
    </xf>
    <xf numFmtId="164" fontId="9" fillId="0" borderId="0" xfId="0" applyNumberFormat="1" applyFont="1" applyAlignment="1" applyProtection="1">
      <alignment horizontal="center"/>
      <protection locked="0"/>
    </xf>
    <xf numFmtId="0" fontId="3" fillId="0" borderId="15" xfId="0" applyFont="1" applyBorder="1" applyAlignment="1" applyProtection="1">
      <alignment wrapText="1"/>
      <protection locked="0"/>
    </xf>
    <xf numFmtId="164" fontId="10" fillId="0" borderId="15" xfId="0" applyNumberFormat="1" applyFont="1" applyBorder="1" applyAlignment="1" applyProtection="1">
      <alignment horizontal="center"/>
      <protection locked="0"/>
    </xf>
    <xf numFmtId="4" fontId="10" fillId="0" borderId="10" xfId="0" applyNumberFormat="1" applyFont="1" applyBorder="1" applyAlignment="1" applyProtection="1">
      <alignment horizontal="center"/>
      <protection locked="0"/>
    </xf>
    <xf numFmtId="4" fontId="3" fillId="0" borderId="24" xfId="0" applyNumberFormat="1" applyFont="1" applyBorder="1" applyProtection="1">
      <protection locked="0"/>
    </xf>
    <xf numFmtId="0" fontId="19" fillId="0" borderId="0" xfId="0" applyFont="1" applyProtection="1">
      <protection locked="0"/>
    </xf>
    <xf numFmtId="4" fontId="3" fillId="0" borderId="0" xfId="0" applyNumberFormat="1" applyFont="1"/>
    <xf numFmtId="0" fontId="10" fillId="0" borderId="0" xfId="0" applyFont="1" applyAlignment="1" applyProtection="1">
      <alignment horizontal="center"/>
      <protection locked="0"/>
    </xf>
    <xf numFmtId="0" fontId="10" fillId="8" borderId="9" xfId="0" applyFont="1" applyFill="1" applyBorder="1" applyProtection="1">
      <protection locked="0"/>
    </xf>
    <xf numFmtId="0" fontId="10" fillId="8" borderId="15" xfId="0" applyFont="1" applyFill="1" applyBorder="1" applyProtection="1">
      <protection locked="0"/>
    </xf>
    <xf numFmtId="164" fontId="10" fillId="8" borderId="10" xfId="0" applyNumberFormat="1" applyFont="1" applyFill="1" applyBorder="1" applyAlignment="1" applyProtection="1">
      <alignment horizontal="center"/>
      <protection locked="0"/>
    </xf>
    <xf numFmtId="4" fontId="3" fillId="8" borderId="6" xfId="0" applyNumberFormat="1" applyFont="1" applyFill="1" applyBorder="1" applyProtection="1">
      <protection locked="0"/>
    </xf>
    <xf numFmtId="0" fontId="3" fillId="8" borderId="11" xfId="0" applyFont="1" applyFill="1" applyBorder="1" applyProtection="1">
      <protection locked="0"/>
    </xf>
    <xf numFmtId="0" fontId="3" fillId="8" borderId="0" xfId="0" applyFont="1" applyFill="1" applyProtection="1">
      <protection locked="0"/>
    </xf>
    <xf numFmtId="0" fontId="3" fillId="8" borderId="0" xfId="0" quotePrefix="1" applyFont="1" applyFill="1" applyAlignment="1" applyProtection="1">
      <alignment wrapText="1"/>
      <protection locked="0"/>
    </xf>
    <xf numFmtId="164" fontId="10" fillId="8" borderId="12" xfId="0" applyNumberFormat="1" applyFont="1" applyFill="1" applyBorder="1" applyAlignment="1" applyProtection="1">
      <alignment horizontal="center"/>
      <protection locked="0"/>
    </xf>
    <xf numFmtId="4" fontId="3" fillId="8" borderId="7" xfId="0" applyNumberFormat="1" applyFont="1" applyFill="1" applyBorder="1"/>
    <xf numFmtId="0" fontId="10" fillId="8" borderId="13" xfId="0" applyFont="1" applyFill="1" applyBorder="1" applyProtection="1">
      <protection locked="0"/>
    </xf>
    <xf numFmtId="0" fontId="10" fillId="8" borderId="16" xfId="0" applyFont="1" applyFill="1" applyBorder="1" applyProtection="1">
      <protection locked="0"/>
    </xf>
    <xf numFmtId="0" fontId="10" fillId="8" borderId="16" xfId="0" applyFont="1" applyFill="1" applyBorder="1" applyAlignment="1" applyProtection="1">
      <alignment wrapText="1"/>
      <protection locked="0"/>
    </xf>
    <xf numFmtId="0" fontId="10" fillId="8" borderId="14" xfId="0" applyFont="1" applyFill="1" applyBorder="1" applyAlignment="1" applyProtection="1">
      <alignment wrapText="1"/>
      <protection locked="0"/>
    </xf>
    <xf numFmtId="4" fontId="10" fillId="8" borderId="8" xfId="0" applyNumberFormat="1" applyFont="1" applyFill="1" applyBorder="1" applyProtection="1">
      <protection locked="0"/>
    </xf>
    <xf numFmtId="4" fontId="3" fillId="8" borderId="7" xfId="0" applyNumberFormat="1" applyFont="1" applyFill="1" applyBorder="1" applyProtection="1">
      <protection locked="0"/>
    </xf>
    <xf numFmtId="4" fontId="3" fillId="8" borderId="24" xfId="0" applyNumberFormat="1" applyFont="1" applyFill="1" applyBorder="1" applyProtection="1">
      <protection locked="0"/>
    </xf>
    <xf numFmtId="0" fontId="10" fillId="9" borderId="9" xfId="0" applyFont="1" applyFill="1" applyBorder="1" applyProtection="1">
      <protection locked="0"/>
    </xf>
    <xf numFmtId="0" fontId="10" fillId="9" borderId="15" xfId="0" applyFont="1" applyFill="1" applyBorder="1" applyProtection="1">
      <protection locked="0"/>
    </xf>
    <xf numFmtId="164" fontId="10" fillId="9" borderId="10" xfId="0" applyNumberFormat="1" applyFont="1" applyFill="1" applyBorder="1" applyAlignment="1" applyProtection="1">
      <alignment horizontal="center"/>
      <protection locked="0"/>
    </xf>
    <xf numFmtId="4" fontId="3" fillId="9" borderId="6" xfId="0" applyNumberFormat="1" applyFont="1" applyFill="1" applyBorder="1" applyProtection="1">
      <protection locked="0"/>
    </xf>
    <xf numFmtId="0" fontId="3" fillId="9" borderId="11" xfId="0" applyFont="1" applyFill="1" applyBorder="1" applyProtection="1">
      <protection locked="0"/>
    </xf>
    <xf numFmtId="0" fontId="3" fillId="9" borderId="0" xfId="0" applyFont="1" applyFill="1" applyProtection="1">
      <protection locked="0"/>
    </xf>
    <xf numFmtId="0" fontId="3" fillId="9" borderId="0" xfId="0" quotePrefix="1" applyFont="1" applyFill="1" applyAlignment="1" applyProtection="1">
      <alignment wrapText="1"/>
      <protection locked="0"/>
    </xf>
    <xf numFmtId="164" fontId="10" fillId="9" borderId="12" xfId="0" applyNumberFormat="1" applyFont="1" applyFill="1" applyBorder="1" applyAlignment="1" applyProtection="1">
      <alignment horizontal="center"/>
      <protection locked="0"/>
    </xf>
    <xf numFmtId="4" fontId="3" fillId="9" borderId="7" xfId="0" applyNumberFormat="1" applyFont="1" applyFill="1" applyBorder="1"/>
    <xf numFmtId="0" fontId="9" fillId="9" borderId="13" xfId="0" applyFont="1" applyFill="1" applyBorder="1" applyProtection="1">
      <protection locked="0"/>
    </xf>
    <xf numFmtId="0" fontId="9" fillId="9" borderId="16" xfId="0" applyFont="1" applyFill="1" applyBorder="1" applyProtection="1">
      <protection locked="0"/>
    </xf>
    <xf numFmtId="0" fontId="9" fillId="9" borderId="16" xfId="0" applyFont="1" applyFill="1" applyBorder="1" applyAlignment="1" applyProtection="1">
      <alignment wrapText="1"/>
      <protection locked="0"/>
    </xf>
    <xf numFmtId="0" fontId="9" fillId="9" borderId="14" xfId="0" applyFont="1" applyFill="1" applyBorder="1" applyAlignment="1" applyProtection="1">
      <alignment wrapText="1"/>
      <protection locked="0"/>
    </xf>
    <xf numFmtId="4" fontId="9" fillId="9" borderId="8" xfId="0" applyNumberFormat="1" applyFont="1" applyFill="1" applyBorder="1" applyProtection="1">
      <protection locked="0"/>
    </xf>
    <xf numFmtId="0" fontId="13" fillId="0" borderId="0" xfId="0" applyFont="1" applyProtection="1">
      <protection locked="0"/>
    </xf>
    <xf numFmtId="3" fontId="10" fillId="0" borderId="6" xfId="0" applyNumberFormat="1" applyFont="1" applyBorder="1" applyAlignment="1" applyProtection="1">
      <alignment horizontal="center" vertical="center" wrapText="1"/>
      <protection locked="0"/>
    </xf>
    <xf numFmtId="4" fontId="3" fillId="0" borderId="25" xfId="0" applyNumberFormat="1" applyFont="1" applyBorder="1" applyAlignment="1" applyProtection="1">
      <alignment wrapText="1"/>
      <protection locked="0"/>
    </xf>
    <xf numFmtId="4" fontId="3" fillId="0" borderId="26" xfId="0" applyNumberFormat="1" applyFont="1" applyBorder="1" applyAlignment="1" applyProtection="1">
      <alignment wrapText="1"/>
      <protection locked="0"/>
    </xf>
    <xf numFmtId="4" fontId="3" fillId="0" borderId="7" xfId="0" applyNumberFormat="1" applyFont="1" applyBorder="1" applyAlignment="1" applyProtection="1">
      <alignment wrapText="1"/>
      <protection locked="0"/>
    </xf>
    <xf numFmtId="4" fontId="3" fillId="0" borderId="8" xfId="0" applyNumberFormat="1" applyFont="1" applyBorder="1" applyAlignment="1" applyProtection="1">
      <alignment wrapText="1"/>
      <protection locked="0"/>
    </xf>
    <xf numFmtId="4" fontId="9" fillId="0" borderId="23" xfId="0" applyNumberFormat="1" applyFont="1" applyBorder="1" applyAlignment="1" applyProtection="1">
      <alignment wrapText="1"/>
      <protection locked="0"/>
    </xf>
    <xf numFmtId="3" fontId="9" fillId="0" borderId="23" xfId="0" applyNumberFormat="1" applyFont="1" applyBorder="1" applyAlignment="1" applyProtection="1">
      <alignment wrapText="1"/>
      <protection locked="0"/>
    </xf>
    <xf numFmtId="3" fontId="3" fillId="0" borderId="25" xfId="0" applyNumberFormat="1" applyFont="1" applyBorder="1" applyAlignment="1" applyProtection="1">
      <alignment wrapText="1"/>
      <protection locked="0"/>
    </xf>
    <xf numFmtId="3" fontId="3" fillId="0" borderId="26" xfId="0" applyNumberFormat="1" applyFont="1" applyBorder="1" applyAlignment="1" applyProtection="1">
      <alignment wrapText="1"/>
      <protection locked="0"/>
    </xf>
    <xf numFmtId="3" fontId="3" fillId="0" borderId="7" xfId="0" applyNumberFormat="1" applyFont="1" applyBorder="1" applyAlignment="1" applyProtection="1">
      <alignment wrapText="1"/>
      <protection locked="0"/>
    </xf>
    <xf numFmtId="3" fontId="3" fillId="0" borderId="8" xfId="0" applyNumberFormat="1" applyFont="1" applyBorder="1" applyAlignment="1" applyProtection="1">
      <alignment wrapText="1"/>
      <protection locked="0"/>
    </xf>
    <xf numFmtId="4" fontId="3" fillId="0" borderId="6" xfId="0" applyNumberFormat="1" applyFont="1" applyBorder="1" applyAlignment="1" applyProtection="1">
      <alignment wrapText="1"/>
      <protection locked="0"/>
    </xf>
    <xf numFmtId="3" fontId="3" fillId="0" borderId="6" xfId="0" applyNumberFormat="1" applyFont="1" applyBorder="1" applyAlignment="1" applyProtection="1">
      <alignment wrapText="1"/>
      <protection locked="0"/>
    </xf>
    <xf numFmtId="4" fontId="3" fillId="0" borderId="3" xfId="0" applyNumberFormat="1" applyFont="1" applyBorder="1" applyAlignment="1" applyProtection="1">
      <alignment wrapText="1"/>
      <protection locked="0"/>
    </xf>
    <xf numFmtId="4" fontId="10" fillId="0" borderId="0" xfId="0" applyNumberFormat="1" applyFont="1" applyAlignment="1" applyProtection="1">
      <alignment wrapText="1"/>
      <protection locked="0"/>
    </xf>
    <xf numFmtId="3" fontId="10" fillId="0" borderId="0" xfId="0" applyNumberFormat="1" applyFont="1" applyAlignment="1" applyProtection="1">
      <alignment wrapText="1"/>
      <protection locked="0"/>
    </xf>
    <xf numFmtId="0" fontId="11" fillId="0" borderId="7" xfId="0" applyFont="1" applyBorder="1" applyAlignment="1" applyProtection="1">
      <alignment wrapText="1"/>
      <protection locked="0"/>
    </xf>
    <xf numFmtId="0" fontId="13" fillId="0" borderId="18" xfId="0" applyFont="1" applyBorder="1" applyAlignment="1" applyProtection="1">
      <alignment vertical="center" wrapText="1"/>
      <protection locked="0"/>
    </xf>
    <xf numFmtId="0" fontId="0" fillId="0" borderId="6" xfId="0" applyBorder="1" applyAlignment="1" applyProtection="1">
      <alignment wrapText="1"/>
      <protection locked="0"/>
    </xf>
    <xf numFmtId="0" fontId="0" fillId="0" borderId="8" xfId="0" applyBorder="1" applyAlignment="1" applyProtection="1">
      <alignment wrapText="1"/>
      <protection locked="0"/>
    </xf>
    <xf numFmtId="0" fontId="11" fillId="0" borderId="6" xfId="0" applyFont="1" applyBorder="1" applyAlignment="1" applyProtection="1">
      <alignment wrapText="1"/>
      <protection locked="0"/>
    </xf>
    <xf numFmtId="0" fontId="11" fillId="0" borderId="8" xfId="0" applyFont="1" applyBorder="1" applyAlignment="1" applyProtection="1">
      <alignment wrapText="1"/>
      <protection locked="0"/>
    </xf>
    <xf numFmtId="0" fontId="11" fillId="0" borderId="0" xfId="0" applyFont="1" applyAlignment="1" applyProtection="1">
      <alignment wrapText="1"/>
      <protection locked="0"/>
    </xf>
    <xf numFmtId="0" fontId="19" fillId="0" borderId="0" xfId="0" applyFont="1" applyAlignment="1" applyProtection="1">
      <alignment wrapText="1"/>
      <protection locked="0"/>
    </xf>
    <xf numFmtId="0" fontId="13" fillId="0" borderId="0" xfId="0" applyFont="1" applyAlignment="1" applyProtection="1">
      <alignment wrapText="1"/>
      <protection locked="0"/>
    </xf>
    <xf numFmtId="0" fontId="15" fillId="0" borderId="0" xfId="0" applyFont="1" applyProtection="1">
      <protection locked="0"/>
    </xf>
    <xf numFmtId="0" fontId="13" fillId="0" borderId="0" xfId="0" applyFont="1" applyAlignment="1" applyProtection="1">
      <alignment horizontal="right"/>
      <protection locked="0"/>
    </xf>
    <xf numFmtId="3" fontId="13" fillId="0" borderId="0" xfId="0" applyNumberFormat="1" applyFont="1" applyProtection="1">
      <protection locked="0"/>
    </xf>
    <xf numFmtId="0" fontId="0" fillId="0" borderId="18" xfId="0" applyBorder="1" applyProtection="1">
      <protection locked="0"/>
    </xf>
    <xf numFmtId="0" fontId="20" fillId="10" borderId="9" xfId="0" applyFont="1" applyFill="1" applyBorder="1" applyProtection="1">
      <protection locked="0"/>
    </xf>
    <xf numFmtId="0" fontId="0" fillId="10" borderId="15" xfId="0" applyFill="1" applyBorder="1" applyProtection="1">
      <protection locked="0"/>
    </xf>
    <xf numFmtId="0" fontId="0" fillId="10" borderId="10" xfId="0" applyFill="1" applyBorder="1" applyProtection="1">
      <protection locked="0"/>
    </xf>
    <xf numFmtId="0" fontId="21" fillId="10" borderId="11" xfId="0" applyFont="1" applyFill="1" applyBorder="1" applyProtection="1">
      <protection locked="0"/>
    </xf>
    <xf numFmtId="0" fontId="0" fillId="10" borderId="0" xfId="0" applyFill="1" applyProtection="1">
      <protection locked="0"/>
    </xf>
    <xf numFmtId="0" fontId="0" fillId="10" borderId="12" xfId="0" applyFill="1" applyBorder="1" applyProtection="1">
      <protection locked="0"/>
    </xf>
    <xf numFmtId="0" fontId="21" fillId="10" borderId="13" xfId="0" applyFont="1" applyFill="1" applyBorder="1" applyProtection="1">
      <protection locked="0"/>
    </xf>
    <xf numFmtId="0" fontId="0" fillId="10" borderId="16" xfId="0" applyFill="1" applyBorder="1" applyProtection="1">
      <protection locked="0"/>
    </xf>
    <xf numFmtId="0" fontId="0" fillId="10" borderId="14" xfId="0" applyFill="1" applyBorder="1" applyProtection="1">
      <protection locked="0"/>
    </xf>
    <xf numFmtId="0" fontId="0" fillId="0" borderId="0" xfId="0" applyAlignment="1" applyProtection="1">
      <alignment horizontal="center"/>
      <protection locked="0"/>
    </xf>
    <xf numFmtId="0" fontId="0" fillId="0" borderId="0" xfId="0" applyAlignment="1" applyProtection="1">
      <alignment vertical="center"/>
      <protection locked="0"/>
    </xf>
    <xf numFmtId="3" fontId="13" fillId="0" borderId="0" xfId="0" applyNumberFormat="1" applyFont="1" applyAlignment="1" applyProtection="1">
      <alignment horizontal="right"/>
      <protection locked="0"/>
    </xf>
    <xf numFmtId="0" fontId="19" fillId="0" borderId="19" xfId="0" applyFont="1" applyBorder="1" applyAlignment="1" applyProtection="1">
      <alignment horizontal="left"/>
      <protection locked="0"/>
    </xf>
    <xf numFmtId="0" fontId="11" fillId="0" borderId="21" xfId="0" applyFont="1" applyBorder="1" applyAlignment="1" applyProtection="1">
      <alignment horizontal="left"/>
      <protection locked="0"/>
    </xf>
    <xf numFmtId="3" fontId="13" fillId="0" borderId="18" xfId="0" applyNumberFormat="1" applyFont="1" applyBorder="1" applyProtection="1">
      <protection locked="0"/>
    </xf>
    <xf numFmtId="3" fontId="11" fillId="0" borderId="0" xfId="0" applyNumberFormat="1" applyFont="1" applyAlignment="1" applyProtection="1">
      <alignment horizontal="center"/>
      <protection locked="0"/>
    </xf>
    <xf numFmtId="0" fontId="0" fillId="0" borderId="0" xfId="0" applyAlignment="1" applyProtection="1">
      <alignment horizontal="left"/>
      <protection locked="0"/>
    </xf>
    <xf numFmtId="14" fontId="0" fillId="0" borderId="0" xfId="0" applyNumberFormat="1" applyProtection="1">
      <protection locked="0"/>
    </xf>
    <xf numFmtId="10" fontId="3" fillId="0" borderId="0" xfId="1" applyNumberFormat="1"/>
    <xf numFmtId="0" fontId="3" fillId="0" borderId="0" xfId="1"/>
    <xf numFmtId="0" fontId="3" fillId="0" borderId="0" xfId="1" applyAlignment="1">
      <alignment wrapText="1"/>
    </xf>
    <xf numFmtId="0" fontId="23" fillId="0" borderId="27" xfId="1" applyFont="1" applyBorder="1" applyAlignment="1">
      <alignment horizontal="center" vertical="center"/>
    </xf>
    <xf numFmtId="0" fontId="3" fillId="0" borderId="0" xfId="1" applyAlignment="1">
      <alignment horizontal="center"/>
    </xf>
    <xf numFmtId="0" fontId="22" fillId="0" borderId="8" xfId="1" applyFont="1" applyBorder="1" applyAlignment="1">
      <alignment vertical="center"/>
    </xf>
    <xf numFmtId="10" fontId="22" fillId="0" borderId="14" xfId="1" applyNumberFormat="1" applyFont="1" applyBorder="1" applyAlignment="1">
      <alignment horizontal="right" vertical="center"/>
    </xf>
    <xf numFmtId="0" fontId="23" fillId="0" borderId="16" xfId="1" applyFont="1" applyBorder="1" applyAlignment="1">
      <alignment horizontal="center" vertical="center"/>
    </xf>
    <xf numFmtId="0" fontId="22" fillId="0" borderId="12" xfId="1" applyFont="1" applyBorder="1" applyAlignment="1">
      <alignment horizontal="center" vertical="center"/>
    </xf>
    <xf numFmtId="0" fontId="22" fillId="0" borderId="14" xfId="1" applyFont="1" applyBorder="1" applyAlignment="1">
      <alignment horizontal="center" vertical="center"/>
    </xf>
    <xf numFmtId="0" fontId="22" fillId="0" borderId="8" xfId="1" applyFont="1" applyBorder="1" applyAlignment="1">
      <alignment horizontal="left" vertical="center"/>
    </xf>
    <xf numFmtId="10" fontId="22" fillId="0" borderId="14" xfId="1" applyNumberFormat="1" applyFont="1" applyBorder="1" applyAlignment="1">
      <alignment horizontal="center" vertical="center"/>
    </xf>
    <xf numFmtId="0" fontId="25" fillId="0" borderId="0" xfId="1" applyFont="1" applyAlignment="1">
      <alignment horizontal="left"/>
    </xf>
    <xf numFmtId="0" fontId="26" fillId="0" borderId="0" xfId="2" applyFont="1" applyAlignment="1">
      <alignment horizontal="left"/>
    </xf>
    <xf numFmtId="0" fontId="23" fillId="0" borderId="0" xfId="1" applyFont="1" applyAlignment="1">
      <alignment horizontal="center" vertical="center"/>
    </xf>
    <xf numFmtId="0" fontId="22" fillId="0" borderId="0" xfId="1" applyFont="1" applyAlignment="1">
      <alignment horizontal="center" vertical="center"/>
    </xf>
    <xf numFmtId="0" fontId="22" fillId="0" borderId="15" xfId="1" applyFont="1" applyBorder="1" applyAlignment="1">
      <alignment horizontal="center" vertical="center"/>
    </xf>
    <xf numFmtId="10" fontId="22" fillId="0" borderId="15" xfId="1" applyNumberFormat="1" applyFont="1" applyBorder="1" applyAlignment="1">
      <alignment horizontal="right" vertical="center"/>
    </xf>
    <xf numFmtId="0" fontId="22" fillId="0" borderId="13" xfId="1" applyFont="1" applyBorder="1" applyAlignment="1">
      <alignment horizontal="center" vertical="center"/>
    </xf>
    <xf numFmtId="10" fontId="22" fillId="0" borderId="16" xfId="1" applyNumberFormat="1" applyFont="1" applyBorder="1" applyAlignment="1">
      <alignment horizontal="right" vertical="center"/>
    </xf>
    <xf numFmtId="0" fontId="22" fillId="0" borderId="16" xfId="1" applyFont="1" applyBorder="1" applyAlignment="1">
      <alignment horizontal="left" vertical="center"/>
    </xf>
    <xf numFmtId="0" fontId="3" fillId="0" borderId="16" xfId="1" applyBorder="1" applyAlignment="1">
      <alignment horizontal="center"/>
    </xf>
    <xf numFmtId="0" fontId="27" fillId="11" borderId="0" xfId="0" applyFont="1" applyFill="1"/>
    <xf numFmtId="0" fontId="28" fillId="11" borderId="0" xfId="0" applyFont="1" applyFill="1"/>
    <xf numFmtId="0" fontId="0" fillId="3" borderId="18" xfId="0" applyFill="1" applyBorder="1" applyProtection="1">
      <protection locked="0"/>
    </xf>
    <xf numFmtId="3" fontId="0" fillId="3" borderId="18" xfId="0" applyNumberFormat="1" applyFill="1" applyBorder="1" applyProtection="1">
      <protection locked="0"/>
    </xf>
    <xf numFmtId="3" fontId="13" fillId="3" borderId="18" xfId="0" applyNumberFormat="1" applyFont="1" applyFill="1" applyBorder="1" applyProtection="1">
      <protection locked="0"/>
    </xf>
    <xf numFmtId="14" fontId="0" fillId="3" borderId="18" xfId="0" applyNumberFormat="1" applyFill="1" applyBorder="1" applyAlignment="1" applyProtection="1">
      <alignment horizontal="center"/>
      <protection locked="0"/>
    </xf>
    <xf numFmtId="0" fontId="3" fillId="0" borderId="0" xfId="0" applyFont="1"/>
    <xf numFmtId="0" fontId="5" fillId="0" borderId="0" xfId="0" applyFont="1" applyAlignment="1">
      <alignment wrapText="1"/>
    </xf>
    <xf numFmtId="168" fontId="3" fillId="0" borderId="0" xfId="0" applyNumberFormat="1" applyFont="1"/>
    <xf numFmtId="0" fontId="10" fillId="0" borderId="0" xfId="0" applyFont="1"/>
    <xf numFmtId="0" fontId="30" fillId="0" borderId="0" xfId="0" applyFont="1"/>
    <xf numFmtId="0" fontId="4" fillId="0" borderId="0" xfId="0" applyFont="1" applyAlignment="1">
      <alignment horizontal="right" wrapText="1"/>
    </xf>
    <xf numFmtId="0" fontId="4" fillId="0" borderId="0" xfId="0" applyFont="1" applyAlignment="1">
      <alignment horizontal="right"/>
    </xf>
    <xf numFmtId="0" fontId="31" fillId="0" borderId="0" xfId="0" applyFont="1"/>
    <xf numFmtId="0" fontId="13" fillId="0" borderId="0" xfId="0" applyFont="1" applyAlignment="1">
      <alignment horizontal="right"/>
    </xf>
    <xf numFmtId="0" fontId="0" fillId="0" borderId="0" xfId="0" applyAlignment="1">
      <alignment vertical="top"/>
    </xf>
    <xf numFmtId="3" fontId="10" fillId="0" borderId="6" xfId="0" applyNumberFormat="1" applyFont="1" applyBorder="1" applyAlignment="1" applyProtection="1">
      <alignment horizontal="center" vertical="center"/>
      <protection locked="0"/>
    </xf>
    <xf numFmtId="4" fontId="3" fillId="0" borderId="26" xfId="0" applyNumberFormat="1" applyFont="1" applyBorder="1" applyProtection="1">
      <protection locked="0"/>
    </xf>
    <xf numFmtId="0" fontId="13" fillId="0" borderId="0" xfId="0" applyFont="1" applyAlignment="1" applyProtection="1">
      <alignment horizontal="center"/>
      <protection locked="0"/>
    </xf>
    <xf numFmtId="0" fontId="13" fillId="0" borderId="0" xfId="0" applyFont="1" applyAlignment="1" applyProtection="1">
      <alignment horizontal="center" vertical="center"/>
      <protection locked="0"/>
    </xf>
    <xf numFmtId="10" fontId="22" fillId="0" borderId="14" xfId="0" applyNumberFormat="1" applyFont="1" applyBorder="1" applyAlignment="1">
      <alignment horizontal="right" vertical="center"/>
    </xf>
    <xf numFmtId="0" fontId="33" fillId="14" borderId="18" xfId="0" applyFont="1" applyFill="1" applyBorder="1"/>
    <xf numFmtId="0" fontId="34" fillId="0" borderId="0" xfId="0" applyFont="1"/>
    <xf numFmtId="0" fontId="34" fillId="7" borderId="18" xfId="0" applyFont="1" applyFill="1" applyBorder="1"/>
    <xf numFmtId="1" fontId="35" fillId="0" borderId="18" xfId="0" applyNumberFormat="1" applyFont="1" applyBorder="1" applyProtection="1">
      <protection locked="0"/>
    </xf>
    <xf numFmtId="0" fontId="34" fillId="7" borderId="18" xfId="0" applyFont="1" applyFill="1" applyBorder="1" applyAlignment="1">
      <alignment horizontal="center"/>
    </xf>
    <xf numFmtId="0" fontId="33" fillId="14" borderId="29" xfId="0" applyFont="1" applyFill="1" applyBorder="1" applyAlignment="1">
      <alignment horizontal="centerContinuous"/>
    </xf>
    <xf numFmtId="0" fontId="33" fillId="14" borderId="30" xfId="0" applyFont="1" applyFill="1" applyBorder="1" applyAlignment="1">
      <alignment horizontal="centerContinuous"/>
    </xf>
    <xf numFmtId="0" fontId="36" fillId="7" borderId="18" xfId="0" applyFont="1" applyFill="1" applyBorder="1"/>
    <xf numFmtId="169" fontId="34" fillId="0" borderId="0" xfId="0" applyNumberFormat="1" applyFont="1"/>
    <xf numFmtId="170" fontId="34" fillId="7" borderId="18" xfId="0" applyNumberFormat="1" applyFont="1" applyFill="1" applyBorder="1"/>
    <xf numFmtId="171" fontId="34" fillId="7" borderId="18" xfId="0" applyNumberFormat="1" applyFont="1" applyFill="1" applyBorder="1"/>
    <xf numFmtId="1" fontId="34" fillId="7" borderId="18" xfId="0" applyNumberFormat="1" applyFont="1" applyFill="1" applyBorder="1"/>
    <xf numFmtId="2" fontId="34" fillId="7" borderId="18" xfId="0" applyNumberFormat="1" applyFont="1" applyFill="1" applyBorder="1"/>
    <xf numFmtId="0" fontId="34" fillId="7" borderId="29" xfId="0" applyFont="1" applyFill="1" applyBorder="1"/>
    <xf numFmtId="170" fontId="35" fillId="0" borderId="18" xfId="0" applyNumberFormat="1" applyFont="1" applyBorder="1" applyProtection="1">
      <protection locked="0"/>
    </xf>
    <xf numFmtId="169" fontId="35" fillId="0" borderId="18" xfId="0" applyNumberFormat="1" applyFont="1" applyBorder="1" applyProtection="1">
      <protection locked="0"/>
    </xf>
    <xf numFmtId="169" fontId="34" fillId="7" borderId="18" xfId="0" applyNumberFormat="1" applyFont="1" applyFill="1" applyBorder="1"/>
    <xf numFmtId="0" fontId="34" fillId="7" borderId="20" xfId="0" applyFont="1" applyFill="1" applyBorder="1"/>
    <xf numFmtId="0" fontId="34" fillId="7" borderId="44" xfId="0" applyFont="1" applyFill="1" applyBorder="1"/>
    <xf numFmtId="6" fontId="34" fillId="7" borderId="18" xfId="0" applyNumberFormat="1" applyFont="1" applyFill="1" applyBorder="1"/>
    <xf numFmtId="0" fontId="37" fillId="0" borderId="0" xfId="0" applyFont="1"/>
    <xf numFmtId="6" fontId="36" fillId="7" borderId="18" xfId="0" applyNumberFormat="1" applyFont="1" applyFill="1" applyBorder="1"/>
    <xf numFmtId="0" fontId="37" fillId="0" borderId="0" xfId="0" applyFont="1" applyAlignment="1">
      <alignment horizontal="left" vertical="center"/>
    </xf>
    <xf numFmtId="172" fontId="35" fillId="0" borderId="18" xfId="0" applyNumberFormat="1" applyFont="1" applyBorder="1" applyProtection="1">
      <protection locked="0"/>
    </xf>
    <xf numFmtId="0" fontId="34" fillId="5" borderId="18" xfId="0" applyFont="1" applyFill="1" applyBorder="1"/>
    <xf numFmtId="10" fontId="34" fillId="5" borderId="18" xfId="0" applyNumberFormat="1" applyFont="1" applyFill="1" applyBorder="1"/>
    <xf numFmtId="0" fontId="34" fillId="7" borderId="18" xfId="0" applyFont="1" applyFill="1" applyBorder="1" applyAlignment="1">
      <alignment horizontal="left"/>
    </xf>
    <xf numFmtId="169" fontId="34" fillId="7" borderId="18" xfId="0" applyNumberFormat="1" applyFont="1" applyFill="1" applyBorder="1" applyAlignment="1">
      <alignment horizontal="center"/>
    </xf>
    <xf numFmtId="173" fontId="34" fillId="7" borderId="18" xfId="0" applyNumberFormat="1" applyFont="1" applyFill="1" applyBorder="1" applyAlignment="1">
      <alignment horizontal="center"/>
    </xf>
    <xf numFmtId="174" fontId="34" fillId="7" borderId="18" xfId="0" applyNumberFormat="1" applyFont="1" applyFill="1" applyBorder="1" applyAlignment="1">
      <alignment horizontal="center"/>
    </xf>
    <xf numFmtId="175" fontId="34" fillId="7" borderId="18" xfId="0" applyNumberFormat="1" applyFont="1" applyFill="1" applyBorder="1" applyAlignment="1">
      <alignment horizontal="center"/>
    </xf>
    <xf numFmtId="0" fontId="33" fillId="15" borderId="0" xfId="0" applyFont="1" applyFill="1" applyAlignment="1">
      <alignment horizontal="centerContinuous"/>
    </xf>
    <xf numFmtId="4" fontId="34" fillId="7" borderId="18" xfId="0" applyNumberFormat="1" applyFont="1" applyFill="1" applyBorder="1" applyAlignment="1">
      <alignment horizontal="center"/>
    </xf>
    <xf numFmtId="0" fontId="34" fillId="16" borderId="45" xfId="0" applyFont="1" applyFill="1" applyBorder="1" applyAlignment="1">
      <alignment horizontal="centerContinuous" wrapText="1"/>
    </xf>
    <xf numFmtId="0" fontId="34" fillId="16" borderId="46" xfId="0" applyFont="1" applyFill="1" applyBorder="1" applyAlignment="1">
      <alignment horizontal="centerContinuous" wrapText="1"/>
    </xf>
    <xf numFmtId="9" fontId="34" fillId="7" borderId="18" xfId="0" applyNumberFormat="1" applyFont="1" applyFill="1" applyBorder="1" applyAlignment="1">
      <alignment horizontal="center"/>
    </xf>
    <xf numFmtId="176" fontId="34" fillId="7" borderId="18" xfId="0" applyNumberFormat="1" applyFont="1" applyFill="1" applyBorder="1" applyAlignment="1">
      <alignment horizontal="center"/>
    </xf>
    <xf numFmtId="177" fontId="34" fillId="7" borderId="18" xfId="0" applyNumberFormat="1" applyFont="1" applyFill="1" applyBorder="1" applyAlignment="1">
      <alignment horizontal="center"/>
    </xf>
    <xf numFmtId="170" fontId="34" fillId="7" borderId="18" xfId="0" applyNumberFormat="1" applyFont="1" applyFill="1" applyBorder="1" applyAlignment="1">
      <alignment horizontal="center"/>
    </xf>
    <xf numFmtId="0" fontId="34" fillId="7" borderId="45" xfId="0" applyFont="1" applyFill="1" applyBorder="1" applyAlignment="1">
      <alignment horizontal="left"/>
    </xf>
    <xf numFmtId="170" fontId="34" fillId="7" borderId="45" xfId="0" applyNumberFormat="1" applyFont="1" applyFill="1" applyBorder="1" applyAlignment="1">
      <alignment horizontal="center"/>
    </xf>
    <xf numFmtId="0" fontId="33" fillId="17" borderId="34" xfId="0" applyFont="1" applyFill="1" applyBorder="1" applyAlignment="1">
      <alignment horizontal="centerContinuous"/>
    </xf>
    <xf numFmtId="0" fontId="34" fillId="18" borderId="18" xfId="0" applyFont="1" applyFill="1" applyBorder="1"/>
    <xf numFmtId="1" fontId="34" fillId="18" borderId="18" xfId="0" applyNumberFormat="1" applyFont="1" applyFill="1" applyBorder="1"/>
    <xf numFmtId="0" fontId="34" fillId="10" borderId="29" xfId="0" applyFont="1" applyFill="1" applyBorder="1" applyAlignment="1">
      <alignment horizontal="centerContinuous" vertical="center" wrapText="1"/>
    </xf>
    <xf numFmtId="0" fontId="34" fillId="10" borderId="30" xfId="0" applyFont="1" applyFill="1" applyBorder="1" applyAlignment="1">
      <alignment horizontal="centerContinuous" vertical="center" wrapText="1"/>
    </xf>
    <xf numFmtId="0" fontId="34" fillId="10" borderId="31" xfId="0" applyFont="1" applyFill="1" applyBorder="1" applyAlignment="1">
      <alignment horizontal="centerContinuous" vertical="center" wrapText="1"/>
    </xf>
    <xf numFmtId="0" fontId="34" fillId="2" borderId="18" xfId="0" applyFont="1" applyFill="1" applyBorder="1"/>
    <xf numFmtId="0" fontId="35" fillId="0" borderId="18" xfId="0" applyFont="1" applyBorder="1" applyProtection="1">
      <protection locked="0"/>
    </xf>
    <xf numFmtId="0" fontId="34" fillId="10" borderId="33" xfId="0" applyFont="1" applyFill="1" applyBorder="1" applyAlignment="1">
      <alignment vertical="center" wrapText="1"/>
    </xf>
    <xf numFmtId="0" fontId="34" fillId="10" borderId="34" xfId="0" applyFont="1" applyFill="1" applyBorder="1" applyAlignment="1">
      <alignment vertical="center" wrapText="1"/>
    </xf>
    <xf numFmtId="0" fontId="34" fillId="10" borderId="35" xfId="0" applyFont="1" applyFill="1" applyBorder="1" applyAlignment="1">
      <alignment vertical="center" wrapText="1"/>
    </xf>
    <xf numFmtId="0" fontId="34" fillId="18" borderId="18" xfId="0" applyFont="1" applyFill="1" applyBorder="1" applyAlignment="1">
      <alignment wrapText="1"/>
    </xf>
    <xf numFmtId="0" fontId="34" fillId="18" borderId="18" xfId="0" applyFont="1" applyFill="1" applyBorder="1" applyAlignment="1">
      <alignment horizontal="center" vertical="center" wrapText="1"/>
    </xf>
    <xf numFmtId="0" fontId="34" fillId="18" borderId="18" xfId="0" applyFont="1" applyFill="1" applyBorder="1" applyAlignment="1">
      <alignment horizontal="center" wrapText="1"/>
    </xf>
    <xf numFmtId="0" fontId="34" fillId="18" borderId="0" xfId="0" applyFont="1" applyFill="1" applyAlignment="1">
      <alignment horizontal="center" wrapText="1"/>
    </xf>
    <xf numFmtId="0" fontId="34" fillId="19" borderId="18" xfId="0" applyFont="1" applyFill="1" applyBorder="1" applyAlignment="1">
      <alignment horizontal="centerContinuous"/>
    </xf>
    <xf numFmtId="0" fontId="34" fillId="20" borderId="19" xfId="0" applyFont="1" applyFill="1" applyBorder="1"/>
    <xf numFmtId="0" fontId="34" fillId="20" borderId="21" xfId="0" applyFont="1" applyFill="1" applyBorder="1"/>
    <xf numFmtId="2" fontId="34" fillId="20" borderId="18" xfId="0" applyNumberFormat="1" applyFont="1" applyFill="1" applyBorder="1"/>
    <xf numFmtId="0" fontId="34" fillId="16" borderId="19" xfId="0" applyFont="1" applyFill="1" applyBorder="1"/>
    <xf numFmtId="0" fontId="34" fillId="16" borderId="21" xfId="0" applyFont="1" applyFill="1" applyBorder="1"/>
    <xf numFmtId="178" fontId="35" fillId="0" borderId="18" xfId="0" applyNumberFormat="1" applyFont="1" applyBorder="1" applyProtection="1">
      <protection locked="0"/>
    </xf>
    <xf numFmtId="0" fontId="34" fillId="16" borderId="18" xfId="0" applyFont="1" applyFill="1" applyBorder="1" applyAlignment="1">
      <alignment horizontal="centerContinuous" vertical="center"/>
    </xf>
    <xf numFmtId="170" fontId="34" fillId="16" borderId="29" xfId="0" applyNumberFormat="1" applyFont="1" applyFill="1" applyBorder="1"/>
    <xf numFmtId="2" fontId="34" fillId="20" borderId="29" xfId="0" applyNumberFormat="1" applyFont="1" applyFill="1" applyBorder="1"/>
    <xf numFmtId="0" fontId="36" fillId="19" borderId="45" xfId="0" applyFont="1" applyFill="1" applyBorder="1" applyAlignment="1">
      <alignment vertical="center"/>
    </xf>
    <xf numFmtId="2" fontId="36" fillId="19" borderId="45" xfId="0" applyNumberFormat="1" applyFont="1" applyFill="1" applyBorder="1" applyAlignment="1">
      <alignment vertical="center"/>
    </xf>
    <xf numFmtId="0" fontId="34" fillId="19" borderId="45" xfId="0" applyFont="1" applyFill="1" applyBorder="1" applyAlignment="1">
      <alignment horizontal="center" vertical="center" wrapText="1"/>
    </xf>
    <xf numFmtId="0" fontId="34" fillId="19" borderId="29" xfId="0" applyFont="1" applyFill="1" applyBorder="1" applyAlignment="1">
      <alignment horizontal="centerContinuous" vertical="center" wrapText="1"/>
    </xf>
    <xf numFmtId="0" fontId="34" fillId="19" borderId="30" xfId="0" applyFont="1" applyFill="1" applyBorder="1" applyAlignment="1">
      <alignment horizontal="centerContinuous" vertical="center" wrapText="1"/>
    </xf>
    <xf numFmtId="0" fontId="34" fillId="19" borderId="31" xfId="0" applyFont="1" applyFill="1" applyBorder="1" applyAlignment="1">
      <alignment horizontal="centerContinuous" vertical="center" wrapText="1"/>
    </xf>
    <xf numFmtId="0" fontId="36" fillId="19" borderId="47" xfId="0" applyFont="1" applyFill="1" applyBorder="1" applyAlignment="1">
      <alignment vertical="center"/>
    </xf>
    <xf numFmtId="2" fontId="36" fillId="19" borderId="47" xfId="0" applyNumberFormat="1" applyFont="1" applyFill="1" applyBorder="1" applyAlignment="1">
      <alignment vertical="center"/>
    </xf>
    <xf numFmtId="0" fontId="34" fillId="19" borderId="47" xfId="0" applyFont="1" applyFill="1" applyBorder="1" applyAlignment="1">
      <alignment horizontal="center" vertical="center" wrapText="1"/>
    </xf>
    <xf numFmtId="0" fontId="34" fillId="19" borderId="32" xfId="0" applyFont="1" applyFill="1" applyBorder="1" applyAlignment="1">
      <alignment horizontal="centerContinuous" vertical="center" wrapText="1"/>
    </xf>
    <xf numFmtId="0" fontId="34" fillId="19" borderId="0" xfId="0" applyFont="1" applyFill="1" applyAlignment="1">
      <alignment horizontal="centerContinuous" vertical="center" wrapText="1"/>
    </xf>
    <xf numFmtId="0" fontId="34" fillId="19" borderId="22" xfId="0" applyFont="1" applyFill="1" applyBorder="1" applyAlignment="1">
      <alignment horizontal="centerContinuous" vertical="center" wrapText="1"/>
    </xf>
    <xf numFmtId="0" fontId="36" fillId="19" borderId="46" xfId="0" applyFont="1" applyFill="1" applyBorder="1" applyAlignment="1">
      <alignment vertical="center"/>
    </xf>
    <xf numFmtId="2" fontId="36" fillId="19" borderId="46" xfId="0" applyNumberFormat="1" applyFont="1" applyFill="1" applyBorder="1" applyAlignment="1">
      <alignment vertical="center"/>
    </xf>
    <xf numFmtId="0" fontId="34" fillId="19" borderId="46" xfId="0" applyFont="1" applyFill="1" applyBorder="1" applyAlignment="1">
      <alignment horizontal="center" vertical="center" wrapText="1"/>
    </xf>
    <xf numFmtId="0" fontId="34" fillId="19" borderId="33" xfId="0" applyFont="1" applyFill="1" applyBorder="1" applyAlignment="1">
      <alignment horizontal="centerContinuous" vertical="center" wrapText="1"/>
    </xf>
    <xf numFmtId="0" fontId="34" fillId="19" borderId="34" xfId="0" applyFont="1" applyFill="1" applyBorder="1" applyAlignment="1">
      <alignment horizontal="centerContinuous" vertical="center" wrapText="1"/>
    </xf>
    <xf numFmtId="0" fontId="34" fillId="19" borderId="35" xfId="0" applyFont="1" applyFill="1" applyBorder="1" applyAlignment="1">
      <alignment horizontal="centerContinuous" vertical="center" wrapText="1"/>
    </xf>
    <xf numFmtId="170" fontId="34" fillId="19" borderId="18" xfId="0" applyNumberFormat="1" applyFont="1" applyFill="1" applyBorder="1"/>
    <xf numFmtId="0" fontId="34" fillId="19" borderId="46" xfId="0" applyFont="1" applyFill="1" applyBorder="1" applyAlignment="1">
      <alignment horizontal="centerContinuous"/>
    </xf>
    <xf numFmtId="0" fontId="34" fillId="19" borderId="18" xfId="0" applyFont="1" applyFill="1" applyBorder="1"/>
    <xf numFmtId="0" fontId="24" fillId="0" borderId="0" xfId="2" applyAlignment="1">
      <alignment horizontal="left"/>
    </xf>
    <xf numFmtId="0" fontId="0" fillId="3" borderId="19" xfId="0" applyFill="1" applyBorder="1" applyAlignment="1" applyProtection="1">
      <alignment horizontal="left"/>
      <protection locked="0"/>
    </xf>
    <xf numFmtId="0" fontId="0" fillId="3" borderId="20" xfId="0" applyFill="1" applyBorder="1" applyAlignment="1" applyProtection="1">
      <alignment horizontal="left"/>
      <protection locked="0"/>
    </xf>
    <xf numFmtId="0" fontId="0" fillId="3" borderId="21" xfId="0" applyFill="1" applyBorder="1" applyAlignment="1" applyProtection="1">
      <alignment horizontal="left"/>
      <protection locked="0"/>
    </xf>
    <xf numFmtId="0" fontId="0" fillId="6" borderId="18" xfId="0" applyFill="1" applyBorder="1" applyProtection="1">
      <protection locked="0"/>
    </xf>
    <xf numFmtId="0" fontId="21" fillId="10" borderId="0" xfId="0" applyFont="1" applyFill="1" applyProtection="1">
      <protection locked="0"/>
    </xf>
    <xf numFmtId="3" fontId="13" fillId="0" borderId="29" xfId="0" applyNumberFormat="1" applyFont="1" applyBorder="1" applyAlignment="1" applyProtection="1">
      <alignment horizontal="right"/>
      <protection locked="0"/>
    </xf>
    <xf numFmtId="3" fontId="13" fillId="0" borderId="30" xfId="0" applyNumberFormat="1" applyFont="1" applyBorder="1" applyAlignment="1" applyProtection="1">
      <alignment horizontal="right"/>
      <protection locked="0"/>
    </xf>
    <xf numFmtId="3" fontId="13" fillId="0" borderId="31" xfId="0" applyNumberFormat="1" applyFont="1" applyBorder="1" applyAlignment="1" applyProtection="1">
      <alignment horizontal="right"/>
      <protection locked="0"/>
    </xf>
    <xf numFmtId="0" fontId="0" fillId="0" borderId="32" xfId="0" applyBorder="1" applyProtection="1">
      <protection locked="0"/>
    </xf>
    <xf numFmtId="0" fontId="0" fillId="0" borderId="22" xfId="0" applyBorder="1" applyProtection="1">
      <protection locked="0"/>
    </xf>
    <xf numFmtId="3" fontId="0" fillId="0" borderId="33" xfId="0" applyNumberFormat="1" applyBorder="1" applyProtection="1">
      <protection locked="0"/>
    </xf>
    <xf numFmtId="3" fontId="0" fillId="0" borderId="34" xfId="0" applyNumberFormat="1" applyBorder="1" applyProtection="1">
      <protection locked="0"/>
    </xf>
    <xf numFmtId="3" fontId="0" fillId="0" borderId="35" xfId="0" applyNumberFormat="1" applyBorder="1" applyProtection="1">
      <protection locked="0"/>
    </xf>
    <xf numFmtId="0" fontId="0" fillId="0" borderId="34" xfId="0" applyBorder="1" applyAlignment="1" applyProtection="1">
      <alignment horizontal="left"/>
      <protection locked="0"/>
    </xf>
    <xf numFmtId="0" fontId="3" fillId="0" borderId="0" xfId="1" applyProtection="1">
      <protection locked="0"/>
    </xf>
    <xf numFmtId="0" fontId="10" fillId="0" borderId="0" xfId="1" applyFont="1" applyAlignment="1" applyProtection="1">
      <alignment wrapText="1"/>
      <protection locked="0"/>
    </xf>
    <xf numFmtId="0" fontId="3" fillId="0" borderId="0" xfId="1" applyAlignment="1" applyProtection="1">
      <alignment wrapText="1"/>
      <protection locked="0"/>
    </xf>
    <xf numFmtId="10" fontId="22" fillId="0" borderId="23" xfId="1" applyNumberFormat="1" applyFont="1" applyBorder="1" applyAlignment="1">
      <alignment horizontal="center" vertical="center"/>
    </xf>
    <xf numFmtId="10" fontId="22" fillId="0" borderId="23" xfId="1" applyNumberFormat="1" applyFont="1" applyBorder="1" applyAlignment="1">
      <alignment horizontal="center" vertical="center" wrapText="1"/>
    </xf>
    <xf numFmtId="0" fontId="0" fillId="0" borderId="0" xfId="0" applyAlignment="1">
      <alignment horizontal="left" wrapText="1"/>
    </xf>
    <xf numFmtId="0" fontId="24" fillId="0" borderId="0" xfId="2"/>
    <xf numFmtId="4" fontId="37" fillId="0" borderId="0" xfId="0" applyNumberFormat="1" applyFont="1"/>
    <xf numFmtId="4" fontId="36" fillId="0" borderId="0" xfId="0" applyNumberFormat="1" applyFont="1"/>
    <xf numFmtId="4" fontId="37" fillId="0" borderId="0" xfId="0" applyNumberFormat="1" applyFont="1" applyAlignment="1">
      <alignment horizontal="center"/>
    </xf>
    <xf numFmtId="179" fontId="37" fillId="0" borderId="0" xfId="0" applyNumberFormat="1" applyFont="1"/>
    <xf numFmtId="4" fontId="36" fillId="0" borderId="0" xfId="0" applyNumberFormat="1" applyFont="1" applyAlignment="1">
      <alignment horizontal="center" vertical="center" wrapText="1"/>
    </xf>
    <xf numFmtId="4" fontId="36" fillId="0" borderId="18" xfId="0" applyNumberFormat="1" applyFont="1" applyBorder="1" applyAlignment="1">
      <alignment horizontal="center" vertical="center" wrapText="1"/>
    </xf>
    <xf numFmtId="4" fontId="36" fillId="0" borderId="45" xfId="0" applyNumberFormat="1" applyFont="1" applyBorder="1" applyAlignment="1">
      <alignment horizontal="center" vertical="center" wrapText="1"/>
    </xf>
    <xf numFmtId="179" fontId="36" fillId="0" borderId="0" xfId="0" applyNumberFormat="1" applyFont="1" applyAlignment="1">
      <alignment horizontal="center" vertical="center" wrapText="1"/>
    </xf>
    <xf numFmtId="4" fontId="36" fillId="0" borderId="18" xfId="0" applyNumberFormat="1" applyFont="1" applyBorder="1" applyAlignment="1">
      <alignment horizontal="left" vertical="center" wrapText="1"/>
    </xf>
    <xf numFmtId="4" fontId="37" fillId="0" borderId="18" xfId="0" applyNumberFormat="1" applyFont="1" applyBorder="1"/>
    <xf numFmtId="4" fontId="36" fillId="0" borderId="18" xfId="0" applyNumberFormat="1" applyFont="1" applyBorder="1"/>
    <xf numFmtId="0" fontId="36" fillId="0" borderId="18" xfId="0" applyFont="1" applyBorder="1"/>
    <xf numFmtId="0" fontId="37" fillId="0" borderId="18" xfId="0" applyFont="1" applyBorder="1"/>
    <xf numFmtId="4" fontId="40" fillId="3" borderId="6" xfId="0" applyNumberFormat="1" applyFont="1" applyFill="1" applyBorder="1" applyAlignment="1" applyProtection="1">
      <alignment vertical="top" wrapText="1"/>
      <protection locked="0"/>
    </xf>
    <xf numFmtId="4" fontId="40" fillId="3" borderId="23" xfId="0" applyNumberFormat="1" applyFont="1" applyFill="1" applyBorder="1" applyAlignment="1" applyProtection="1">
      <alignment vertical="top" wrapText="1"/>
      <protection locked="0"/>
    </xf>
    <xf numFmtId="0" fontId="37" fillId="0" borderId="47" xfId="0" applyFont="1" applyBorder="1"/>
    <xf numFmtId="4" fontId="36" fillId="0" borderId="18" xfId="0" applyNumberFormat="1" applyFont="1" applyBorder="1" applyAlignment="1">
      <alignment horizontal="right"/>
    </xf>
    <xf numFmtId="4" fontId="37" fillId="0" borderId="18" xfId="0" applyNumberFormat="1" applyFont="1" applyBorder="1" applyAlignment="1">
      <alignment horizontal="center"/>
    </xf>
    <xf numFmtId="4" fontId="41" fillId="0" borderId="18" xfId="0" applyNumberFormat="1" applyFont="1" applyBorder="1"/>
    <xf numFmtId="4" fontId="36" fillId="0" borderId="18" xfId="0" applyNumberFormat="1" applyFont="1" applyBorder="1" applyAlignment="1">
      <alignment horizontal="left"/>
    </xf>
    <xf numFmtId="4" fontId="40" fillId="0" borderId="18" xfId="0" applyNumberFormat="1" applyFont="1" applyBorder="1"/>
    <xf numFmtId="4" fontId="36" fillId="0" borderId="18" xfId="0" applyNumberFormat="1" applyFont="1" applyBorder="1" applyAlignment="1">
      <alignment horizontal="center"/>
    </xf>
    <xf numFmtId="4" fontId="40" fillId="0" borderId="46" xfId="0" applyNumberFormat="1" applyFont="1" applyBorder="1"/>
    <xf numFmtId="4" fontId="42" fillId="0" borderId="18" xfId="0" applyNumberFormat="1" applyFont="1" applyBorder="1" applyAlignment="1">
      <alignment horizontal="right"/>
    </xf>
    <xf numFmtId="4" fontId="42" fillId="0" borderId="0" xfId="0" applyNumberFormat="1" applyFont="1" applyAlignment="1">
      <alignment horizontal="left"/>
    </xf>
    <xf numFmtId="4" fontId="42" fillId="0" borderId="0" xfId="0" applyNumberFormat="1" applyFont="1" applyAlignment="1">
      <alignment horizontal="right"/>
    </xf>
    <xf numFmtId="0" fontId="16" fillId="0" borderId="0" xfId="0" applyFont="1"/>
    <xf numFmtId="3" fontId="0" fillId="0" borderId="18" xfId="0" applyNumberFormat="1" applyBorder="1" applyProtection="1">
      <protection locked="0"/>
    </xf>
    <xf numFmtId="0" fontId="10" fillId="16" borderId="0" xfId="0" applyFont="1" applyFill="1" applyProtection="1">
      <protection locked="0"/>
    </xf>
    <xf numFmtId="4" fontId="37" fillId="0" borderId="0" xfId="0" applyNumberFormat="1" applyFont="1" applyAlignment="1">
      <alignment horizontal="left"/>
    </xf>
    <xf numFmtId="0" fontId="18" fillId="9" borderId="0" xfId="0" applyFont="1" applyFill="1" applyAlignment="1">
      <alignment horizontal="center"/>
    </xf>
    <xf numFmtId="0" fontId="0" fillId="0" borderId="0" xfId="0" applyAlignment="1">
      <alignment horizontal="left" vertical="center" wrapText="1"/>
    </xf>
    <xf numFmtId="0" fontId="28" fillId="12" borderId="0" xfId="0" applyFont="1" applyFill="1" applyAlignment="1">
      <alignment horizontal="left"/>
    </xf>
    <xf numFmtId="0" fontId="28" fillId="13" borderId="0" xfId="0" applyFont="1" applyFill="1" applyAlignment="1">
      <alignment horizontal="left"/>
    </xf>
    <xf numFmtId="0" fontId="14" fillId="0" borderId="0" xfId="0" applyFont="1" applyAlignment="1">
      <alignment horizontal="left" wrapText="1"/>
    </xf>
    <xf numFmtId="0" fontId="20" fillId="0" borderId="0" xfId="0" applyFont="1" applyAlignment="1">
      <alignment horizontal="left" wrapText="1"/>
    </xf>
    <xf numFmtId="0" fontId="0" fillId="0" borderId="0" xfId="0" applyAlignment="1">
      <alignment horizontal="left" wrapText="1"/>
    </xf>
    <xf numFmtId="0" fontId="0" fillId="0" borderId="0" xfId="0" applyAlignment="1">
      <alignment vertical="top" wrapText="1"/>
    </xf>
    <xf numFmtId="0" fontId="13" fillId="0" borderId="0" xfId="0" applyFont="1" applyAlignment="1">
      <alignment horizontal="left" wrapText="1"/>
    </xf>
    <xf numFmtId="0" fontId="0" fillId="0" borderId="0" xfId="0" applyAlignment="1">
      <alignment horizontal="left" vertical="top" wrapText="1"/>
    </xf>
    <xf numFmtId="0" fontId="10" fillId="0" borderId="28" xfId="1" applyFont="1" applyBorder="1" applyAlignment="1">
      <alignment horizontal="left"/>
    </xf>
    <xf numFmtId="0" fontId="10" fillId="0" borderId="27" xfId="1" applyFont="1" applyBorder="1" applyAlignment="1">
      <alignment horizontal="left"/>
    </xf>
    <xf numFmtId="0" fontId="22" fillId="0" borderId="28" xfId="1" applyFont="1" applyBorder="1" applyAlignment="1">
      <alignment horizontal="center" vertical="center"/>
    </xf>
    <xf numFmtId="0" fontId="22" fillId="0" borderId="17" xfId="1" applyFont="1" applyBorder="1" applyAlignment="1">
      <alignment horizontal="center" vertical="center"/>
    </xf>
    <xf numFmtId="0" fontId="22" fillId="0" borderId="27" xfId="1" applyFont="1" applyBorder="1" applyAlignment="1">
      <alignment horizontal="center" vertical="center"/>
    </xf>
    <xf numFmtId="0" fontId="0" fillId="6" borderId="0" xfId="0" applyFill="1" applyProtection="1">
      <protection locked="0"/>
    </xf>
    <xf numFmtId="0" fontId="0" fillId="6" borderId="0" xfId="0" applyFill="1"/>
    <xf numFmtId="0" fontId="12" fillId="0" borderId="39" xfId="0" applyFont="1" applyBorder="1" applyAlignment="1">
      <alignment horizontal="left" wrapText="1"/>
    </xf>
    <xf numFmtId="0" fontId="12" fillId="0" borderId="18" xfId="0" applyFont="1" applyBorder="1" applyAlignment="1">
      <alignment horizontal="left" wrapText="1"/>
    </xf>
    <xf numFmtId="0" fontId="12" fillId="0" borderId="40" xfId="0" applyFont="1" applyBorder="1" applyAlignment="1">
      <alignment horizontal="left" wrapText="1"/>
    </xf>
    <xf numFmtId="0" fontId="12" fillId="0" borderId="41" xfId="0" applyFont="1" applyBorder="1" applyAlignment="1">
      <alignment horizontal="left" wrapText="1"/>
    </xf>
    <xf numFmtId="0" fontId="12" fillId="0" borderId="42" xfId="0" applyFont="1" applyBorder="1" applyAlignment="1">
      <alignment horizontal="left" wrapText="1"/>
    </xf>
    <xf numFmtId="0" fontId="12" fillId="0" borderId="43" xfId="0" applyFont="1" applyBorder="1" applyAlignment="1">
      <alignment horizontal="left" wrapText="1"/>
    </xf>
    <xf numFmtId="0" fontId="4" fillId="0" borderId="39" xfId="0" applyFont="1" applyBorder="1" applyAlignment="1">
      <alignment horizontal="left"/>
    </xf>
    <xf numFmtId="0" fontId="4" fillId="0" borderId="18" xfId="0" applyFont="1" applyBorder="1" applyAlignment="1">
      <alignment horizontal="left"/>
    </xf>
    <xf numFmtId="0" fontId="4" fillId="0" borderId="40" xfId="0" applyFont="1" applyBorder="1" applyAlignment="1">
      <alignment horizontal="left"/>
    </xf>
    <xf numFmtId="0" fontId="4" fillId="0" borderId="41" xfId="0" applyFont="1" applyBorder="1" applyAlignment="1">
      <alignment horizontal="left"/>
    </xf>
    <xf numFmtId="0" fontId="4" fillId="0" borderId="42" xfId="0" applyFont="1" applyBorder="1" applyAlignment="1">
      <alignment horizontal="left"/>
    </xf>
    <xf numFmtId="0" fontId="4" fillId="0" borderId="43" xfId="0" applyFont="1" applyBorder="1" applyAlignment="1">
      <alignment horizontal="left"/>
    </xf>
    <xf numFmtId="0" fontId="6" fillId="0" borderId="19" xfId="0" applyFont="1" applyBorder="1" applyAlignment="1" applyProtection="1">
      <alignment horizontal="right"/>
      <protection locked="0"/>
    </xf>
    <xf numFmtId="0" fontId="6" fillId="0" borderId="21" xfId="0" applyFont="1" applyBorder="1" applyAlignment="1" applyProtection="1">
      <alignment horizontal="right"/>
      <protection locked="0"/>
    </xf>
    <xf numFmtId="0" fontId="6" fillId="3" borderId="19" xfId="0" applyFont="1" applyFill="1" applyBorder="1" applyAlignment="1" applyProtection="1">
      <alignment horizontal="left"/>
      <protection locked="0"/>
    </xf>
    <xf numFmtId="0" fontId="6" fillId="3" borderId="20" xfId="0" applyFont="1" applyFill="1" applyBorder="1" applyAlignment="1" applyProtection="1">
      <alignment horizontal="left"/>
      <protection locked="0"/>
    </xf>
    <xf numFmtId="0" fontId="6" fillId="3" borderId="21" xfId="0" applyFont="1" applyFill="1" applyBorder="1" applyAlignment="1" applyProtection="1">
      <alignment horizontal="left"/>
      <protection locked="0"/>
    </xf>
    <xf numFmtId="4" fontId="3" fillId="0" borderId="7" xfId="0" applyNumberFormat="1" applyFont="1" applyBorder="1" applyAlignment="1" applyProtection="1">
      <alignment horizontal="left" wrapText="1"/>
      <protection locked="0"/>
    </xf>
    <xf numFmtId="0" fontId="12" fillId="0" borderId="36" xfId="0" applyFont="1" applyBorder="1" applyAlignment="1">
      <alignment horizontal="left" wrapText="1"/>
    </xf>
    <xf numFmtId="0" fontId="12" fillId="0" borderId="37" xfId="0" applyFont="1" applyBorder="1" applyAlignment="1">
      <alignment horizontal="left" wrapText="1"/>
    </xf>
    <xf numFmtId="0" fontId="12" fillId="0" borderId="38" xfId="0" applyFont="1" applyBorder="1" applyAlignment="1">
      <alignment horizontal="left" wrapText="1"/>
    </xf>
    <xf numFmtId="0" fontId="4" fillId="0" borderId="36" xfId="0" applyFont="1" applyBorder="1" applyAlignment="1">
      <alignment horizontal="left"/>
    </xf>
    <xf numFmtId="0" fontId="4" fillId="0" borderId="37" xfId="0" applyFont="1" applyBorder="1" applyAlignment="1">
      <alignment horizontal="left"/>
    </xf>
    <xf numFmtId="0" fontId="4" fillId="0" borderId="38" xfId="0" applyFont="1" applyBorder="1" applyAlignment="1">
      <alignment horizontal="left"/>
    </xf>
    <xf numFmtId="3" fontId="9" fillId="0" borderId="28" xfId="0" applyNumberFormat="1" applyFont="1" applyBorder="1" applyAlignment="1">
      <alignment horizontal="center"/>
    </xf>
    <xf numFmtId="3" fontId="9" fillId="0" borderId="17" xfId="0" applyNumberFormat="1" applyFont="1" applyBorder="1" applyAlignment="1">
      <alignment horizontal="center"/>
    </xf>
    <xf numFmtId="3" fontId="9" fillId="0" borderId="27" xfId="0" applyNumberFormat="1" applyFont="1" applyBorder="1" applyAlignment="1">
      <alignment horizontal="center"/>
    </xf>
    <xf numFmtId="168" fontId="9" fillId="0" borderId="9" xfId="0" applyNumberFormat="1" applyFont="1" applyBorder="1" applyAlignment="1">
      <alignment horizontal="center"/>
    </xf>
    <xf numFmtId="168" fontId="9" fillId="0" borderId="15" xfId="0" applyNumberFormat="1" applyFont="1" applyBorder="1" applyAlignment="1">
      <alignment horizontal="center"/>
    </xf>
    <xf numFmtId="168" fontId="9" fillId="0" borderId="10" xfId="0" applyNumberFormat="1" applyFont="1" applyBorder="1" applyAlignment="1">
      <alignment horizontal="center"/>
    </xf>
    <xf numFmtId="3" fontId="3" fillId="0" borderId="18" xfId="0" applyNumberFormat="1" applyFont="1" applyBorder="1" applyAlignment="1" applyProtection="1">
      <alignment horizontal="left"/>
      <protection locked="0"/>
    </xf>
    <xf numFmtId="0" fontId="11" fillId="0" borderId="19" xfId="0" applyFont="1" applyBorder="1" applyAlignment="1" applyProtection="1">
      <alignment horizontal="left"/>
      <protection locked="0"/>
    </xf>
    <xf numFmtId="0" fontId="11" fillId="0" borderId="21" xfId="0" applyFont="1" applyBorder="1" applyAlignment="1" applyProtection="1">
      <alignment horizontal="left"/>
      <protection locked="0"/>
    </xf>
    <xf numFmtId="0" fontId="11" fillId="0" borderId="18" xfId="0" applyFont="1" applyBorder="1" applyAlignment="1" applyProtection="1">
      <alignment horizontal="left"/>
      <protection locked="0"/>
    </xf>
    <xf numFmtId="0" fontId="0" fillId="3" borderId="0" xfId="0" applyFill="1" applyAlignment="1" applyProtection="1">
      <alignment horizontal="left" vertical="top"/>
      <protection locked="0"/>
    </xf>
    <xf numFmtId="0" fontId="13" fillId="0" borderId="29" xfId="0" applyFont="1" applyBorder="1" applyAlignment="1" applyProtection="1">
      <alignment horizontal="center" vertical="center"/>
      <protection locked="0"/>
    </xf>
    <xf numFmtId="0" fontId="13" fillId="0" borderId="30" xfId="0" applyFont="1" applyBorder="1" applyAlignment="1" applyProtection="1">
      <alignment horizontal="center" vertical="center"/>
      <protection locked="0"/>
    </xf>
    <xf numFmtId="0" fontId="13" fillId="0" borderId="31" xfId="0" applyFont="1" applyBorder="1" applyAlignment="1" applyProtection="1">
      <alignment horizontal="center" vertical="center"/>
      <protection locked="0"/>
    </xf>
    <xf numFmtId="0" fontId="13" fillId="0" borderId="32" xfId="0" applyFont="1" applyBorder="1" applyAlignment="1" applyProtection="1">
      <alignment horizontal="center" vertical="center"/>
      <protection locked="0"/>
    </xf>
    <xf numFmtId="0" fontId="13" fillId="0" borderId="0" xfId="0" applyFont="1" applyAlignment="1" applyProtection="1">
      <alignment horizontal="center" vertical="center"/>
      <protection locked="0"/>
    </xf>
    <xf numFmtId="0" fontId="13" fillId="0" borderId="22" xfId="0" applyFont="1" applyBorder="1" applyAlignment="1" applyProtection="1">
      <alignment horizontal="center" vertical="center"/>
      <protection locked="0"/>
    </xf>
    <xf numFmtId="0" fontId="13" fillId="0" borderId="33" xfId="0" applyFont="1" applyBorder="1" applyAlignment="1" applyProtection="1">
      <alignment horizontal="center" vertical="center"/>
      <protection locked="0"/>
    </xf>
    <xf numFmtId="0" fontId="13" fillId="0" borderId="34" xfId="0" applyFont="1" applyBorder="1" applyAlignment="1" applyProtection="1">
      <alignment horizontal="center" vertical="center"/>
      <protection locked="0"/>
    </xf>
    <xf numFmtId="0" fontId="13" fillId="0" borderId="35" xfId="0" applyFont="1" applyBorder="1" applyAlignment="1" applyProtection="1">
      <alignment horizontal="center" vertical="center"/>
      <protection locked="0"/>
    </xf>
    <xf numFmtId="0" fontId="13" fillId="0" borderId="0" xfId="0" applyFont="1" applyAlignment="1" applyProtection="1">
      <alignment horizontal="center"/>
      <protection locked="0"/>
    </xf>
    <xf numFmtId="0" fontId="0" fillId="3" borderId="19" xfId="0" applyFill="1" applyBorder="1" applyAlignment="1" applyProtection="1">
      <alignment horizontal="left"/>
      <protection locked="0"/>
    </xf>
    <xf numFmtId="0" fontId="0" fillId="3" borderId="20" xfId="0" applyFill="1" applyBorder="1" applyAlignment="1" applyProtection="1">
      <alignment horizontal="left"/>
      <protection locked="0"/>
    </xf>
    <xf numFmtId="0" fontId="0" fillId="3" borderId="21" xfId="0" applyFill="1" applyBorder="1" applyAlignment="1" applyProtection="1">
      <alignment horizontal="left"/>
      <protection locked="0"/>
    </xf>
    <xf numFmtId="0" fontId="0" fillId="0" borderId="19" xfId="0" applyBorder="1" applyAlignment="1" applyProtection="1">
      <alignment horizontal="left"/>
      <protection locked="0"/>
    </xf>
    <xf numFmtId="0" fontId="0" fillId="0" borderId="20" xfId="0" applyBorder="1" applyAlignment="1" applyProtection="1">
      <alignment horizontal="left"/>
      <protection locked="0"/>
    </xf>
    <xf numFmtId="0" fontId="0" fillId="0" borderId="21" xfId="0" applyBorder="1" applyAlignment="1" applyProtection="1">
      <alignment horizontal="left"/>
      <protection locked="0"/>
    </xf>
    <xf numFmtId="0" fontId="19" fillId="0" borderId="18" xfId="0" applyFont="1" applyBorder="1" applyAlignment="1" applyProtection="1">
      <alignment horizontal="left"/>
      <protection locked="0"/>
    </xf>
    <xf numFmtId="14" fontId="0" fillId="3" borderId="19" xfId="0" applyNumberFormat="1" applyFill="1" applyBorder="1" applyAlignment="1" applyProtection="1">
      <alignment horizontal="left"/>
      <protection locked="0"/>
    </xf>
    <xf numFmtId="14" fontId="0" fillId="3" borderId="20" xfId="0" applyNumberFormat="1" applyFill="1" applyBorder="1" applyAlignment="1" applyProtection="1">
      <alignment horizontal="left"/>
      <protection locked="0"/>
    </xf>
    <xf numFmtId="14" fontId="0" fillId="3" borderId="21" xfId="0" applyNumberFormat="1" applyFill="1" applyBorder="1" applyAlignment="1" applyProtection="1">
      <alignment horizontal="left"/>
      <protection locked="0"/>
    </xf>
    <xf numFmtId="0" fontId="13" fillId="0" borderId="20" xfId="0" applyFont="1" applyBorder="1" applyAlignment="1" applyProtection="1">
      <alignment horizontal="center" vertical="center"/>
      <protection locked="0"/>
    </xf>
    <xf numFmtId="0" fontId="0" fillId="0" borderId="0" xfId="0" applyAlignment="1" applyProtection="1">
      <alignment horizontal="left"/>
      <protection locked="0"/>
    </xf>
    <xf numFmtId="0" fontId="0" fillId="0" borderId="22" xfId="0" applyBorder="1" applyAlignment="1" applyProtection="1">
      <alignment horizontal="left"/>
      <protection locked="0"/>
    </xf>
    <xf numFmtId="0" fontId="0" fillId="3" borderId="18" xfId="0" applyFill="1" applyBorder="1" applyAlignment="1" applyProtection="1">
      <alignment horizontal="center"/>
      <protection locked="0"/>
    </xf>
    <xf numFmtId="0" fontId="0" fillId="3" borderId="18" xfId="0" applyFill="1" applyBorder="1" applyAlignment="1" applyProtection="1">
      <alignment horizontal="left"/>
      <protection locked="0"/>
    </xf>
    <xf numFmtId="0" fontId="10" fillId="0" borderId="0" xfId="1" applyFont="1" applyAlignment="1" applyProtection="1">
      <alignment horizontal="left" wrapText="1"/>
      <protection locked="0"/>
    </xf>
    <xf numFmtId="0" fontId="3" fillId="0" borderId="34" xfId="1" applyBorder="1" applyAlignment="1" applyProtection="1">
      <alignment wrapText="1"/>
      <protection locked="0"/>
    </xf>
    <xf numFmtId="0" fontId="13" fillId="0" borderId="34" xfId="0" applyFont="1" applyBorder="1" applyAlignment="1" applyProtection="1">
      <alignment horizontal="center"/>
      <protection locked="0"/>
    </xf>
    <xf numFmtId="4" fontId="37" fillId="0" borderId="0" xfId="0" applyNumberFormat="1" applyFont="1" applyAlignment="1">
      <alignment horizontal="center"/>
    </xf>
    <xf numFmtId="0" fontId="0" fillId="0" borderId="0" xfId="0" applyAlignment="1">
      <alignment horizontal="center"/>
    </xf>
    <xf numFmtId="2" fontId="34" fillId="20" borderId="19" xfId="0" applyNumberFormat="1" applyFont="1" applyFill="1" applyBorder="1" applyAlignment="1">
      <alignment horizontal="left"/>
    </xf>
    <xf numFmtId="2" fontId="34" fillId="20" borderId="20" xfId="0" applyNumberFormat="1" applyFont="1" applyFill="1" applyBorder="1" applyAlignment="1">
      <alignment horizontal="left"/>
    </xf>
    <xf numFmtId="2" fontId="34" fillId="20" borderId="21" xfId="0" applyNumberFormat="1" applyFont="1" applyFill="1" applyBorder="1" applyAlignment="1">
      <alignment horizontal="left"/>
    </xf>
    <xf numFmtId="2" fontId="34" fillId="20" borderId="45" xfId="0" applyNumberFormat="1" applyFont="1" applyFill="1" applyBorder="1" applyAlignment="1">
      <alignment horizontal="left"/>
    </xf>
    <xf numFmtId="0" fontId="34" fillId="19" borderId="18" xfId="0" applyFont="1" applyFill="1" applyBorder="1" applyAlignment="1">
      <alignment horizontal="left"/>
    </xf>
  </cellXfs>
  <cellStyles count="3">
    <cellStyle name="Hyperlink" xfId="2" builtinId="8"/>
    <cellStyle name="Normal" xfId="0" builtinId="0"/>
    <cellStyle name="Normal 2 2 3" xfId="1" xr:uid="{00000000-0005-0000-0000-000001000000}"/>
  </cellStyles>
  <dxfs count="52">
    <dxf>
      <font>
        <b/>
        <i val="0"/>
      </font>
      <fill>
        <patternFill>
          <bgColor rgb="FF00B050"/>
        </patternFill>
      </fill>
    </dxf>
    <dxf>
      <font>
        <b/>
        <i val="0"/>
      </font>
      <fill>
        <patternFill>
          <bgColor rgb="FFFF0000"/>
        </patternFill>
      </fill>
    </dxf>
    <dxf>
      <font>
        <b/>
        <i val="0"/>
      </font>
      <fill>
        <patternFill>
          <bgColor rgb="FFFFFF00"/>
        </patternFill>
      </fill>
    </dxf>
    <dxf>
      <fill>
        <patternFill>
          <bgColor rgb="FFFF0000"/>
        </patternFill>
      </fill>
    </dxf>
    <dxf>
      <fill>
        <patternFill>
          <bgColor rgb="FF00B050"/>
        </patternFill>
      </fill>
    </dxf>
    <dxf>
      <fill>
        <patternFill>
          <bgColor rgb="FFFFC000"/>
        </patternFill>
      </fill>
    </dxf>
    <dxf>
      <font>
        <color rgb="FF9C0006"/>
      </font>
      <fill>
        <patternFill>
          <bgColor rgb="FFFFC7CE"/>
        </patternFill>
      </fill>
    </dxf>
    <dxf>
      <fill>
        <patternFill>
          <bgColor rgb="FFFF0000"/>
        </patternFill>
      </fill>
    </dxf>
    <dxf>
      <fill>
        <patternFill>
          <bgColor theme="5" tint="0.79998168889431442"/>
        </patternFill>
      </fill>
    </dxf>
    <dxf>
      <fill>
        <patternFill>
          <bgColor theme="6" tint="0.79998168889431442"/>
        </patternFill>
      </fill>
    </dxf>
    <dxf>
      <fill>
        <patternFill>
          <bgColor theme="5" tint="0.79998168889431442"/>
        </patternFill>
      </fill>
    </dxf>
    <dxf>
      <fill>
        <patternFill>
          <bgColor theme="6" tint="0.79998168889431442"/>
        </patternFill>
      </fill>
    </dxf>
    <dxf>
      <fill>
        <patternFill>
          <bgColor theme="5" tint="0.79998168889431442"/>
        </patternFill>
      </fill>
    </dxf>
    <dxf>
      <fill>
        <patternFill>
          <bgColor theme="6" tint="0.79998168889431442"/>
        </patternFill>
      </fill>
    </dxf>
    <dxf>
      <fill>
        <patternFill>
          <bgColor theme="5" tint="0.79998168889431442"/>
        </patternFill>
      </fill>
    </dxf>
    <dxf>
      <fill>
        <patternFill>
          <bgColor theme="6" tint="0.79998168889431442"/>
        </patternFill>
      </fill>
    </dxf>
    <dxf>
      <fill>
        <patternFill>
          <bgColor theme="5" tint="0.79998168889431442"/>
        </patternFill>
      </fill>
    </dxf>
    <dxf>
      <fill>
        <patternFill>
          <bgColor theme="6" tint="0.79998168889431442"/>
        </patternFill>
      </fill>
    </dxf>
    <dxf>
      <fill>
        <patternFill>
          <bgColor theme="6" tint="0.79998168889431442"/>
        </patternFill>
      </fill>
    </dxf>
    <dxf>
      <fill>
        <patternFill>
          <bgColor theme="5" tint="0.79998168889431442"/>
        </patternFill>
      </fill>
    </dxf>
    <dxf>
      <fill>
        <patternFill>
          <bgColor theme="6" tint="0.79998168889431442"/>
        </patternFill>
      </fill>
    </dxf>
    <dxf>
      <fill>
        <patternFill>
          <bgColor theme="5" tint="0.79998168889431442"/>
        </patternFill>
      </fill>
    </dxf>
    <dxf>
      <fill>
        <patternFill>
          <bgColor theme="5" tint="0.79998168889431442"/>
        </patternFill>
      </fill>
    </dxf>
    <dxf>
      <fill>
        <patternFill>
          <bgColor theme="6" tint="0.79998168889431442"/>
        </patternFill>
      </fill>
    </dxf>
    <dxf>
      <fill>
        <patternFill>
          <bgColor theme="5" tint="0.79998168889431442"/>
        </patternFill>
      </fill>
    </dxf>
    <dxf>
      <fill>
        <patternFill>
          <bgColor theme="6" tint="0.79998168889431442"/>
        </patternFill>
      </fill>
    </dxf>
    <dxf>
      <fill>
        <patternFill>
          <bgColor theme="5" tint="0.79998168889431442"/>
        </patternFill>
      </fill>
    </dxf>
    <dxf>
      <fill>
        <patternFill>
          <bgColor theme="6" tint="0.79998168889431442"/>
        </patternFill>
      </fill>
    </dxf>
    <dxf>
      <fill>
        <patternFill>
          <bgColor theme="5" tint="0.79998168889431442"/>
        </patternFill>
      </fill>
    </dxf>
    <dxf>
      <fill>
        <patternFill>
          <bgColor theme="6" tint="0.79998168889431442"/>
        </patternFill>
      </fill>
    </dxf>
    <dxf>
      <fill>
        <patternFill>
          <bgColor theme="5" tint="0.79998168889431442"/>
        </patternFill>
      </fill>
    </dxf>
    <dxf>
      <fill>
        <patternFill>
          <bgColor theme="6" tint="0.79998168889431442"/>
        </patternFill>
      </fill>
    </dxf>
    <dxf>
      <fill>
        <patternFill>
          <bgColor theme="6" tint="0.79998168889431442"/>
        </patternFill>
      </fill>
    </dxf>
    <dxf>
      <fill>
        <patternFill>
          <bgColor theme="5" tint="0.79998168889431442"/>
        </patternFill>
      </fill>
    </dxf>
    <dxf>
      <font>
        <b val="0"/>
        <i/>
        <color theme="0" tint="-0.24994659260841701"/>
      </font>
    </dxf>
    <dxf>
      <font>
        <b val="0"/>
        <i/>
        <color theme="0" tint="-0.24994659260841701"/>
      </font>
    </dxf>
    <dxf>
      <font>
        <b val="0"/>
        <i/>
        <color theme="0" tint="-0.24994659260841701"/>
      </font>
    </dxf>
    <dxf>
      <font>
        <b val="0"/>
        <i/>
        <color theme="0" tint="-0.24994659260841701"/>
      </font>
    </dxf>
    <dxf>
      <font>
        <b val="0"/>
        <i/>
        <strike val="0"/>
        <color theme="0" tint="-0.24994659260841701"/>
      </font>
    </dxf>
    <dxf>
      <font>
        <b val="0"/>
        <i/>
        <strike val="0"/>
        <color theme="0" tint="-0.24994659260841701"/>
      </font>
    </dxf>
    <dxf>
      <font>
        <b val="0"/>
        <i/>
        <strike val="0"/>
        <color theme="0" tint="-0.24994659260841701"/>
      </font>
    </dxf>
    <dxf>
      <font>
        <b val="0"/>
        <i/>
        <strike val="0"/>
        <color theme="0" tint="-0.24994659260841701"/>
      </font>
    </dxf>
    <dxf>
      <font>
        <b/>
        <i val="0"/>
        <color theme="0"/>
      </font>
      <fill>
        <patternFill>
          <bgColor rgb="FFFF0000"/>
        </patternFill>
      </fill>
    </dxf>
    <dxf>
      <font>
        <b/>
        <i/>
        <color theme="0"/>
      </font>
      <fill>
        <patternFill>
          <bgColor rgb="FFFF0000"/>
        </patternFill>
      </fill>
    </dxf>
    <dxf>
      <font>
        <b/>
        <i val="0"/>
        <color theme="0"/>
      </font>
      <fill>
        <patternFill>
          <bgColor rgb="FFFF0000"/>
        </patternFill>
      </fill>
    </dxf>
    <dxf>
      <font>
        <b/>
        <i val="0"/>
        <color theme="0"/>
      </font>
      <fill>
        <patternFill>
          <bgColor rgb="FFFF0000"/>
        </patternFill>
      </fill>
    </dxf>
    <dxf>
      <font>
        <b/>
        <i/>
        <color theme="0"/>
      </font>
      <fill>
        <patternFill>
          <bgColor rgb="FFFF0000"/>
        </patternFill>
      </fill>
    </dxf>
    <dxf>
      <font>
        <b/>
        <i val="0"/>
        <color theme="0"/>
      </font>
      <fill>
        <patternFill>
          <bgColor rgb="FFFF0000"/>
        </patternFill>
      </fill>
    </dxf>
    <dxf>
      <font>
        <b/>
        <i/>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s>
  <tableStyles count="0" defaultTableStyle="TableStyleMedium2" defaultPivotStyle="PivotStyleLight16"/>
  <colors>
    <mruColors>
      <color rgb="FFCC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Revenue Carry Forward Balances</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'School Data'!$E$2</c:f>
              <c:strCache>
                <c:ptCount val="1"/>
                <c:pt idx="0">
                  <c:v>Revenue c/f £</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'School Data'!$D$3:$D$5</c:f>
              <c:strCache>
                <c:ptCount val="3"/>
                <c:pt idx="0">
                  <c:v>2026/27</c:v>
                </c:pt>
                <c:pt idx="1">
                  <c:v>2027/28</c:v>
                </c:pt>
                <c:pt idx="2">
                  <c:v>2028/29</c:v>
                </c:pt>
              </c:strCache>
            </c:strRef>
          </c:cat>
          <c:val>
            <c:numRef>
              <c:f>'School Data'!$E$3:$E$5</c:f>
              <c:numCache>
                <c:formatCode>#,##0</c:formatCode>
                <c:ptCount val="3"/>
                <c:pt idx="0">
                  <c:v>#N/A</c:v>
                </c:pt>
                <c:pt idx="1">
                  <c:v>#N/A</c:v>
                </c:pt>
                <c:pt idx="2">
                  <c:v>#N/A</c:v>
                </c:pt>
              </c:numCache>
            </c:numRef>
          </c:val>
          <c:extLst>
            <c:ext xmlns:c16="http://schemas.microsoft.com/office/drawing/2014/chart" uri="{C3380CC4-5D6E-409C-BE32-E72D297353CC}">
              <c16:uniqueId val="{00000000-AE27-4894-BA68-AEEFC7A65036}"/>
            </c:ext>
          </c:extLst>
        </c:ser>
        <c:dLbls>
          <c:showLegendKey val="0"/>
          <c:showVal val="0"/>
          <c:showCatName val="0"/>
          <c:showSerName val="0"/>
          <c:showPercent val="0"/>
          <c:showBubbleSize val="0"/>
        </c:dLbls>
        <c:gapWidth val="50"/>
        <c:axId val="1326529551"/>
        <c:axId val="1077268383"/>
      </c:barChart>
      <c:dateAx>
        <c:axId val="1326529551"/>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7268383"/>
        <c:crosses val="autoZero"/>
        <c:auto val="0"/>
        <c:lblOffset val="100"/>
        <c:baseTimeUnit val="days"/>
      </c:dateAx>
      <c:valAx>
        <c:axId val="107726838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2652955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Capital Carry Forward Balances</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'School Data'!$D$7:$D$9</c:f>
              <c:strCache>
                <c:ptCount val="3"/>
                <c:pt idx="0">
                  <c:v>2026/27</c:v>
                </c:pt>
                <c:pt idx="1">
                  <c:v>2027/28</c:v>
                </c:pt>
                <c:pt idx="2">
                  <c:v>2028/29</c:v>
                </c:pt>
              </c:strCache>
            </c:strRef>
          </c:cat>
          <c:val>
            <c:numRef>
              <c:f>'School Data'!$E$7:$E$9</c:f>
              <c:numCache>
                <c:formatCode>#,##0</c:formatCode>
                <c:ptCount val="3"/>
                <c:pt idx="0">
                  <c:v>#N/A</c:v>
                </c:pt>
                <c:pt idx="1">
                  <c:v>#N/A</c:v>
                </c:pt>
                <c:pt idx="2">
                  <c:v>#N/A</c:v>
                </c:pt>
              </c:numCache>
            </c:numRef>
          </c:val>
          <c:extLst>
            <c:ext xmlns:c16="http://schemas.microsoft.com/office/drawing/2014/chart" uri="{C3380CC4-5D6E-409C-BE32-E72D297353CC}">
              <c16:uniqueId val="{00000001-42CD-4544-878A-FBEDA7888FE8}"/>
            </c:ext>
          </c:extLst>
        </c:ser>
        <c:dLbls>
          <c:showLegendKey val="0"/>
          <c:showVal val="0"/>
          <c:showCatName val="0"/>
          <c:showSerName val="0"/>
          <c:showPercent val="0"/>
          <c:showBubbleSize val="0"/>
        </c:dLbls>
        <c:gapWidth val="50"/>
        <c:axId val="1326529551"/>
        <c:axId val="1077268383"/>
      </c:barChart>
      <c:dateAx>
        <c:axId val="1326529551"/>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7268383"/>
        <c:crosses val="autoZero"/>
        <c:auto val="0"/>
        <c:lblOffset val="100"/>
        <c:baseTimeUnit val="days"/>
      </c:dateAx>
      <c:valAx>
        <c:axId val="107726838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2652955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LA Income</a:t>
            </a:r>
            <a:r>
              <a:rPr lang="en-US" b="1" baseline="0"/>
              <a:t> as a % of Total Income</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'School Data'!$E$10</c:f>
              <c:strCache>
                <c:ptCount val="1"/>
                <c:pt idx="0">
                  <c:v>LA Income %</c:v>
                </c:pt>
              </c:strCache>
            </c:strRef>
          </c:tx>
          <c:spPr>
            <a:solidFill>
              <a:schemeClr val="accent6">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'School Data'!$D$11:$D$13</c:f>
              <c:strCache>
                <c:ptCount val="3"/>
                <c:pt idx="0">
                  <c:v>2026/27</c:v>
                </c:pt>
                <c:pt idx="1">
                  <c:v>2027/28</c:v>
                </c:pt>
                <c:pt idx="2">
                  <c:v>2028/29</c:v>
                </c:pt>
              </c:strCache>
            </c:strRef>
          </c:cat>
          <c:val>
            <c:numRef>
              <c:f>'School Data'!$E$11:$E$13</c:f>
              <c:numCache>
                <c:formatCode>0.00%</c:formatCode>
                <c:ptCount val="3"/>
                <c:pt idx="0">
                  <c:v>0</c:v>
                </c:pt>
                <c:pt idx="1">
                  <c:v>0</c:v>
                </c:pt>
                <c:pt idx="2">
                  <c:v>0</c:v>
                </c:pt>
              </c:numCache>
            </c:numRef>
          </c:val>
          <c:extLst>
            <c:ext xmlns:c16="http://schemas.microsoft.com/office/drawing/2014/chart" uri="{C3380CC4-5D6E-409C-BE32-E72D297353CC}">
              <c16:uniqueId val="{00000001-C517-45E1-8D8A-700EA833B3C5}"/>
            </c:ext>
          </c:extLst>
        </c:ser>
        <c:dLbls>
          <c:showLegendKey val="0"/>
          <c:showVal val="0"/>
          <c:showCatName val="0"/>
          <c:showSerName val="0"/>
          <c:showPercent val="0"/>
          <c:showBubbleSize val="0"/>
        </c:dLbls>
        <c:gapWidth val="50"/>
        <c:axId val="1326529551"/>
        <c:axId val="1077268383"/>
      </c:barChart>
      <c:dateAx>
        <c:axId val="1326529551"/>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7268383"/>
        <c:crosses val="autoZero"/>
        <c:auto val="0"/>
        <c:lblOffset val="100"/>
        <c:baseTimeUnit val="days"/>
      </c:dateAx>
      <c:valAx>
        <c:axId val="1077268383"/>
        <c:scaling>
          <c:orientation val="minMax"/>
          <c:max val="1"/>
          <c:min val="0.60000000000000009"/>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26529551"/>
        <c:crosses val="autoZero"/>
        <c:crossBetween val="between"/>
        <c:majorUnit val="0.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Rev c/fwd as a % of LA Income</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6">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'School Data'!$D$15:$D$17</c:f>
              <c:strCache>
                <c:ptCount val="3"/>
                <c:pt idx="0">
                  <c:v>2026/27</c:v>
                </c:pt>
                <c:pt idx="1">
                  <c:v>2027/28</c:v>
                </c:pt>
                <c:pt idx="2">
                  <c:v>2028/29</c:v>
                </c:pt>
              </c:strCache>
            </c:strRef>
          </c:cat>
          <c:val>
            <c:numRef>
              <c:f>'School Data'!$E$15:$E$17</c:f>
              <c:numCache>
                <c:formatCode>0.00%</c:formatCode>
                <c:ptCount val="3"/>
                <c:pt idx="0">
                  <c:v>0</c:v>
                </c:pt>
                <c:pt idx="1">
                  <c:v>0</c:v>
                </c:pt>
                <c:pt idx="2">
                  <c:v>0</c:v>
                </c:pt>
              </c:numCache>
            </c:numRef>
          </c:val>
          <c:extLst>
            <c:ext xmlns:c16="http://schemas.microsoft.com/office/drawing/2014/chart" uri="{C3380CC4-5D6E-409C-BE32-E72D297353CC}">
              <c16:uniqueId val="{00000001-B193-4302-AF9B-4E2DA864E3EA}"/>
            </c:ext>
          </c:extLst>
        </c:ser>
        <c:dLbls>
          <c:showLegendKey val="0"/>
          <c:showVal val="0"/>
          <c:showCatName val="0"/>
          <c:showSerName val="0"/>
          <c:showPercent val="0"/>
          <c:showBubbleSize val="0"/>
        </c:dLbls>
        <c:gapWidth val="50"/>
        <c:axId val="1326529551"/>
        <c:axId val="1077268383"/>
      </c:barChart>
      <c:dateAx>
        <c:axId val="1326529551"/>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7268383"/>
        <c:crosses val="autoZero"/>
        <c:auto val="0"/>
        <c:lblOffset val="100"/>
        <c:baseTimeUnit val="days"/>
      </c:dateAx>
      <c:valAx>
        <c:axId val="107726838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26529551"/>
        <c:crosses val="autoZero"/>
        <c:crossBetween val="between"/>
        <c:majorUnit val="5.000000000000001E-2"/>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r>
              <a:rPr lang="en-US" b="1"/>
              <a:t>Analysis of Rev Expenditure</a:t>
            </a:r>
          </a:p>
        </c:rich>
      </c:tx>
      <c:layout>
        <c:manualLayout>
          <c:xMode val="edge"/>
          <c:yMode val="edge"/>
          <c:x val="0.14263630103167796"/>
          <c:y val="3.795966785290629E-2"/>
        </c:manualLayout>
      </c:layout>
      <c:overlay val="0"/>
      <c:spPr>
        <a:noFill/>
        <a:ln>
          <a:noFill/>
        </a:ln>
        <a:effectLst/>
      </c:spPr>
      <c:txPr>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21146539850835477"/>
          <c:y val="0.2044602609727165"/>
          <c:w val="0.5370543255112914"/>
          <c:h val="0.69427410541653822"/>
        </c:manualLayout>
      </c:layout>
      <c:barChart>
        <c:barDir val="col"/>
        <c:grouping val="stacked"/>
        <c:varyColors val="0"/>
        <c:ser>
          <c:idx val="0"/>
          <c:order val="0"/>
          <c:tx>
            <c:strRef>
              <c:f>'School Data'!$E$18</c:f>
              <c:strCache>
                <c:ptCount val="1"/>
                <c:pt idx="0">
                  <c:v>Teaching Staff</c:v>
                </c:pt>
              </c:strCache>
            </c:strRef>
          </c:tx>
          <c:spPr>
            <a:solidFill>
              <a:schemeClr val="accent1"/>
            </a:solidFill>
            <a:ln>
              <a:noFill/>
            </a:ln>
            <a:effectLst/>
          </c:spPr>
          <c:invertIfNegative val="0"/>
          <c:cat>
            <c:strRef>
              <c:f>'School Data'!$D$19:$D$21</c:f>
              <c:strCache>
                <c:ptCount val="3"/>
                <c:pt idx="0">
                  <c:v>2026/27</c:v>
                </c:pt>
                <c:pt idx="1">
                  <c:v>2027/28</c:v>
                </c:pt>
                <c:pt idx="2">
                  <c:v>2028/29</c:v>
                </c:pt>
              </c:strCache>
            </c:strRef>
          </c:cat>
          <c:val>
            <c:numRef>
              <c:f>'School Data'!$E$19:$E$21</c:f>
              <c:numCache>
                <c:formatCode>#,##0</c:formatCode>
                <c:ptCount val="3"/>
                <c:pt idx="0">
                  <c:v>0</c:v>
                </c:pt>
                <c:pt idx="1">
                  <c:v>0</c:v>
                </c:pt>
                <c:pt idx="2">
                  <c:v>0</c:v>
                </c:pt>
              </c:numCache>
            </c:numRef>
          </c:val>
          <c:extLst>
            <c:ext xmlns:c16="http://schemas.microsoft.com/office/drawing/2014/chart" uri="{C3380CC4-5D6E-409C-BE32-E72D297353CC}">
              <c16:uniqueId val="{00000001-AD6D-4A02-9B6F-DEDE17584B0E}"/>
            </c:ext>
          </c:extLst>
        </c:ser>
        <c:ser>
          <c:idx val="1"/>
          <c:order val="1"/>
          <c:tx>
            <c:strRef>
              <c:f>'School Data'!$F$18</c:f>
              <c:strCache>
                <c:ptCount val="1"/>
                <c:pt idx="0">
                  <c:v>Support Staff</c:v>
                </c:pt>
              </c:strCache>
            </c:strRef>
          </c:tx>
          <c:spPr>
            <a:solidFill>
              <a:schemeClr val="accent2"/>
            </a:solidFill>
            <a:ln>
              <a:noFill/>
            </a:ln>
            <a:effectLst/>
          </c:spPr>
          <c:invertIfNegative val="0"/>
          <c:cat>
            <c:strRef>
              <c:f>'School Data'!$D$19:$D$21</c:f>
              <c:strCache>
                <c:ptCount val="3"/>
                <c:pt idx="0">
                  <c:v>2026/27</c:v>
                </c:pt>
                <c:pt idx="1">
                  <c:v>2027/28</c:v>
                </c:pt>
                <c:pt idx="2">
                  <c:v>2028/29</c:v>
                </c:pt>
              </c:strCache>
            </c:strRef>
          </c:cat>
          <c:val>
            <c:numRef>
              <c:f>'School Data'!$F$19:$F$21</c:f>
              <c:numCache>
                <c:formatCode>#,##0</c:formatCode>
                <c:ptCount val="3"/>
                <c:pt idx="0">
                  <c:v>0</c:v>
                </c:pt>
                <c:pt idx="1">
                  <c:v>0</c:v>
                </c:pt>
                <c:pt idx="2">
                  <c:v>0</c:v>
                </c:pt>
              </c:numCache>
            </c:numRef>
          </c:val>
          <c:extLst>
            <c:ext xmlns:c16="http://schemas.microsoft.com/office/drawing/2014/chart" uri="{C3380CC4-5D6E-409C-BE32-E72D297353CC}">
              <c16:uniqueId val="{00000002-AD6D-4A02-9B6F-DEDE17584B0E}"/>
            </c:ext>
          </c:extLst>
        </c:ser>
        <c:ser>
          <c:idx val="2"/>
          <c:order val="2"/>
          <c:tx>
            <c:strRef>
              <c:f>'School Data'!$G$18</c:f>
              <c:strCache>
                <c:ptCount val="1"/>
                <c:pt idx="0">
                  <c:v>Other Staff</c:v>
                </c:pt>
              </c:strCache>
            </c:strRef>
          </c:tx>
          <c:spPr>
            <a:solidFill>
              <a:schemeClr val="accent3"/>
            </a:solidFill>
            <a:ln>
              <a:noFill/>
            </a:ln>
            <a:effectLst/>
          </c:spPr>
          <c:invertIfNegative val="0"/>
          <c:cat>
            <c:strRef>
              <c:f>'School Data'!$D$19:$D$21</c:f>
              <c:strCache>
                <c:ptCount val="3"/>
                <c:pt idx="0">
                  <c:v>2026/27</c:v>
                </c:pt>
                <c:pt idx="1">
                  <c:v>2027/28</c:v>
                </c:pt>
                <c:pt idx="2">
                  <c:v>2028/29</c:v>
                </c:pt>
              </c:strCache>
            </c:strRef>
          </c:cat>
          <c:val>
            <c:numRef>
              <c:f>'School Data'!$G$19:$G$21</c:f>
              <c:numCache>
                <c:formatCode>#,##0</c:formatCode>
                <c:ptCount val="3"/>
                <c:pt idx="0">
                  <c:v>0</c:v>
                </c:pt>
                <c:pt idx="1">
                  <c:v>0</c:v>
                </c:pt>
                <c:pt idx="2">
                  <c:v>0</c:v>
                </c:pt>
              </c:numCache>
            </c:numRef>
          </c:val>
          <c:extLst>
            <c:ext xmlns:c16="http://schemas.microsoft.com/office/drawing/2014/chart" uri="{C3380CC4-5D6E-409C-BE32-E72D297353CC}">
              <c16:uniqueId val="{00000003-AD6D-4A02-9B6F-DEDE17584B0E}"/>
            </c:ext>
          </c:extLst>
        </c:ser>
        <c:ser>
          <c:idx val="3"/>
          <c:order val="3"/>
          <c:tx>
            <c:strRef>
              <c:f>'School Data'!$H$18</c:f>
              <c:strCache>
                <c:ptCount val="1"/>
                <c:pt idx="0">
                  <c:v>Premises</c:v>
                </c:pt>
              </c:strCache>
            </c:strRef>
          </c:tx>
          <c:spPr>
            <a:solidFill>
              <a:schemeClr val="accent4"/>
            </a:solidFill>
            <a:ln>
              <a:noFill/>
            </a:ln>
            <a:effectLst/>
          </c:spPr>
          <c:invertIfNegative val="0"/>
          <c:cat>
            <c:strRef>
              <c:f>'School Data'!$D$19:$D$21</c:f>
              <c:strCache>
                <c:ptCount val="3"/>
                <c:pt idx="0">
                  <c:v>2026/27</c:v>
                </c:pt>
                <c:pt idx="1">
                  <c:v>2027/28</c:v>
                </c:pt>
                <c:pt idx="2">
                  <c:v>2028/29</c:v>
                </c:pt>
              </c:strCache>
            </c:strRef>
          </c:cat>
          <c:val>
            <c:numRef>
              <c:f>'School Data'!$H$19:$H$21</c:f>
              <c:numCache>
                <c:formatCode>#,##0</c:formatCode>
                <c:ptCount val="3"/>
                <c:pt idx="0">
                  <c:v>0</c:v>
                </c:pt>
                <c:pt idx="1">
                  <c:v>0</c:v>
                </c:pt>
                <c:pt idx="2">
                  <c:v>0</c:v>
                </c:pt>
              </c:numCache>
            </c:numRef>
          </c:val>
          <c:extLst>
            <c:ext xmlns:c16="http://schemas.microsoft.com/office/drawing/2014/chart" uri="{C3380CC4-5D6E-409C-BE32-E72D297353CC}">
              <c16:uniqueId val="{00000004-AD6D-4A02-9B6F-DEDE17584B0E}"/>
            </c:ext>
          </c:extLst>
        </c:ser>
        <c:ser>
          <c:idx val="4"/>
          <c:order val="4"/>
          <c:tx>
            <c:strRef>
              <c:f>'School Data'!$I$18</c:f>
              <c:strCache>
                <c:ptCount val="1"/>
                <c:pt idx="0">
                  <c:v>Curriculum</c:v>
                </c:pt>
              </c:strCache>
            </c:strRef>
          </c:tx>
          <c:spPr>
            <a:solidFill>
              <a:schemeClr val="accent5"/>
            </a:solidFill>
            <a:ln>
              <a:noFill/>
            </a:ln>
            <a:effectLst/>
          </c:spPr>
          <c:invertIfNegative val="0"/>
          <c:cat>
            <c:strRef>
              <c:f>'School Data'!$D$19:$D$21</c:f>
              <c:strCache>
                <c:ptCount val="3"/>
                <c:pt idx="0">
                  <c:v>2026/27</c:v>
                </c:pt>
                <c:pt idx="1">
                  <c:v>2027/28</c:v>
                </c:pt>
                <c:pt idx="2">
                  <c:v>2028/29</c:v>
                </c:pt>
              </c:strCache>
            </c:strRef>
          </c:cat>
          <c:val>
            <c:numRef>
              <c:f>'School Data'!$I$19:$I$21</c:f>
              <c:numCache>
                <c:formatCode>#,##0</c:formatCode>
                <c:ptCount val="3"/>
                <c:pt idx="0">
                  <c:v>0</c:v>
                </c:pt>
                <c:pt idx="1">
                  <c:v>0</c:v>
                </c:pt>
                <c:pt idx="2">
                  <c:v>0</c:v>
                </c:pt>
              </c:numCache>
            </c:numRef>
          </c:val>
          <c:extLst>
            <c:ext xmlns:c16="http://schemas.microsoft.com/office/drawing/2014/chart" uri="{C3380CC4-5D6E-409C-BE32-E72D297353CC}">
              <c16:uniqueId val="{00000005-AD6D-4A02-9B6F-DEDE17584B0E}"/>
            </c:ext>
          </c:extLst>
        </c:ser>
        <c:ser>
          <c:idx val="5"/>
          <c:order val="5"/>
          <c:tx>
            <c:strRef>
              <c:f>'School Data'!$J$18</c:f>
              <c:strCache>
                <c:ptCount val="1"/>
                <c:pt idx="0">
                  <c:v>Comm Funding</c:v>
                </c:pt>
              </c:strCache>
            </c:strRef>
          </c:tx>
          <c:spPr>
            <a:solidFill>
              <a:schemeClr val="accent6"/>
            </a:solidFill>
            <a:ln>
              <a:noFill/>
            </a:ln>
            <a:effectLst/>
          </c:spPr>
          <c:invertIfNegative val="0"/>
          <c:cat>
            <c:strRef>
              <c:f>'School Data'!$D$19:$D$21</c:f>
              <c:strCache>
                <c:ptCount val="3"/>
                <c:pt idx="0">
                  <c:v>2026/27</c:v>
                </c:pt>
                <c:pt idx="1">
                  <c:v>2027/28</c:v>
                </c:pt>
                <c:pt idx="2">
                  <c:v>2028/29</c:v>
                </c:pt>
              </c:strCache>
            </c:strRef>
          </c:cat>
          <c:val>
            <c:numRef>
              <c:f>'School Data'!$J$19:$J$21</c:f>
              <c:numCache>
                <c:formatCode>#,##0.00</c:formatCode>
                <c:ptCount val="3"/>
                <c:pt idx="0">
                  <c:v>0</c:v>
                </c:pt>
                <c:pt idx="1">
                  <c:v>0</c:v>
                </c:pt>
                <c:pt idx="2">
                  <c:v>0</c:v>
                </c:pt>
              </c:numCache>
            </c:numRef>
          </c:val>
          <c:extLst>
            <c:ext xmlns:c16="http://schemas.microsoft.com/office/drawing/2014/chart" uri="{C3380CC4-5D6E-409C-BE32-E72D297353CC}">
              <c16:uniqueId val="{00000006-AD6D-4A02-9B6F-DEDE17584B0E}"/>
            </c:ext>
          </c:extLst>
        </c:ser>
        <c:ser>
          <c:idx val="6"/>
          <c:order val="6"/>
          <c:tx>
            <c:strRef>
              <c:f>'School Data'!$K$18</c:f>
              <c:strCache>
                <c:ptCount val="1"/>
                <c:pt idx="0">
                  <c:v>Other</c:v>
                </c:pt>
              </c:strCache>
            </c:strRef>
          </c:tx>
          <c:spPr>
            <a:solidFill>
              <a:schemeClr val="accent1">
                <a:lumMod val="60000"/>
              </a:schemeClr>
            </a:solidFill>
            <a:ln>
              <a:noFill/>
            </a:ln>
            <a:effectLst/>
          </c:spPr>
          <c:invertIfNegative val="0"/>
          <c:cat>
            <c:strRef>
              <c:f>'School Data'!$D$19:$D$21</c:f>
              <c:strCache>
                <c:ptCount val="3"/>
                <c:pt idx="0">
                  <c:v>2026/27</c:v>
                </c:pt>
                <c:pt idx="1">
                  <c:v>2027/28</c:v>
                </c:pt>
                <c:pt idx="2">
                  <c:v>2028/29</c:v>
                </c:pt>
              </c:strCache>
            </c:strRef>
          </c:cat>
          <c:val>
            <c:numRef>
              <c:f>'School Data'!$K$19:$K$21</c:f>
              <c:numCache>
                <c:formatCode>#,##0.00</c:formatCode>
                <c:ptCount val="3"/>
                <c:pt idx="0">
                  <c:v>0</c:v>
                </c:pt>
                <c:pt idx="1">
                  <c:v>0</c:v>
                </c:pt>
                <c:pt idx="2">
                  <c:v>0</c:v>
                </c:pt>
              </c:numCache>
            </c:numRef>
          </c:val>
          <c:extLst>
            <c:ext xmlns:c16="http://schemas.microsoft.com/office/drawing/2014/chart" uri="{C3380CC4-5D6E-409C-BE32-E72D297353CC}">
              <c16:uniqueId val="{00000007-AD6D-4A02-9B6F-DEDE17584B0E}"/>
            </c:ext>
          </c:extLst>
        </c:ser>
        <c:dLbls>
          <c:showLegendKey val="0"/>
          <c:showVal val="0"/>
          <c:showCatName val="0"/>
          <c:showSerName val="0"/>
          <c:showPercent val="0"/>
          <c:showBubbleSize val="0"/>
        </c:dLbls>
        <c:gapWidth val="50"/>
        <c:overlap val="100"/>
        <c:axId val="1326529551"/>
        <c:axId val="1077268383"/>
      </c:barChart>
      <c:dateAx>
        <c:axId val="1326529551"/>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1077268383"/>
        <c:crosses val="autoZero"/>
        <c:auto val="0"/>
        <c:lblOffset val="100"/>
        <c:baseTimeUnit val="days"/>
      </c:dateAx>
      <c:valAx>
        <c:axId val="107726838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26529551"/>
        <c:crosses val="autoZero"/>
        <c:crossBetween val="between"/>
      </c:valAx>
      <c:spPr>
        <a:noFill/>
        <a:ln>
          <a:noFill/>
        </a:ln>
        <a:effectLst/>
      </c:spPr>
    </c:plotArea>
    <c:legend>
      <c:legendPos val="tr"/>
      <c:layout>
        <c:manualLayout>
          <c:xMode val="edge"/>
          <c:yMode val="edge"/>
          <c:x val="0.79492314388919205"/>
          <c:y val="0.17599051008303679"/>
          <c:w val="0.19682603102829968"/>
          <c:h val="0.66273432902737706"/>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Staff</a:t>
            </a:r>
            <a:r>
              <a:rPr lang="en-US" b="1" baseline="0"/>
              <a:t> Numbers vs Pupil Numbers</a:t>
            </a:r>
            <a:endParaRPr lang="en-US" b="1"/>
          </a:p>
        </c:rich>
      </c:tx>
      <c:layout>
        <c:manualLayout>
          <c:xMode val="edge"/>
          <c:yMode val="edge"/>
          <c:x val="0.12999174917491749"/>
          <c:y val="2.8469750889679714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1"/>
          <c:order val="1"/>
          <c:tx>
            <c:strRef>
              <c:f>'School Data'!$F$22</c:f>
              <c:strCache>
                <c:ptCount val="1"/>
                <c:pt idx="0">
                  <c:v>Teaching Staff</c:v>
                </c:pt>
              </c:strCache>
            </c:strRef>
          </c:tx>
          <c:spPr>
            <a:solidFill>
              <a:schemeClr val="accent2"/>
            </a:solidFill>
            <a:ln>
              <a:noFill/>
            </a:ln>
            <a:effectLst/>
          </c:spPr>
          <c:invertIfNegative val="0"/>
          <c:cat>
            <c:strRef>
              <c:f>'School Data'!$D$23:$D$25</c:f>
              <c:strCache>
                <c:ptCount val="3"/>
                <c:pt idx="0">
                  <c:v>2026/27</c:v>
                </c:pt>
                <c:pt idx="1">
                  <c:v>2027/28</c:v>
                </c:pt>
                <c:pt idx="2">
                  <c:v>2028/29</c:v>
                </c:pt>
              </c:strCache>
            </c:strRef>
          </c:cat>
          <c:val>
            <c:numRef>
              <c:f>'School Data'!$F$23:$F$25</c:f>
              <c:numCache>
                <c:formatCode>General</c:formatCode>
                <c:ptCount val="3"/>
                <c:pt idx="0">
                  <c:v>0</c:v>
                </c:pt>
                <c:pt idx="1">
                  <c:v>0</c:v>
                </c:pt>
                <c:pt idx="2">
                  <c:v>0</c:v>
                </c:pt>
              </c:numCache>
            </c:numRef>
          </c:val>
          <c:extLst>
            <c:ext xmlns:c16="http://schemas.microsoft.com/office/drawing/2014/chart" uri="{C3380CC4-5D6E-409C-BE32-E72D297353CC}">
              <c16:uniqueId val="{00000004-7981-44D0-94D8-2B9439EDF8E9}"/>
            </c:ext>
          </c:extLst>
        </c:ser>
        <c:ser>
          <c:idx val="2"/>
          <c:order val="2"/>
          <c:tx>
            <c:strRef>
              <c:f>'School Data'!$G$22</c:f>
              <c:strCache>
                <c:ptCount val="1"/>
                <c:pt idx="0">
                  <c:v>Other Staff</c:v>
                </c:pt>
              </c:strCache>
            </c:strRef>
          </c:tx>
          <c:spPr>
            <a:solidFill>
              <a:schemeClr val="accent3"/>
            </a:solidFill>
            <a:ln>
              <a:noFill/>
            </a:ln>
            <a:effectLst/>
          </c:spPr>
          <c:invertIfNegative val="0"/>
          <c:cat>
            <c:strRef>
              <c:f>'School Data'!$D$23:$D$25</c:f>
              <c:strCache>
                <c:ptCount val="3"/>
                <c:pt idx="0">
                  <c:v>2026/27</c:v>
                </c:pt>
                <c:pt idx="1">
                  <c:v>2027/28</c:v>
                </c:pt>
                <c:pt idx="2">
                  <c:v>2028/29</c:v>
                </c:pt>
              </c:strCache>
            </c:strRef>
          </c:cat>
          <c:val>
            <c:numRef>
              <c:f>'School Data'!$G$23:$G$25</c:f>
              <c:numCache>
                <c:formatCode>General</c:formatCode>
                <c:ptCount val="3"/>
                <c:pt idx="0">
                  <c:v>0</c:v>
                </c:pt>
                <c:pt idx="1">
                  <c:v>0</c:v>
                </c:pt>
                <c:pt idx="2">
                  <c:v>0</c:v>
                </c:pt>
              </c:numCache>
            </c:numRef>
          </c:val>
          <c:extLst>
            <c:ext xmlns:c16="http://schemas.microsoft.com/office/drawing/2014/chart" uri="{C3380CC4-5D6E-409C-BE32-E72D297353CC}">
              <c16:uniqueId val="{00000005-7981-44D0-94D8-2B9439EDF8E9}"/>
            </c:ext>
          </c:extLst>
        </c:ser>
        <c:dLbls>
          <c:showLegendKey val="0"/>
          <c:showVal val="0"/>
          <c:showCatName val="0"/>
          <c:showSerName val="0"/>
          <c:showPercent val="0"/>
          <c:showBubbleSize val="0"/>
        </c:dLbls>
        <c:gapWidth val="50"/>
        <c:overlap val="100"/>
        <c:axId val="1326529551"/>
        <c:axId val="1077268383"/>
      </c:barChart>
      <c:lineChart>
        <c:grouping val="standard"/>
        <c:varyColors val="0"/>
        <c:ser>
          <c:idx val="0"/>
          <c:order val="0"/>
          <c:tx>
            <c:strRef>
              <c:f>'School Data'!$E$22</c:f>
              <c:strCache>
                <c:ptCount val="1"/>
                <c:pt idx="0">
                  <c:v>Total Pupils</c:v>
                </c:pt>
              </c:strCache>
            </c:strRef>
          </c:tx>
          <c:spPr>
            <a:ln w="28575" cap="rnd">
              <a:solidFill>
                <a:schemeClr val="accent1"/>
              </a:solidFill>
              <a:round/>
            </a:ln>
            <a:effectLst/>
          </c:spPr>
          <c:marker>
            <c:symbol val="none"/>
          </c:marker>
          <c:cat>
            <c:strRef>
              <c:f>'School Data'!$D$23:$D$25</c:f>
              <c:strCache>
                <c:ptCount val="3"/>
                <c:pt idx="0">
                  <c:v>2026/27</c:v>
                </c:pt>
                <c:pt idx="1">
                  <c:v>2027/28</c:v>
                </c:pt>
                <c:pt idx="2">
                  <c:v>2028/29</c:v>
                </c:pt>
              </c:strCache>
            </c:strRef>
          </c:cat>
          <c:val>
            <c:numRef>
              <c:f>'School Data'!$E$23:$E$25</c:f>
              <c:numCache>
                <c:formatCode>General</c:formatCode>
                <c:ptCount val="3"/>
                <c:pt idx="0">
                  <c:v>0</c:v>
                </c:pt>
                <c:pt idx="1">
                  <c:v>0</c:v>
                </c:pt>
                <c:pt idx="2">
                  <c:v>0</c:v>
                </c:pt>
              </c:numCache>
            </c:numRef>
          </c:val>
          <c:smooth val="0"/>
          <c:extLst>
            <c:ext xmlns:c16="http://schemas.microsoft.com/office/drawing/2014/chart" uri="{C3380CC4-5D6E-409C-BE32-E72D297353CC}">
              <c16:uniqueId val="{00000003-7981-44D0-94D8-2B9439EDF8E9}"/>
            </c:ext>
          </c:extLst>
        </c:ser>
        <c:dLbls>
          <c:showLegendKey val="0"/>
          <c:showVal val="0"/>
          <c:showCatName val="0"/>
          <c:showSerName val="0"/>
          <c:showPercent val="0"/>
          <c:showBubbleSize val="0"/>
        </c:dLbls>
        <c:marker val="1"/>
        <c:smooth val="0"/>
        <c:axId val="513236831"/>
        <c:axId val="1077337023"/>
      </c:lineChart>
      <c:dateAx>
        <c:axId val="1326529551"/>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7268383"/>
        <c:crosses val="autoZero"/>
        <c:auto val="0"/>
        <c:lblOffset val="100"/>
        <c:baseTimeUnit val="days"/>
      </c:dateAx>
      <c:valAx>
        <c:axId val="107726838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0"/>
              <a:lstStyle/>
              <a:p>
                <a:pPr>
                  <a:defRPr sz="1000" b="0" i="0" u="none" strike="noStrike" kern="1200" baseline="0">
                    <a:solidFill>
                      <a:schemeClr val="tx1">
                        <a:lumMod val="65000"/>
                        <a:lumOff val="35000"/>
                      </a:schemeClr>
                    </a:solidFill>
                    <a:latin typeface="+mn-lt"/>
                    <a:ea typeface="+mn-ea"/>
                    <a:cs typeface="+mn-cs"/>
                  </a:defRPr>
                </a:pPr>
                <a:r>
                  <a:rPr lang="en-GB"/>
                  <a:t>Staff Numbers</a:t>
                </a:r>
              </a:p>
            </c:rich>
          </c:tx>
          <c:overlay val="0"/>
          <c:spPr>
            <a:noFill/>
            <a:ln>
              <a:noFill/>
            </a:ln>
            <a:effectLst/>
          </c:spPr>
          <c:txPr>
            <a:bodyPr rot="-5400000" spcFirstLastPara="1" vertOverflow="ellipsis" vert="horz" wrap="square" anchor="ctr" anchorCtr="0"/>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26529551"/>
        <c:crosses val="autoZero"/>
        <c:crossBetween val="between"/>
      </c:valAx>
      <c:valAx>
        <c:axId val="1077337023"/>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Pupil Numbers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3236831"/>
        <c:crosses val="max"/>
        <c:crossBetween val="between"/>
      </c:valAx>
      <c:catAx>
        <c:axId val="513236831"/>
        <c:scaling>
          <c:orientation val="minMax"/>
        </c:scaling>
        <c:delete val="1"/>
        <c:axPos val="b"/>
        <c:numFmt formatCode="General" sourceLinked="1"/>
        <c:majorTickMark val="out"/>
        <c:minorTickMark val="none"/>
        <c:tickLblPos val="nextTo"/>
        <c:crossAx val="1077337023"/>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a:t>Balances</a:t>
            </a:r>
          </a:p>
        </c:rich>
      </c:tx>
      <c:overlay val="0"/>
    </c:title>
    <c:autoTitleDeleted val="0"/>
    <c:plotArea>
      <c:layout/>
      <c:barChart>
        <c:barDir val="col"/>
        <c:grouping val="clustered"/>
        <c:varyColors val="0"/>
        <c:ser>
          <c:idx val="0"/>
          <c:order val="0"/>
          <c:tx>
            <c:v>In-year balance</c:v>
          </c:tx>
          <c:invertIfNegative val="0"/>
          <c:cat>
            <c:numRef>
              <c:f>'[1]SUMMARY DATA'!$B$2:$D$2</c:f>
              <c:numCache>
                <c:formatCode>General</c:formatCode>
                <c:ptCount val="3"/>
                <c:pt idx="0">
                  <c:v>2018</c:v>
                </c:pt>
                <c:pt idx="1">
                  <c:v>2019</c:v>
                </c:pt>
                <c:pt idx="2">
                  <c:v>2020</c:v>
                </c:pt>
              </c:numCache>
            </c:numRef>
          </c:cat>
          <c:val>
            <c:numRef>
              <c:f>'[1]SUMMARY DATA'!$B$39:$D$39</c:f>
              <c:numCache>
                <c:formatCode>General</c:formatCode>
                <c:ptCount val="3"/>
                <c:pt idx="0">
                  <c:v>7000</c:v>
                </c:pt>
                <c:pt idx="1">
                  <c:v>7000</c:v>
                </c:pt>
                <c:pt idx="2">
                  <c:v>7000</c:v>
                </c:pt>
              </c:numCache>
            </c:numRef>
          </c:val>
          <c:extLst>
            <c:ext xmlns:c16="http://schemas.microsoft.com/office/drawing/2014/chart" uri="{C3380CC4-5D6E-409C-BE32-E72D297353CC}">
              <c16:uniqueId val="{00000000-C7BE-46A9-BC0A-5D4B78A290EA}"/>
            </c:ext>
          </c:extLst>
        </c:ser>
        <c:ser>
          <c:idx val="1"/>
          <c:order val="1"/>
          <c:tx>
            <c:v>Cumulative Balance</c:v>
          </c:tx>
          <c:invertIfNegative val="0"/>
          <c:cat>
            <c:numRef>
              <c:f>'[1]SUMMARY DATA'!$B$2:$D$2</c:f>
              <c:numCache>
                <c:formatCode>General</c:formatCode>
                <c:ptCount val="3"/>
                <c:pt idx="0">
                  <c:v>2018</c:v>
                </c:pt>
                <c:pt idx="1">
                  <c:v>2019</c:v>
                </c:pt>
                <c:pt idx="2">
                  <c:v>2020</c:v>
                </c:pt>
              </c:numCache>
            </c:numRef>
          </c:cat>
          <c:val>
            <c:numRef>
              <c:f>'[1]SUMMARY DATA'!$B$41:$D$41</c:f>
              <c:numCache>
                <c:formatCode>General</c:formatCode>
                <c:ptCount val="3"/>
                <c:pt idx="0">
                  <c:v>7000</c:v>
                </c:pt>
                <c:pt idx="1">
                  <c:v>14000</c:v>
                </c:pt>
                <c:pt idx="2">
                  <c:v>21000</c:v>
                </c:pt>
              </c:numCache>
            </c:numRef>
          </c:val>
          <c:extLst>
            <c:ext xmlns:c16="http://schemas.microsoft.com/office/drawing/2014/chart" uri="{C3380CC4-5D6E-409C-BE32-E72D297353CC}">
              <c16:uniqueId val="{00000001-C7BE-46A9-BC0A-5D4B78A290EA}"/>
            </c:ext>
          </c:extLst>
        </c:ser>
        <c:dLbls>
          <c:showLegendKey val="0"/>
          <c:showVal val="0"/>
          <c:showCatName val="0"/>
          <c:showSerName val="0"/>
          <c:showPercent val="0"/>
          <c:showBubbleSize val="0"/>
        </c:dLbls>
        <c:gapWidth val="150"/>
        <c:axId val="71393664"/>
        <c:axId val="71395200"/>
      </c:barChart>
      <c:catAx>
        <c:axId val="71393664"/>
        <c:scaling>
          <c:orientation val="minMax"/>
        </c:scaling>
        <c:delete val="0"/>
        <c:axPos val="b"/>
        <c:numFmt formatCode="General" sourceLinked="1"/>
        <c:majorTickMark val="out"/>
        <c:minorTickMark val="none"/>
        <c:tickLblPos val="nextTo"/>
        <c:crossAx val="71395200"/>
        <c:crosses val="autoZero"/>
        <c:auto val="1"/>
        <c:lblAlgn val="ctr"/>
        <c:lblOffset val="100"/>
        <c:noMultiLvlLbl val="0"/>
      </c:catAx>
      <c:valAx>
        <c:axId val="71395200"/>
        <c:scaling>
          <c:orientation val="minMax"/>
        </c:scaling>
        <c:delete val="0"/>
        <c:axPos val="l"/>
        <c:majorGridlines/>
        <c:numFmt formatCode="General" sourceLinked="1"/>
        <c:majorTickMark val="out"/>
        <c:minorTickMark val="none"/>
        <c:tickLblPos val="nextTo"/>
        <c:crossAx val="71393664"/>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a:t>Balance</a:t>
            </a:r>
            <a:r>
              <a:rPr lang="en-GB" baseline="0"/>
              <a:t>s as percentage of in-year revenue</a:t>
            </a:r>
            <a:endParaRPr lang="en-GB"/>
          </a:p>
        </c:rich>
      </c:tx>
      <c:overlay val="0"/>
    </c:title>
    <c:autoTitleDeleted val="0"/>
    <c:plotArea>
      <c:layout/>
      <c:barChart>
        <c:barDir val="col"/>
        <c:grouping val="clustered"/>
        <c:varyColors val="0"/>
        <c:ser>
          <c:idx val="0"/>
          <c:order val="0"/>
          <c:tx>
            <c:v>In-year balance</c:v>
          </c:tx>
          <c:invertIfNegative val="0"/>
          <c:cat>
            <c:numRef>
              <c:f>'[1]SUMMARY DATA'!$B$2:$D$2</c:f>
              <c:numCache>
                <c:formatCode>General</c:formatCode>
                <c:ptCount val="3"/>
                <c:pt idx="0">
                  <c:v>2018</c:v>
                </c:pt>
                <c:pt idx="1">
                  <c:v>2019</c:v>
                </c:pt>
                <c:pt idx="2">
                  <c:v>2020</c:v>
                </c:pt>
              </c:numCache>
            </c:numRef>
          </c:cat>
          <c:val>
            <c:numRef>
              <c:f>'[1]SUMMARY DATA'!$B$52:$D$52</c:f>
              <c:numCache>
                <c:formatCode>General</c:formatCode>
                <c:ptCount val="3"/>
                <c:pt idx="0">
                  <c:v>0.42682926829268292</c:v>
                </c:pt>
                <c:pt idx="1">
                  <c:v>0.42682926829268292</c:v>
                </c:pt>
                <c:pt idx="2">
                  <c:v>0.42682926829268292</c:v>
                </c:pt>
              </c:numCache>
            </c:numRef>
          </c:val>
          <c:extLst>
            <c:ext xmlns:c16="http://schemas.microsoft.com/office/drawing/2014/chart" uri="{C3380CC4-5D6E-409C-BE32-E72D297353CC}">
              <c16:uniqueId val="{00000000-78FB-42FE-B48A-D0CB04862953}"/>
            </c:ext>
          </c:extLst>
        </c:ser>
        <c:ser>
          <c:idx val="1"/>
          <c:order val="1"/>
          <c:tx>
            <c:v>Cumulative balance</c:v>
          </c:tx>
          <c:invertIfNegative val="0"/>
          <c:cat>
            <c:numRef>
              <c:f>'[1]SUMMARY DATA'!$B$2:$D$2</c:f>
              <c:numCache>
                <c:formatCode>General</c:formatCode>
                <c:ptCount val="3"/>
                <c:pt idx="0">
                  <c:v>2018</c:v>
                </c:pt>
                <c:pt idx="1">
                  <c:v>2019</c:v>
                </c:pt>
                <c:pt idx="2">
                  <c:v>2020</c:v>
                </c:pt>
              </c:numCache>
            </c:numRef>
          </c:cat>
          <c:val>
            <c:numRef>
              <c:f>'[1]SUMMARY DATA'!$B$53:$D$53</c:f>
              <c:numCache>
                <c:formatCode>General</c:formatCode>
                <c:ptCount val="3"/>
                <c:pt idx="0">
                  <c:v>0.42682926829268292</c:v>
                </c:pt>
                <c:pt idx="1">
                  <c:v>0.85365853658536583</c:v>
                </c:pt>
                <c:pt idx="2">
                  <c:v>1.2804878048780488</c:v>
                </c:pt>
              </c:numCache>
            </c:numRef>
          </c:val>
          <c:extLst>
            <c:ext xmlns:c16="http://schemas.microsoft.com/office/drawing/2014/chart" uri="{C3380CC4-5D6E-409C-BE32-E72D297353CC}">
              <c16:uniqueId val="{00000001-78FB-42FE-B48A-D0CB04862953}"/>
            </c:ext>
          </c:extLst>
        </c:ser>
        <c:dLbls>
          <c:showLegendKey val="0"/>
          <c:showVal val="0"/>
          <c:showCatName val="0"/>
          <c:showSerName val="0"/>
          <c:showPercent val="0"/>
          <c:showBubbleSize val="0"/>
        </c:dLbls>
        <c:gapWidth val="150"/>
        <c:axId val="71658112"/>
        <c:axId val="71704960"/>
      </c:barChart>
      <c:catAx>
        <c:axId val="71658112"/>
        <c:scaling>
          <c:orientation val="minMax"/>
        </c:scaling>
        <c:delete val="0"/>
        <c:axPos val="b"/>
        <c:numFmt formatCode="General" sourceLinked="1"/>
        <c:majorTickMark val="out"/>
        <c:minorTickMark val="none"/>
        <c:tickLblPos val="nextTo"/>
        <c:crossAx val="71704960"/>
        <c:crosses val="autoZero"/>
        <c:auto val="1"/>
        <c:lblAlgn val="ctr"/>
        <c:lblOffset val="100"/>
        <c:noMultiLvlLbl val="0"/>
      </c:catAx>
      <c:valAx>
        <c:axId val="71704960"/>
        <c:scaling>
          <c:orientation val="minMax"/>
        </c:scaling>
        <c:delete val="0"/>
        <c:axPos val="l"/>
        <c:majorGridlines/>
        <c:title>
          <c:tx>
            <c:rich>
              <a:bodyPr rot="-5400000" vert="horz"/>
              <a:lstStyle/>
              <a:p>
                <a:pPr>
                  <a:defRPr/>
                </a:pPr>
                <a:r>
                  <a:rPr lang="en-US"/>
                  <a:t>Percentage of in-year revenue</a:t>
                </a:r>
              </a:p>
            </c:rich>
          </c:tx>
          <c:overlay val="0"/>
        </c:title>
        <c:numFmt formatCode="General" sourceLinked="1"/>
        <c:majorTickMark val="out"/>
        <c:minorTickMark val="none"/>
        <c:tickLblPos val="nextTo"/>
        <c:crossAx val="71658112"/>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0</xdr:col>
      <xdr:colOff>0</xdr:colOff>
      <xdr:row>2</xdr:row>
      <xdr:rowOff>4762</xdr:rowOff>
    </xdr:from>
    <xdr:to>
      <xdr:col>3</xdr:col>
      <xdr:colOff>761999</xdr:colOff>
      <xdr:row>16</xdr:row>
      <xdr:rowOff>0</xdr:rowOff>
    </xdr:to>
    <xdr:graphicFrame macro="">
      <xdr:nvGraphicFramePr>
        <xdr:cNvPr id="2" name="Chart 1">
          <a:extLst>
            <a:ext uri="{FF2B5EF4-FFF2-40B4-BE49-F238E27FC236}">
              <a16:creationId xmlns:a16="http://schemas.microsoft.com/office/drawing/2014/main" id="{43EDD1B7-2273-4403-AD1E-F560DCCE0D7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xdr:colOff>
      <xdr:row>2</xdr:row>
      <xdr:rowOff>0</xdr:rowOff>
    </xdr:from>
    <xdr:to>
      <xdr:col>9</xdr:col>
      <xdr:colOff>1</xdr:colOff>
      <xdr:row>16</xdr:row>
      <xdr:rowOff>9525</xdr:rowOff>
    </xdr:to>
    <xdr:graphicFrame macro="">
      <xdr:nvGraphicFramePr>
        <xdr:cNvPr id="3" name="Chart 2">
          <a:extLst>
            <a:ext uri="{FF2B5EF4-FFF2-40B4-BE49-F238E27FC236}">
              <a16:creationId xmlns:a16="http://schemas.microsoft.com/office/drawing/2014/main" id="{6A63CD4A-E79D-4289-9168-75A9C4BA27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17</xdr:row>
      <xdr:rowOff>0</xdr:rowOff>
    </xdr:from>
    <xdr:to>
      <xdr:col>3</xdr:col>
      <xdr:colOff>761999</xdr:colOff>
      <xdr:row>30</xdr:row>
      <xdr:rowOff>185738</xdr:rowOff>
    </xdr:to>
    <xdr:graphicFrame macro="">
      <xdr:nvGraphicFramePr>
        <xdr:cNvPr id="4" name="Chart 3">
          <a:extLst>
            <a:ext uri="{FF2B5EF4-FFF2-40B4-BE49-F238E27FC236}">
              <a16:creationId xmlns:a16="http://schemas.microsoft.com/office/drawing/2014/main" id="{AD31EFAB-3E85-4E6D-9B38-3168AA8C73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0</xdr:colOff>
      <xdr:row>17</xdr:row>
      <xdr:rowOff>0</xdr:rowOff>
    </xdr:from>
    <xdr:to>
      <xdr:col>8</xdr:col>
      <xdr:colOff>761999</xdr:colOff>
      <xdr:row>30</xdr:row>
      <xdr:rowOff>185738</xdr:rowOff>
    </xdr:to>
    <xdr:graphicFrame macro="">
      <xdr:nvGraphicFramePr>
        <xdr:cNvPr id="6" name="Chart 5">
          <a:extLst>
            <a:ext uri="{FF2B5EF4-FFF2-40B4-BE49-F238E27FC236}">
              <a16:creationId xmlns:a16="http://schemas.microsoft.com/office/drawing/2014/main" id="{9E749446-C208-47CA-91A8-6042DEECEC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32</xdr:row>
      <xdr:rowOff>0</xdr:rowOff>
    </xdr:from>
    <xdr:to>
      <xdr:col>4</xdr:col>
      <xdr:colOff>0</xdr:colOff>
      <xdr:row>46</xdr:row>
      <xdr:rowOff>9525</xdr:rowOff>
    </xdr:to>
    <xdr:graphicFrame macro="">
      <xdr:nvGraphicFramePr>
        <xdr:cNvPr id="8" name="Chart 7">
          <a:extLst>
            <a:ext uri="{FF2B5EF4-FFF2-40B4-BE49-F238E27FC236}">
              <a16:creationId xmlns:a16="http://schemas.microsoft.com/office/drawing/2014/main" id="{D2EA99A2-99CF-4EA0-A51B-D1B87EA65F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0</xdr:colOff>
      <xdr:row>32</xdr:row>
      <xdr:rowOff>0</xdr:rowOff>
    </xdr:from>
    <xdr:to>
      <xdr:col>9</xdr:col>
      <xdr:colOff>0</xdr:colOff>
      <xdr:row>46</xdr:row>
      <xdr:rowOff>9525</xdr:rowOff>
    </xdr:to>
    <xdr:graphicFrame macro="">
      <xdr:nvGraphicFramePr>
        <xdr:cNvPr id="9" name="Chart 8">
          <a:extLst>
            <a:ext uri="{FF2B5EF4-FFF2-40B4-BE49-F238E27FC236}">
              <a16:creationId xmlns:a16="http://schemas.microsoft.com/office/drawing/2014/main" id="{F5B67F43-9DFB-4B6A-94F1-43857C4714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11112</xdr:colOff>
      <xdr:row>2</xdr:row>
      <xdr:rowOff>11113</xdr:rowOff>
    </xdr:from>
    <xdr:to>
      <xdr:col>11</xdr:col>
      <xdr:colOff>523875</xdr:colOff>
      <xdr:row>19</xdr:row>
      <xdr:rowOff>11112</xdr:rowOff>
    </xdr:to>
    <xdr:graphicFrame macro="">
      <xdr:nvGraphicFramePr>
        <xdr:cNvPr id="2" name="Chart 1" descr="A bar chart showing amounts from £5,000 to £25,000 on the vertical axis and years from 2018 to 2020 on the horizontal axis. There are two bars, one showing in-year balance and one cumulative balance, which will vary from school to school.">
          <a:extLst>
            <a:ext uri="{FF2B5EF4-FFF2-40B4-BE49-F238E27FC236}">
              <a16:creationId xmlns:a16="http://schemas.microsoft.com/office/drawing/2014/main" id="{CBB75F13-F412-40DB-90B4-BBDC1BFB24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311150</xdr:colOff>
      <xdr:row>20</xdr:row>
      <xdr:rowOff>158750</xdr:rowOff>
    </xdr:from>
    <xdr:to>
      <xdr:col>11</xdr:col>
      <xdr:colOff>511175</xdr:colOff>
      <xdr:row>38</xdr:row>
      <xdr:rowOff>4762</xdr:rowOff>
    </xdr:to>
    <xdr:graphicFrame macro="">
      <xdr:nvGraphicFramePr>
        <xdr:cNvPr id="3" name="Chart 2" descr="A bar chart showing percentage of in-year revenue from 0% to 140% on the vertical axis and years from 2018 to 2020 on the horizontal axis. There are two bars, one showing in-year balance and one cumulative balance, which will vary from school to school.">
          <a:extLst>
            <a:ext uri="{FF2B5EF4-FFF2-40B4-BE49-F238E27FC236}">
              <a16:creationId xmlns:a16="http://schemas.microsoft.com/office/drawing/2014/main" id="{85243EAE-416E-4842-A7E8-5840068EB5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hibber\Downloads\Primary_workbook_templates_v2_accessib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THOR NOTE"/>
      <sheetName val="PRIMARY NOTES"/>
      <sheetName val="STEPWISE OVERVIEW"/>
      <sheetName val="SUMMARY DATA"/>
      <sheetName val="DEPLOYMENT BASE YEAR"/>
      <sheetName val="DEPLOYMENT PLANNED YEAR"/>
      <sheetName val="DEPLOYMENT PROJECTION YEAR"/>
      <sheetName val="LINKED SHEET NOTES"/>
      <sheetName val="WHAT IS CONTACT RATIO"/>
      <sheetName val="MODELLING CONTACT "/>
      <sheetName val="WHAT IS AVERAGE CLASS SIZE"/>
      <sheetName val="BONUS AND BASIC"/>
      <sheetName val="AT COST REFERENCING"/>
      <sheetName val="METRICS"/>
    </sheetNames>
    <sheetDataSet>
      <sheetData sheetId="0"/>
      <sheetData sheetId="1"/>
      <sheetData sheetId="2"/>
      <sheetData sheetId="3">
        <row r="2">
          <cell r="B2">
            <v>2018</v>
          </cell>
          <cell r="C2">
            <v>2019</v>
          </cell>
          <cell r="D2">
            <v>2020</v>
          </cell>
        </row>
        <row r="4">
          <cell r="A4" t="str">
            <v>Reception</v>
          </cell>
          <cell r="D4">
            <v>60</v>
          </cell>
        </row>
        <row r="5">
          <cell r="A5" t="str">
            <v>Year 1</v>
          </cell>
          <cell r="D5">
            <v>60</v>
          </cell>
        </row>
        <row r="6">
          <cell r="A6" t="str">
            <v>Year 2</v>
          </cell>
          <cell r="D6">
            <v>60</v>
          </cell>
        </row>
        <row r="7">
          <cell r="A7" t="str">
            <v>Year 3</v>
          </cell>
          <cell r="D7">
            <v>60</v>
          </cell>
        </row>
        <row r="8">
          <cell r="A8" t="str">
            <v>Year 4</v>
          </cell>
          <cell r="D8">
            <v>60</v>
          </cell>
        </row>
        <row r="9">
          <cell r="A9" t="str">
            <v>Year 5</v>
          </cell>
          <cell r="D9">
            <v>60</v>
          </cell>
        </row>
        <row r="10">
          <cell r="A10" t="str">
            <v>Year 6</v>
          </cell>
          <cell r="D10">
            <v>60</v>
          </cell>
        </row>
        <row r="13">
          <cell r="D13">
            <v>17</v>
          </cell>
        </row>
        <row r="39">
          <cell r="B39">
            <v>7000</v>
          </cell>
          <cell r="C39">
            <v>7000</v>
          </cell>
          <cell r="D39">
            <v>7000</v>
          </cell>
        </row>
        <row r="41">
          <cell r="B41">
            <v>7000</v>
          </cell>
          <cell r="C41">
            <v>14000</v>
          </cell>
          <cell r="D41">
            <v>21000</v>
          </cell>
        </row>
        <row r="52">
          <cell r="B52">
            <v>0.42682926829268292</v>
          </cell>
          <cell r="C52">
            <v>0.42682926829268292</v>
          </cell>
          <cell r="D52">
            <v>0.42682926829268292</v>
          </cell>
        </row>
        <row r="53">
          <cell r="B53">
            <v>0.42682926829268292</v>
          </cell>
          <cell r="C53">
            <v>0.85365853658536583</v>
          </cell>
          <cell r="D53">
            <v>1.2804878048780488</v>
          </cell>
        </row>
      </sheetData>
      <sheetData sheetId="4">
        <row r="3">
          <cell r="B3">
            <v>10</v>
          </cell>
        </row>
        <row r="20">
          <cell r="C20">
            <v>31.578947368421051</v>
          </cell>
        </row>
        <row r="21">
          <cell r="C21">
            <v>0.78235294117647058</v>
          </cell>
        </row>
        <row r="22">
          <cell r="C22">
            <v>7.8235294117647056</v>
          </cell>
        </row>
        <row r="23">
          <cell r="C23">
            <v>2.9</v>
          </cell>
        </row>
        <row r="27">
          <cell r="C27">
            <v>25.925925925925927</v>
          </cell>
        </row>
        <row r="28">
          <cell r="C28">
            <v>30</v>
          </cell>
        </row>
      </sheetData>
      <sheetData sheetId="5">
        <row r="3">
          <cell r="B3">
            <v>10</v>
          </cell>
        </row>
        <row r="20">
          <cell r="C20">
            <v>31.578947368421051</v>
          </cell>
        </row>
        <row r="21">
          <cell r="C21">
            <v>0.78239999999999998</v>
          </cell>
        </row>
        <row r="22">
          <cell r="C22">
            <v>7.8239999999999998</v>
          </cell>
        </row>
        <row r="23">
          <cell r="C23">
            <v>17</v>
          </cell>
        </row>
        <row r="24">
          <cell r="C24">
            <v>2.9</v>
          </cell>
        </row>
        <row r="28">
          <cell r="C28">
            <v>25.925925925925927</v>
          </cell>
        </row>
        <row r="29">
          <cell r="C29">
            <v>30</v>
          </cell>
        </row>
      </sheetData>
      <sheetData sheetId="6">
        <row r="3">
          <cell r="B3">
            <v>10</v>
          </cell>
        </row>
        <row r="20">
          <cell r="C20">
            <v>31.578947368421051</v>
          </cell>
        </row>
        <row r="22">
          <cell r="C22">
            <v>7.8239999999999998</v>
          </cell>
        </row>
        <row r="23">
          <cell r="C23">
            <v>17</v>
          </cell>
        </row>
        <row r="24">
          <cell r="C24">
            <v>2.9</v>
          </cell>
        </row>
        <row r="28">
          <cell r="C28">
            <v>25.925925925925927</v>
          </cell>
        </row>
        <row r="29">
          <cell r="C29">
            <v>30</v>
          </cell>
        </row>
      </sheetData>
      <sheetData sheetId="7"/>
      <sheetData sheetId="8"/>
      <sheetData sheetId="9"/>
      <sheetData sheetId="10"/>
      <sheetData sheetId="11"/>
      <sheetData sheetId="12"/>
      <sheetData sheetId="13"/>
    </sheetDataSet>
  </externalBook>
</externalLink>
</file>

<file path=xl/persons/person.xml><?xml version="1.0" encoding="utf-8"?>
<personList xmlns="http://schemas.microsoft.com/office/spreadsheetml/2018/threadedcomments" xmlns:x="http://schemas.openxmlformats.org/spreadsheetml/2006/main">
  <person displayName="Katie Burgess" id="{98DB2221-170D-4438-89D2-CF02D9794705}" userId="S::Katie.Burgess@milton-keynes.gov.uk::3c882252-81a0-4860-89ab-246744988b34"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E43" dT="2026-04-09T12:40:55.62" personId="{98DB2221-170D-4438-89D2-CF02D9794705}" id="{DAFBCB40-3D4F-4720-BC9F-74081B348F8B}">
    <text>£12 adjustment made by MKCC. Awaiting new unspent balance report.</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milton-keynes.gov.uk/schools-and-lifelong-learning/information-schools/local-management-schools-lms/reporting" TargetMode="External"/><Relationship Id="rId1" Type="http://schemas.openxmlformats.org/officeDocument/2006/relationships/hyperlink" Target="https://www.milton-keynes.gov.uk/sites/default/files/2025-01/Item%202d%20Annex%20A%20Scheme%20for%20Financing%20Schools_Jan25.pdf"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assets.publishing.service.gov.uk/media/69034343fabc9f10a832a838/Government_evidence_to_the_STRB_2026.pdf" TargetMode="External"/><Relationship Id="rId7" Type="http://schemas.openxmlformats.org/officeDocument/2006/relationships/printerSettings" Target="../printerSettings/printerSettings3.bin"/><Relationship Id="rId2" Type="http://schemas.openxmlformats.org/officeDocument/2006/relationships/hyperlink" Target="https://www.gov.uk/guidance/school-capital-funding" TargetMode="External"/><Relationship Id="rId1" Type="http://schemas.openxmlformats.org/officeDocument/2006/relationships/hyperlink" Target="https://www.gov.uk/government/publications/pupil-premium-allocations-and-conditions-of-grant-2026-to-2027" TargetMode="External"/><Relationship Id="rId6" Type="http://schemas.openxmlformats.org/officeDocument/2006/relationships/hyperlink" Target="https://www.gov.uk/government/publications/universal-infant-free-school-meals-uifsm-2025-to-2026" TargetMode="External"/><Relationship Id="rId5" Type="http://schemas.openxmlformats.org/officeDocument/2006/relationships/hyperlink" Target="https://view.officeapps.live.com/op/view.aspx?src=https%3A%2F%2Fassets.publishing.service.gov.uk%2Fmedia%2F69c2b5b1bd142c66ffe4438b%2FIMF_calculator.xlsx&amp;wdOrigin=BROWSELINK" TargetMode="External"/><Relationship Id="rId4" Type="http://schemas.openxmlformats.org/officeDocument/2006/relationships/hyperlink" Target="https://www.gov.uk/government/publications/pe-and-sport-premium-conditions-of-grant-2025-to-2026"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00000"/>
  </sheetPr>
  <dimension ref="A1:C37"/>
  <sheetViews>
    <sheetView showGridLines="0" tabSelected="1" workbookViewId="0">
      <selection activeCell="C21" sqref="C21"/>
    </sheetView>
  </sheetViews>
  <sheetFormatPr defaultRowHeight="15" x14ac:dyDescent="0.2"/>
  <cols>
    <col min="1" max="2" width="2.5546875" customWidth="1"/>
    <col min="3" max="3" width="65.5546875" customWidth="1"/>
  </cols>
  <sheetData>
    <row r="1" spans="1:3" ht="18" x14ac:dyDescent="0.25">
      <c r="A1" s="365" t="s">
        <v>0</v>
      </c>
      <c r="B1" s="365"/>
      <c r="C1" s="365"/>
    </row>
    <row r="2" spans="1:3" ht="4.5" customHeight="1" x14ac:dyDescent="0.25">
      <c r="A2" s="94"/>
    </row>
    <row r="3" spans="1:3" ht="18" x14ac:dyDescent="0.25">
      <c r="A3" s="94" t="s">
        <v>1</v>
      </c>
    </row>
    <row r="4" spans="1:3" ht="18" x14ac:dyDescent="0.25">
      <c r="A4" s="94"/>
    </row>
    <row r="5" spans="1:3" ht="18" x14ac:dyDescent="0.25">
      <c r="A5" s="218" t="s">
        <v>646</v>
      </c>
    </row>
    <row r="6" spans="1:3" ht="18" x14ac:dyDescent="0.25">
      <c r="A6" s="94"/>
    </row>
    <row r="7" spans="1:3" ht="73.5" customHeight="1" x14ac:dyDescent="0.25">
      <c r="A7" s="369" t="s">
        <v>2</v>
      </c>
      <c r="B7" s="369"/>
      <c r="C7" s="369"/>
    </row>
    <row r="8" spans="1:3" ht="18" x14ac:dyDescent="0.25">
      <c r="A8" s="94"/>
    </row>
    <row r="9" spans="1:3" ht="15.75" x14ac:dyDescent="0.25">
      <c r="A9" s="66" t="s">
        <v>3</v>
      </c>
      <c r="B9" s="66"/>
    </row>
    <row r="11" spans="1:3" ht="15.75" x14ac:dyDescent="0.25">
      <c r="A11" s="206" t="s">
        <v>4</v>
      </c>
      <c r="B11" s="206"/>
      <c r="C11" s="205"/>
    </row>
    <row r="13" spans="1:3" ht="15.75" x14ac:dyDescent="0.25">
      <c r="A13" s="367" t="s">
        <v>5</v>
      </c>
      <c r="B13" s="367"/>
      <c r="C13" s="367"/>
    </row>
    <row r="15" spans="1:3" ht="15.75" x14ac:dyDescent="0.25">
      <c r="A15" s="66" t="s">
        <v>6</v>
      </c>
      <c r="B15" s="66"/>
    </row>
    <row r="16" spans="1:3" x14ac:dyDescent="0.2">
      <c r="B16" t="s">
        <v>7</v>
      </c>
    </row>
    <row r="17" spans="1:3" x14ac:dyDescent="0.2">
      <c r="C17" t="s">
        <v>8</v>
      </c>
    </row>
    <row r="18" spans="1:3" x14ac:dyDescent="0.2">
      <c r="C18" t="s">
        <v>9</v>
      </c>
    </row>
    <row r="19" spans="1:3" ht="30" x14ac:dyDescent="0.2">
      <c r="C19" s="93" t="s">
        <v>10</v>
      </c>
    </row>
    <row r="20" spans="1:3" x14ac:dyDescent="0.2">
      <c r="C20" t="s">
        <v>11</v>
      </c>
    </row>
    <row r="21" spans="1:3" x14ac:dyDescent="0.2">
      <c r="B21" t="s">
        <v>12</v>
      </c>
    </row>
    <row r="22" spans="1:3" ht="30" x14ac:dyDescent="0.2">
      <c r="C22" s="93" t="s">
        <v>639</v>
      </c>
    </row>
    <row r="24" spans="1:3" ht="15.75" x14ac:dyDescent="0.25">
      <c r="A24" s="66" t="s">
        <v>13</v>
      </c>
      <c r="B24" s="66"/>
    </row>
    <row r="25" spans="1:3" x14ac:dyDescent="0.2">
      <c r="B25" t="s">
        <v>7</v>
      </c>
    </row>
    <row r="26" spans="1:3" ht="30" x14ac:dyDescent="0.2">
      <c r="C26" s="93" t="s">
        <v>486</v>
      </c>
    </row>
    <row r="27" spans="1:3" x14ac:dyDescent="0.2">
      <c r="C27" t="s">
        <v>487</v>
      </c>
    </row>
    <row r="28" spans="1:3" x14ac:dyDescent="0.2">
      <c r="C28" t="s">
        <v>671</v>
      </c>
    </row>
    <row r="29" spans="1:3" x14ac:dyDescent="0.2">
      <c r="C29" t="s">
        <v>14</v>
      </c>
    </row>
    <row r="31" spans="1:3" ht="15.75" x14ac:dyDescent="0.25">
      <c r="A31" s="368" t="s">
        <v>15</v>
      </c>
      <c r="B31" s="368"/>
      <c r="C31" s="368"/>
    </row>
    <row r="33" spans="1:3" ht="15.75" x14ac:dyDescent="0.25">
      <c r="A33" s="66" t="s">
        <v>16</v>
      </c>
    </row>
    <row r="34" spans="1:3" ht="31.5" customHeight="1" x14ac:dyDescent="0.2">
      <c r="B34" s="366" t="s">
        <v>17</v>
      </c>
      <c r="C34" s="366"/>
    </row>
    <row r="36" spans="1:3" ht="15.75" x14ac:dyDescent="0.25">
      <c r="A36" s="66" t="s">
        <v>18</v>
      </c>
    </row>
    <row r="37" spans="1:3" ht="29.45" customHeight="1" x14ac:dyDescent="0.2">
      <c r="B37" s="366" t="s">
        <v>19</v>
      </c>
      <c r="C37" s="366"/>
    </row>
  </sheetData>
  <sheetProtection algorithmName="SHA-512" hashValue="D62WLsthDd8hPW5bfriCp7AGXQQqY1+ihz5bz9JVHs0cq/FwBOZU02M160ace/G5F8rCevl1nfjnU1Sd8DWmbA==" saltValue="pYMd6KqWZl0phEf+7tidXQ==" spinCount="100000" sheet="1" objects="1" scenarios="1"/>
  <mergeCells count="6">
    <mergeCell ref="A1:C1"/>
    <mergeCell ref="B34:C34"/>
    <mergeCell ref="B37:C37"/>
    <mergeCell ref="A13:C13"/>
    <mergeCell ref="A31:C31"/>
    <mergeCell ref="A7:C7"/>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223F7-E23B-4843-86AB-1FD9F8C3CB79}">
  <sheetPr codeName="Sheet9"/>
  <dimension ref="A1:O69"/>
  <sheetViews>
    <sheetView workbookViewId="0">
      <selection activeCell="O3" sqref="O3"/>
    </sheetView>
  </sheetViews>
  <sheetFormatPr defaultColWidth="7.109375" defaultRowHeight="15" x14ac:dyDescent="0.25"/>
  <cols>
    <col min="1" max="1" width="86.5546875" style="227" customWidth="1"/>
    <col min="2" max="4" width="11" style="227" customWidth="1"/>
    <col min="5" max="5" width="3.33203125" style="227" customWidth="1"/>
    <col min="6" max="8" width="9.88671875" style="227" customWidth="1"/>
    <col min="9" max="16384" width="7.109375" style="227"/>
  </cols>
  <sheetData>
    <row r="1" spans="1:15" x14ac:dyDescent="0.25">
      <c r="A1" s="226"/>
      <c r="B1" s="226" t="s">
        <v>325</v>
      </c>
      <c r="C1" s="226" t="s">
        <v>326</v>
      </c>
      <c r="D1" s="226" t="s">
        <v>327</v>
      </c>
    </row>
    <row r="2" spans="1:15" x14ac:dyDescent="0.25">
      <c r="A2" s="228" t="s">
        <v>328</v>
      </c>
      <c r="B2" s="229">
        <v>2023</v>
      </c>
      <c r="C2" s="230">
        <f>B2+1</f>
        <v>2024</v>
      </c>
      <c r="D2" s="230">
        <f>C2+1</f>
        <v>2025</v>
      </c>
      <c r="O2" s="227" t="s">
        <v>451</v>
      </c>
    </row>
    <row r="3" spans="1:15" x14ac:dyDescent="0.25">
      <c r="A3" s="231" t="s">
        <v>329</v>
      </c>
      <c r="B3" s="232"/>
      <c r="C3" s="232"/>
      <c r="D3" s="232"/>
    </row>
    <row r="4" spans="1:15" x14ac:dyDescent="0.25">
      <c r="A4" s="228" t="s">
        <v>330</v>
      </c>
      <c r="B4" s="229">
        <v>60</v>
      </c>
      <c r="C4" s="229">
        <v>60</v>
      </c>
      <c r="D4" s="229">
        <v>60</v>
      </c>
    </row>
    <row r="5" spans="1:15" x14ac:dyDescent="0.25">
      <c r="A5" s="228" t="s">
        <v>22</v>
      </c>
      <c r="B5" s="229">
        <v>60</v>
      </c>
      <c r="C5" s="229">
        <v>60</v>
      </c>
      <c r="D5" s="229">
        <v>60</v>
      </c>
    </row>
    <row r="6" spans="1:15" x14ac:dyDescent="0.25">
      <c r="A6" s="228" t="s">
        <v>23</v>
      </c>
      <c r="B6" s="229">
        <v>60</v>
      </c>
      <c r="C6" s="229">
        <v>60</v>
      </c>
      <c r="D6" s="229">
        <v>60</v>
      </c>
    </row>
    <row r="7" spans="1:15" x14ac:dyDescent="0.25">
      <c r="A7" s="228" t="s">
        <v>24</v>
      </c>
      <c r="B7" s="229">
        <v>60</v>
      </c>
      <c r="C7" s="229">
        <v>60</v>
      </c>
      <c r="D7" s="229">
        <v>60</v>
      </c>
    </row>
    <row r="8" spans="1:15" x14ac:dyDescent="0.25">
      <c r="A8" s="228" t="s">
        <v>331</v>
      </c>
      <c r="B8" s="229">
        <v>60</v>
      </c>
      <c r="C8" s="229">
        <v>60</v>
      </c>
      <c r="D8" s="229">
        <v>60</v>
      </c>
    </row>
    <row r="9" spans="1:15" x14ac:dyDescent="0.25">
      <c r="A9" s="228" t="s">
        <v>332</v>
      </c>
      <c r="B9" s="229">
        <v>60</v>
      </c>
      <c r="C9" s="229">
        <v>60</v>
      </c>
      <c r="D9" s="229">
        <v>60</v>
      </c>
    </row>
    <row r="10" spans="1:15" x14ac:dyDescent="0.25">
      <c r="A10" s="228" t="s">
        <v>333</v>
      </c>
      <c r="B10" s="229">
        <v>60</v>
      </c>
      <c r="C10" s="229">
        <v>60</v>
      </c>
      <c r="D10" s="229">
        <v>60</v>
      </c>
    </row>
    <row r="11" spans="1:15" x14ac:dyDescent="0.25">
      <c r="A11" s="228" t="s">
        <v>334</v>
      </c>
      <c r="B11" s="233">
        <f>SUM(B4:B10)</f>
        <v>420</v>
      </c>
      <c r="C11" s="233">
        <f>SUM(C4:C10)</f>
        <v>420</v>
      </c>
      <c r="D11" s="233">
        <f>SUM(D4:D10)</f>
        <v>420</v>
      </c>
      <c r="H11" s="234"/>
    </row>
    <row r="12" spans="1:15" x14ac:dyDescent="0.25">
      <c r="A12" s="231" t="s">
        <v>335</v>
      </c>
      <c r="B12" s="232"/>
      <c r="C12" s="232"/>
      <c r="D12" s="232"/>
      <c r="G12" s="234"/>
    </row>
    <row r="13" spans="1:15" x14ac:dyDescent="0.25">
      <c r="A13" s="228" t="s">
        <v>336</v>
      </c>
      <c r="B13" s="235">
        <f>B21</f>
        <v>17</v>
      </c>
      <c r="C13" s="235">
        <f t="shared" ref="C13:D13" si="0">C21</f>
        <v>17</v>
      </c>
      <c r="D13" s="235">
        <f t="shared" si="0"/>
        <v>17</v>
      </c>
    </row>
    <row r="14" spans="1:15" x14ac:dyDescent="0.25">
      <c r="A14" s="228" t="s">
        <v>337</v>
      </c>
      <c r="B14" s="228" t="s">
        <v>338</v>
      </c>
      <c r="C14" s="235">
        <f>'[1]DEPLOYMENT PLANNED YEAR'!C23</f>
        <v>17</v>
      </c>
      <c r="D14" s="235">
        <f>'[1]DEPLOYMENT PROJECTION YEAR'!C23</f>
        <v>17</v>
      </c>
    </row>
    <row r="15" spans="1:15" x14ac:dyDescent="0.25">
      <c r="A15" s="228" t="s">
        <v>339</v>
      </c>
      <c r="B15" s="236">
        <f>'[1]DEPLOYMENT BASE YEAR'!C21</f>
        <v>0.78235294117647058</v>
      </c>
      <c r="C15" s="236">
        <f>'[1]DEPLOYMENT PLANNED YEAR'!C21</f>
        <v>0.78239999999999998</v>
      </c>
      <c r="D15" s="236">
        <f>'[1]DEPLOYMENT PLANNED YEAR'!C21</f>
        <v>0.78239999999999998</v>
      </c>
    </row>
    <row r="16" spans="1:15" x14ac:dyDescent="0.25">
      <c r="A16" s="228" t="s">
        <v>340</v>
      </c>
      <c r="B16" s="237">
        <f>'[1]DEPLOYMENT BASE YEAR'!B3</f>
        <v>10</v>
      </c>
      <c r="C16" s="237">
        <f>'[1]DEPLOYMENT PLANNED YEAR'!B3</f>
        <v>10</v>
      </c>
      <c r="D16" s="237">
        <f>'[1]DEPLOYMENT PROJECTION YEAR'!B3</f>
        <v>10</v>
      </c>
    </row>
    <row r="17" spans="1:4" x14ac:dyDescent="0.25">
      <c r="A17" s="228" t="s">
        <v>341</v>
      </c>
      <c r="B17" s="238">
        <f>'[1]DEPLOYMENT BASE YEAR'!C22</f>
        <v>7.8235294117647056</v>
      </c>
      <c r="C17" s="238">
        <f>'[1]DEPLOYMENT PLANNED YEAR'!C22</f>
        <v>7.8239999999999998</v>
      </c>
      <c r="D17" s="238">
        <f>'[1]DEPLOYMENT PROJECTION YEAR'!C22</f>
        <v>7.8239999999999998</v>
      </c>
    </row>
    <row r="18" spans="1:4" x14ac:dyDescent="0.25">
      <c r="A18" s="228" t="s">
        <v>342</v>
      </c>
      <c r="B18" s="238">
        <f>'[1]DEPLOYMENT BASE YEAR'!C20</f>
        <v>31.578947368421051</v>
      </c>
      <c r="C18" s="238">
        <f>'[1]DEPLOYMENT PLANNED YEAR'!C20</f>
        <v>31.578947368421051</v>
      </c>
      <c r="D18" s="238">
        <f>'[1]DEPLOYMENT PROJECTION YEAR'!C20</f>
        <v>31.578947368421051</v>
      </c>
    </row>
    <row r="19" spans="1:4" x14ac:dyDescent="0.25">
      <c r="A19" s="239" t="s">
        <v>343</v>
      </c>
      <c r="B19" s="238">
        <f>'[1]DEPLOYMENT BASE YEAR'!C23</f>
        <v>2.9</v>
      </c>
      <c r="C19" s="238">
        <f>'[1]DEPLOYMENT PLANNED YEAR'!C24</f>
        <v>2.9</v>
      </c>
      <c r="D19" s="238">
        <f>'[1]DEPLOYMENT PROJECTION YEAR'!C24</f>
        <v>2.9</v>
      </c>
    </row>
    <row r="20" spans="1:4" x14ac:dyDescent="0.25">
      <c r="A20" s="231" t="s">
        <v>344</v>
      </c>
      <c r="B20" s="232"/>
      <c r="C20" s="232"/>
      <c r="D20" s="232"/>
    </row>
    <row r="21" spans="1:4" x14ac:dyDescent="0.25">
      <c r="A21" s="228" t="s">
        <v>345</v>
      </c>
      <c r="B21" s="240">
        <v>17</v>
      </c>
      <c r="C21" s="240">
        <v>17</v>
      </c>
      <c r="D21" s="240">
        <v>17</v>
      </c>
    </row>
    <row r="22" spans="1:4" x14ac:dyDescent="0.25">
      <c r="A22" s="228" t="s">
        <v>346</v>
      </c>
      <c r="B22" s="241">
        <v>748000</v>
      </c>
      <c r="C22" s="242">
        <f>C21*C35</f>
        <v>748000</v>
      </c>
      <c r="D22" s="242">
        <f>D21*D35</f>
        <v>748000</v>
      </c>
    </row>
    <row r="23" spans="1:4" x14ac:dyDescent="0.25">
      <c r="A23" s="243" t="s">
        <v>347</v>
      </c>
      <c r="B23" s="241">
        <v>216000</v>
      </c>
      <c r="C23" s="242">
        <f>C24*C36</f>
        <v>216000</v>
      </c>
      <c r="D23" s="242">
        <f>D24*D36</f>
        <v>216000</v>
      </c>
    </row>
    <row r="24" spans="1:4" x14ac:dyDescent="0.25">
      <c r="A24" s="243" t="s">
        <v>348</v>
      </c>
      <c r="B24" s="240">
        <v>12</v>
      </c>
      <c r="C24" s="240">
        <v>12</v>
      </c>
      <c r="D24" s="240">
        <v>12</v>
      </c>
    </row>
    <row r="25" spans="1:4" x14ac:dyDescent="0.25">
      <c r="A25" s="243" t="s">
        <v>349</v>
      </c>
      <c r="B25" s="241">
        <v>69000</v>
      </c>
      <c r="C25" s="242">
        <f>C26*C37</f>
        <v>69000</v>
      </c>
      <c r="D25" s="242">
        <f>D26*D37</f>
        <v>69000</v>
      </c>
    </row>
    <row r="26" spans="1:4" x14ac:dyDescent="0.25">
      <c r="A26" s="243" t="s">
        <v>350</v>
      </c>
      <c r="B26" s="240">
        <v>3</v>
      </c>
      <c r="C26" s="240">
        <v>3</v>
      </c>
      <c r="D26" s="240">
        <v>3</v>
      </c>
    </row>
    <row r="27" spans="1:4" x14ac:dyDescent="0.25">
      <c r="A27" s="243" t="s">
        <v>351</v>
      </c>
      <c r="B27" s="241">
        <v>100000</v>
      </c>
      <c r="C27" s="242">
        <f>C28*C38</f>
        <v>100000</v>
      </c>
      <c r="D27" s="242">
        <f>D28*D38</f>
        <v>100000</v>
      </c>
    </row>
    <row r="28" spans="1:4" x14ac:dyDescent="0.25">
      <c r="A28" s="243" t="s">
        <v>352</v>
      </c>
      <c r="B28" s="240">
        <v>7</v>
      </c>
      <c r="C28" s="240">
        <v>7</v>
      </c>
      <c r="D28" s="240">
        <v>7</v>
      </c>
    </row>
    <row r="29" spans="1:4" x14ac:dyDescent="0.25">
      <c r="A29" s="244" t="s">
        <v>353</v>
      </c>
      <c r="B29" s="241">
        <v>500000</v>
      </c>
      <c r="C29" s="242">
        <f>B29*(1+(C47/100))</f>
        <v>500000</v>
      </c>
      <c r="D29" s="242">
        <f>C29*(1+(D47/100))</f>
        <v>500000</v>
      </c>
    </row>
    <row r="30" spans="1:4" x14ac:dyDescent="0.25">
      <c r="A30" s="228" t="s">
        <v>354</v>
      </c>
      <c r="B30" s="242">
        <f>B29+B27+B25+B23+B22</f>
        <v>1633000</v>
      </c>
      <c r="C30" s="242">
        <f t="shared" ref="C30:D30" si="1">C29+C27+C25+C23+C22</f>
        <v>1633000</v>
      </c>
      <c r="D30" s="242">
        <f t="shared" si="1"/>
        <v>1633000</v>
      </c>
    </row>
    <row r="31" spans="1:4" x14ac:dyDescent="0.25">
      <c r="A31" s="228" t="s">
        <v>355</v>
      </c>
      <c r="B31" s="242">
        <f>IF(B11=0,0,B30/B11)</f>
        <v>3888.0952380952381</v>
      </c>
      <c r="C31" s="242">
        <f>IF(C11=0,0,C30/C11)</f>
        <v>3888.0952380952381</v>
      </c>
      <c r="D31" s="242">
        <f>IF(D11=0,0,D30/D11)</f>
        <v>3888.0952380952381</v>
      </c>
    </row>
    <row r="32" spans="1:4" x14ac:dyDescent="0.25">
      <c r="A32" s="231" t="s">
        <v>356</v>
      </c>
      <c r="B32" s="232"/>
      <c r="C32" s="232"/>
      <c r="D32" s="232"/>
    </row>
    <row r="33" spans="1:6" x14ac:dyDescent="0.25">
      <c r="A33" s="228" t="s">
        <v>357</v>
      </c>
      <c r="B33" s="241">
        <v>1640000</v>
      </c>
      <c r="C33" s="241">
        <v>1640000</v>
      </c>
      <c r="D33" s="241">
        <v>1640000</v>
      </c>
    </row>
    <row r="34" spans="1:6" x14ac:dyDescent="0.25">
      <c r="A34" s="228" t="s">
        <v>358</v>
      </c>
      <c r="B34" s="242">
        <f>IF(B11=0,0,B33/B11)</f>
        <v>3904.7619047619046</v>
      </c>
      <c r="C34" s="242">
        <f>B34*(1+(C48/100))</f>
        <v>3904.7619047619046</v>
      </c>
      <c r="D34" s="242">
        <f>C34*(1+(D48/100))</f>
        <v>3904.7619047619046</v>
      </c>
    </row>
    <row r="35" spans="1:6" x14ac:dyDescent="0.25">
      <c r="A35" s="228" t="s">
        <v>359</v>
      </c>
      <c r="B35" s="242">
        <f>IF(B13=0,0,B22/B21)</f>
        <v>44000</v>
      </c>
      <c r="C35" s="242">
        <f>B35*(1+(C43/100))</f>
        <v>44000</v>
      </c>
      <c r="D35" s="242">
        <f>C35*(1+(D43/100))</f>
        <v>44000</v>
      </c>
    </row>
    <row r="36" spans="1:6" x14ac:dyDescent="0.25">
      <c r="A36" s="228" t="s">
        <v>360</v>
      </c>
      <c r="B36" s="242">
        <f>B23/B24</f>
        <v>18000</v>
      </c>
      <c r="C36" s="242">
        <f>B36*(1+(C44/100))</f>
        <v>18000</v>
      </c>
      <c r="D36" s="242">
        <f>C36*(1+(D44/100))</f>
        <v>18000</v>
      </c>
    </row>
    <row r="37" spans="1:6" x14ac:dyDescent="0.25">
      <c r="A37" s="228" t="s">
        <v>361</v>
      </c>
      <c r="B37" s="242">
        <f>B25/B26</f>
        <v>23000</v>
      </c>
      <c r="C37" s="242">
        <f t="shared" ref="C37:D38" si="2">B37*(1+(C45/100))</f>
        <v>23000</v>
      </c>
      <c r="D37" s="242">
        <f t="shared" si="2"/>
        <v>23000</v>
      </c>
    </row>
    <row r="38" spans="1:6" x14ac:dyDescent="0.25">
      <c r="A38" s="228" t="s">
        <v>362</v>
      </c>
      <c r="B38" s="242">
        <f>B27/B28</f>
        <v>14285.714285714286</v>
      </c>
      <c r="C38" s="242">
        <f t="shared" si="2"/>
        <v>14285.714285714286</v>
      </c>
      <c r="D38" s="242">
        <f t="shared" si="2"/>
        <v>14285.714285714286</v>
      </c>
    </row>
    <row r="39" spans="1:6" x14ac:dyDescent="0.25">
      <c r="A39" s="228" t="s">
        <v>363</v>
      </c>
      <c r="B39" s="245">
        <f>B33-B30</f>
        <v>7000</v>
      </c>
      <c r="C39" s="245">
        <f>C33-C30</f>
        <v>7000</v>
      </c>
      <c r="D39" s="245">
        <f>D33-D30</f>
        <v>7000</v>
      </c>
    </row>
    <row r="40" spans="1:6" x14ac:dyDescent="0.25">
      <c r="A40" s="228" t="s">
        <v>364</v>
      </c>
      <c r="B40" s="241">
        <v>0</v>
      </c>
      <c r="C40" s="228" t="s">
        <v>338</v>
      </c>
      <c r="D40" s="228" t="s">
        <v>338</v>
      </c>
      <c r="F40" s="246" t="s">
        <v>365</v>
      </c>
    </row>
    <row r="41" spans="1:6" x14ac:dyDescent="0.25">
      <c r="A41" s="228" t="s">
        <v>366</v>
      </c>
      <c r="B41" s="247">
        <f>B39+B40</f>
        <v>7000</v>
      </c>
      <c r="C41" s="247">
        <f>C39+B41</f>
        <v>14000</v>
      </c>
      <c r="D41" s="247">
        <f>D39+C41</f>
        <v>21000</v>
      </c>
      <c r="F41" s="248" t="s">
        <v>367</v>
      </c>
    </row>
    <row r="42" spans="1:6" x14ac:dyDescent="0.25">
      <c r="A42" s="231" t="s">
        <v>368</v>
      </c>
      <c r="B42" s="232"/>
      <c r="C42" s="232"/>
      <c r="D42" s="232"/>
    </row>
    <row r="43" spans="1:6" x14ac:dyDescent="0.25">
      <c r="A43" s="228" t="s">
        <v>369</v>
      </c>
      <c r="B43" s="228" t="s">
        <v>338</v>
      </c>
      <c r="C43" s="249">
        <v>0</v>
      </c>
      <c r="D43" s="249">
        <v>0</v>
      </c>
      <c r="F43" s="248" t="s">
        <v>370</v>
      </c>
    </row>
    <row r="44" spans="1:6" x14ac:dyDescent="0.25">
      <c r="A44" s="228" t="s">
        <v>371</v>
      </c>
      <c r="B44" s="228" t="s">
        <v>338</v>
      </c>
      <c r="C44" s="249">
        <v>0</v>
      </c>
      <c r="D44" s="249">
        <v>0</v>
      </c>
    </row>
    <row r="45" spans="1:6" x14ac:dyDescent="0.25">
      <c r="A45" s="228" t="s">
        <v>372</v>
      </c>
      <c r="B45" s="228" t="s">
        <v>338</v>
      </c>
      <c r="C45" s="249">
        <v>0</v>
      </c>
      <c r="D45" s="249">
        <v>0</v>
      </c>
    </row>
    <row r="46" spans="1:6" x14ac:dyDescent="0.25">
      <c r="A46" s="228" t="s">
        <v>373</v>
      </c>
      <c r="B46" s="228" t="s">
        <v>338</v>
      </c>
      <c r="C46" s="249">
        <v>0</v>
      </c>
      <c r="D46" s="249">
        <v>0</v>
      </c>
    </row>
    <row r="47" spans="1:6" x14ac:dyDescent="0.25">
      <c r="A47" s="228" t="s">
        <v>374</v>
      </c>
      <c r="B47" s="228" t="s">
        <v>338</v>
      </c>
      <c r="C47" s="249">
        <v>0</v>
      </c>
      <c r="D47" s="249">
        <v>0</v>
      </c>
    </row>
    <row r="48" spans="1:6" x14ac:dyDescent="0.25">
      <c r="A48" s="250" t="s">
        <v>375</v>
      </c>
      <c r="B48" s="250" t="s">
        <v>338</v>
      </c>
      <c r="C48" s="251">
        <f>IF(B33=0,"N/A",(C33-B33)/B33)</f>
        <v>0</v>
      </c>
      <c r="D48" s="251">
        <f>IF(C33=0,"N/A",(D33-C33)/C33)</f>
        <v>0</v>
      </c>
    </row>
    <row r="49" spans="1:13" x14ac:dyDescent="0.25">
      <c r="A49" s="231" t="s">
        <v>376</v>
      </c>
      <c r="B49" s="232"/>
      <c r="C49" s="232"/>
      <c r="D49" s="232"/>
    </row>
    <row r="50" spans="1:13" x14ac:dyDescent="0.25">
      <c r="A50" s="252" t="s">
        <v>377</v>
      </c>
      <c r="B50" s="253">
        <f t="shared" ref="B50:D51" si="3">B34</f>
        <v>3904.7619047619046</v>
      </c>
      <c r="C50" s="253">
        <f t="shared" si="3"/>
        <v>3904.7619047619046</v>
      </c>
      <c r="D50" s="253">
        <f t="shared" si="3"/>
        <v>3904.7619047619046</v>
      </c>
    </row>
    <row r="51" spans="1:13" x14ac:dyDescent="0.25">
      <c r="A51" s="252" t="s">
        <v>378</v>
      </c>
      <c r="B51" s="253">
        <f t="shared" si="3"/>
        <v>44000</v>
      </c>
      <c r="C51" s="253">
        <f t="shared" si="3"/>
        <v>44000</v>
      </c>
      <c r="D51" s="253">
        <f t="shared" si="3"/>
        <v>44000</v>
      </c>
    </row>
    <row r="52" spans="1:13" x14ac:dyDescent="0.25">
      <c r="A52" s="252" t="s">
        <v>379</v>
      </c>
      <c r="B52" s="254">
        <f>IF(B33=0,0,100*B39/B33)</f>
        <v>0.42682926829268292</v>
      </c>
      <c r="C52" s="254">
        <f>IF(C33=0,0,100*C39/C33)</f>
        <v>0.42682926829268292</v>
      </c>
      <c r="D52" s="254">
        <f>IF(D33=0,0,100*D39/D33)</f>
        <v>0.42682926829268292</v>
      </c>
    </row>
    <row r="53" spans="1:13" x14ac:dyDescent="0.25">
      <c r="A53" s="252" t="s">
        <v>380</v>
      </c>
      <c r="B53" s="254">
        <f>IF(B33=0,0,100*B41/B33)</f>
        <v>0.42682926829268292</v>
      </c>
      <c r="C53" s="254">
        <f>IF(C33=0,0,100*C41/C33)</f>
        <v>0.85365853658536583</v>
      </c>
      <c r="D53" s="254">
        <f>IF(D33=0,0,100*D41/D33)</f>
        <v>1.2804878048780488</v>
      </c>
    </row>
    <row r="54" spans="1:13" x14ac:dyDescent="0.25">
      <c r="A54" s="252" t="s">
        <v>381</v>
      </c>
      <c r="B54" s="255">
        <f>IF(B13=0,"n/a",B11/B21)</f>
        <v>24.705882352941178</v>
      </c>
      <c r="C54" s="255">
        <f t="shared" ref="C54:D54" si="4">IF(C13=0,"n/a",C11/C21)</f>
        <v>24.705882352941178</v>
      </c>
      <c r="D54" s="255">
        <f t="shared" si="4"/>
        <v>24.705882352941178</v>
      </c>
    </row>
    <row r="55" spans="1:13" ht="15" customHeight="1" x14ac:dyDescent="0.25">
      <c r="A55" s="252" t="s">
        <v>382</v>
      </c>
      <c r="B55" s="256">
        <f>B15</f>
        <v>0.78235294117647058</v>
      </c>
      <c r="C55" s="256">
        <f>C15</f>
        <v>0.78239999999999998</v>
      </c>
      <c r="D55" s="256">
        <f>D15</f>
        <v>0.78239999999999998</v>
      </c>
      <c r="E55" s="257" t="s">
        <v>383</v>
      </c>
      <c r="F55" s="257"/>
      <c r="G55" s="257"/>
      <c r="H55" s="257"/>
      <c r="I55" s="257"/>
    </row>
    <row r="56" spans="1:13" x14ac:dyDescent="0.25">
      <c r="A56" s="252" t="s">
        <v>384</v>
      </c>
      <c r="B56" s="258">
        <f>IF(OR(B54="n/a",B55=0),"n/a",B54/B55)</f>
        <v>31.578947368421055</v>
      </c>
      <c r="C56" s="258">
        <f t="shared" ref="C56:D56" si="5">IF(OR(C54="n/a",C55=0),"n/a",C54/C55)</f>
        <v>31.577047997112956</v>
      </c>
      <c r="D56" s="258">
        <f t="shared" si="5"/>
        <v>31.577047997112956</v>
      </c>
      <c r="E56" s="257" t="s">
        <v>385</v>
      </c>
      <c r="F56" s="257"/>
      <c r="G56" s="257"/>
      <c r="H56" s="257"/>
      <c r="I56" s="257"/>
    </row>
    <row r="57" spans="1:13" x14ac:dyDescent="0.25">
      <c r="A57" s="252" t="s">
        <v>386</v>
      </c>
      <c r="B57" s="258">
        <f>B18</f>
        <v>31.578947368421051</v>
      </c>
      <c r="C57" s="258">
        <f>C18</f>
        <v>31.578947368421051</v>
      </c>
      <c r="D57" s="258">
        <f>D18</f>
        <v>31.578947368421051</v>
      </c>
    </row>
    <row r="58" spans="1:13" ht="15" customHeight="1" x14ac:dyDescent="0.25">
      <c r="A58" s="252" t="s">
        <v>387</v>
      </c>
      <c r="B58" s="258">
        <f>'[1]DEPLOYMENT BASE YEAR'!C27</f>
        <v>25.925925925925927</v>
      </c>
      <c r="C58" s="258">
        <f>'[1]DEPLOYMENT PLANNED YEAR'!C28</f>
        <v>25.925925925925927</v>
      </c>
      <c r="D58" s="258">
        <f>'[1]DEPLOYMENT PROJECTION YEAR'!C28</f>
        <v>25.925925925925927</v>
      </c>
      <c r="E58" s="259" t="s">
        <v>388</v>
      </c>
      <c r="F58" s="259"/>
      <c r="G58" s="259"/>
      <c r="H58" s="259"/>
      <c r="I58" s="259"/>
      <c r="J58" s="259"/>
      <c r="K58" s="259"/>
      <c r="L58" s="259"/>
      <c r="M58" s="259"/>
    </row>
    <row r="59" spans="1:13" ht="14.25" customHeight="1" x14ac:dyDescent="0.25">
      <c r="A59" s="252" t="s">
        <v>389</v>
      </c>
      <c r="B59" s="258">
        <f>'[1]DEPLOYMENT BASE YEAR'!C28</f>
        <v>30</v>
      </c>
      <c r="C59" s="258">
        <f>'[1]DEPLOYMENT PLANNED YEAR'!C29</f>
        <v>30</v>
      </c>
      <c r="D59" s="258">
        <f>'[1]DEPLOYMENT PROJECTION YEAR'!C29</f>
        <v>30</v>
      </c>
      <c r="E59" s="260" t="s">
        <v>390</v>
      </c>
      <c r="F59" s="260"/>
      <c r="G59" s="260"/>
      <c r="H59" s="260"/>
      <c r="I59" s="260"/>
      <c r="J59" s="260"/>
      <c r="K59" s="260"/>
      <c r="L59" s="260"/>
      <c r="M59" s="260"/>
    </row>
    <row r="60" spans="1:13" x14ac:dyDescent="0.25">
      <c r="A60" s="252" t="s">
        <v>391</v>
      </c>
      <c r="B60" s="261">
        <f>IF(B33=0,"n/a",B22/B33)</f>
        <v>0.45609756097560977</v>
      </c>
      <c r="C60" s="261">
        <f>IF(C33=0,"n/a",C22/C33)</f>
        <v>0.45609756097560977</v>
      </c>
      <c r="D60" s="261">
        <f>IF(D33=0,"n/a",D22/D33)</f>
        <v>0.45609756097560977</v>
      </c>
    </row>
    <row r="61" spans="1:13" x14ac:dyDescent="0.25">
      <c r="A61" s="252" t="s">
        <v>392</v>
      </c>
      <c r="B61" s="262">
        <f>IF(B33=0,"n/a",((B33-(B29+B27+B25+B23))/B33))</f>
        <v>0.46036585365853661</v>
      </c>
      <c r="C61" s="262">
        <f t="shared" ref="C61:D61" si="6">IF(C33=0,"n/a",((C33-(C29+C27+C25+C23))/C33))</f>
        <v>0.46036585365853661</v>
      </c>
      <c r="D61" s="262">
        <f t="shared" si="6"/>
        <v>0.46036585365853661</v>
      </c>
    </row>
    <row r="62" spans="1:13" x14ac:dyDescent="0.25">
      <c r="A62" s="252" t="s">
        <v>393</v>
      </c>
      <c r="B62" s="263">
        <f>IF(OR(B50=0,B61="n/a"),"n/a",B51/(B50*B61))</f>
        <v>24.476821192052977</v>
      </c>
      <c r="C62" s="263">
        <f t="shared" ref="C62:D62" si="7">IF(OR(C50=0,C61="n/a"),"n/a",C51/(C50*C61))</f>
        <v>24.476821192052977</v>
      </c>
      <c r="D62" s="263">
        <f t="shared" si="7"/>
        <v>24.476821192052977</v>
      </c>
    </row>
    <row r="63" spans="1:13" x14ac:dyDescent="0.25">
      <c r="A63" s="252" t="s">
        <v>394</v>
      </c>
      <c r="B63" s="264">
        <f>IF(B62="n/a","n/a",B11/B62)</f>
        <v>17.15909090909091</v>
      </c>
      <c r="C63" s="264">
        <f>IF(C62="n/a","n/a",C11/C62)</f>
        <v>17.15909090909091</v>
      </c>
      <c r="D63" s="264">
        <f>IF(D62="n/a","n/a",D11/D62)</f>
        <v>17.15909090909091</v>
      </c>
    </row>
    <row r="64" spans="1:13" x14ac:dyDescent="0.25">
      <c r="A64" s="252" t="s">
        <v>395</v>
      </c>
      <c r="B64" s="264">
        <f>B13</f>
        <v>17</v>
      </c>
      <c r="C64" s="264">
        <f t="shared" ref="C64:D64" si="8">C13</f>
        <v>17</v>
      </c>
      <c r="D64" s="264">
        <f t="shared" si="8"/>
        <v>17</v>
      </c>
    </row>
    <row r="65" spans="1:4" x14ac:dyDescent="0.25">
      <c r="A65" s="252" t="s">
        <v>396</v>
      </c>
      <c r="B65" s="264">
        <f>B13/B24</f>
        <v>1.4166666666666667</v>
      </c>
      <c r="C65" s="264">
        <f>C13/C24</f>
        <v>1.4166666666666667</v>
      </c>
      <c r="D65" s="264">
        <f>D13/D24</f>
        <v>1.4166666666666667</v>
      </c>
    </row>
    <row r="66" spans="1:4" x14ac:dyDescent="0.25">
      <c r="A66" s="252" t="s">
        <v>397</v>
      </c>
      <c r="B66" s="264">
        <f>(B13+B24+B26+B28)/B26</f>
        <v>13</v>
      </c>
      <c r="C66" s="264">
        <f>(C13+C24+C26+C28)/C26</f>
        <v>13</v>
      </c>
      <c r="D66" s="264">
        <f>(D13+D24+D26+D28)/D26</f>
        <v>13</v>
      </c>
    </row>
    <row r="67" spans="1:4" x14ac:dyDescent="0.25">
      <c r="A67" s="252" t="s">
        <v>398</v>
      </c>
      <c r="B67" s="264">
        <f>B11/B24</f>
        <v>35</v>
      </c>
      <c r="C67" s="264">
        <f>C11/C24</f>
        <v>35</v>
      </c>
      <c r="D67" s="264">
        <f>D11/D24</f>
        <v>35</v>
      </c>
    </row>
    <row r="68" spans="1:4" x14ac:dyDescent="0.25">
      <c r="A68" s="265" t="s">
        <v>399</v>
      </c>
      <c r="B68" s="266">
        <f>B11/(B13+B24+B26+B28)</f>
        <v>10.76923076923077</v>
      </c>
      <c r="C68" s="266">
        <f>C11/(C13+C24+C26+C28)</f>
        <v>10.76923076923077</v>
      </c>
      <c r="D68" s="266">
        <f>D11/(D13+D24+D26+D28)</f>
        <v>10.76923076923077</v>
      </c>
    </row>
    <row r="69" spans="1:4" x14ac:dyDescent="0.25">
      <c r="A69" s="252" t="s">
        <v>400</v>
      </c>
      <c r="B69" s="262">
        <f>(B22+B23+B25+B27)/B33</f>
        <v>0.69085365853658531</v>
      </c>
      <c r="C69" s="262">
        <f t="shared" ref="C69:D69" si="9">(C22+C23+C25+C27)/C33</f>
        <v>0.69085365853658531</v>
      </c>
      <c r="D69" s="262">
        <f t="shared" si="9"/>
        <v>0.69085365853658531</v>
      </c>
    </row>
  </sheetData>
  <conditionalFormatting sqref="C14:D14">
    <cfRule type="expression" dxfId="5" priority="1">
      <formula>C$14&lt;C$13</formula>
    </cfRule>
    <cfRule type="expression" dxfId="4" priority="2">
      <formula>C$14=C$13</formula>
    </cfRule>
    <cfRule type="expression" dxfId="3" priority="3">
      <formula>C$14&gt;C$13</formula>
    </cfRule>
  </conditionalFormatting>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F30EB-2805-4FA4-80FD-EF1AD0A99A11}">
  <sheetPr codeName="Sheet10"/>
  <dimension ref="A1:H29"/>
  <sheetViews>
    <sheetView workbookViewId="0">
      <selection activeCell="H15" sqref="H15"/>
    </sheetView>
  </sheetViews>
  <sheetFormatPr defaultColWidth="7.109375" defaultRowHeight="15" x14ac:dyDescent="0.25"/>
  <cols>
    <col min="1" max="1" width="25.33203125" style="227" customWidth="1"/>
    <col min="2" max="2" width="7.109375" style="227"/>
    <col min="3" max="3" width="14.6640625" style="227" customWidth="1"/>
    <col min="4" max="5" width="9.109375" style="227" customWidth="1"/>
    <col min="6" max="6" width="10.44140625" style="227" customWidth="1"/>
    <col min="7" max="7" width="9.77734375" style="227" customWidth="1"/>
    <col min="8" max="8" width="84.21875" style="227" customWidth="1"/>
    <col min="9" max="9" width="2.44140625" style="227" customWidth="1"/>
    <col min="10" max="16384" width="7.109375" style="227"/>
  </cols>
  <sheetData>
    <row r="1" spans="1:8" x14ac:dyDescent="0.25">
      <c r="A1" s="267" t="s">
        <v>401</v>
      </c>
      <c r="B1" s="267"/>
      <c r="C1" s="267"/>
      <c r="D1" s="267"/>
      <c r="E1" s="267"/>
      <c r="F1" s="267"/>
      <c r="G1" s="267"/>
      <c r="H1" s="267"/>
    </row>
    <row r="2" spans="1:8" x14ac:dyDescent="0.25">
      <c r="A2" s="268" t="s">
        <v>402</v>
      </c>
      <c r="B2" s="269">
        <f>'[1]SUMMARY DATA'!D2</f>
        <v>2020</v>
      </c>
      <c r="C2" s="270" t="s">
        <v>403</v>
      </c>
      <c r="D2" s="271"/>
      <c r="E2" s="271"/>
      <c r="F2" s="271"/>
      <c r="G2" s="271"/>
      <c r="H2" s="272"/>
    </row>
    <row r="3" spans="1:8" x14ac:dyDescent="0.25">
      <c r="A3" s="273" t="s">
        <v>404</v>
      </c>
      <c r="B3" s="274">
        <v>10</v>
      </c>
      <c r="C3" s="275"/>
      <c r="D3" s="276"/>
      <c r="E3" s="276"/>
      <c r="F3" s="276"/>
      <c r="G3" s="276"/>
      <c r="H3" s="277"/>
    </row>
    <row r="4" spans="1:8" ht="60" x14ac:dyDescent="0.25">
      <c r="A4" s="278" t="s">
        <v>405</v>
      </c>
      <c r="B4" s="278" t="s">
        <v>406</v>
      </c>
      <c r="C4" s="278" t="s">
        <v>407</v>
      </c>
      <c r="D4" s="278" t="s">
        <v>406</v>
      </c>
      <c r="E4" s="278" t="s">
        <v>408</v>
      </c>
      <c r="F4" s="278" t="s">
        <v>409</v>
      </c>
      <c r="G4" s="278" t="s">
        <v>410</v>
      </c>
      <c r="H4" s="279" t="s">
        <v>411</v>
      </c>
    </row>
    <row r="5" spans="1:8" x14ac:dyDescent="0.25">
      <c r="A5" s="228" t="str">
        <f>'[1]SUMMARY DATA'!A4</f>
        <v>Reception</v>
      </c>
      <c r="B5" s="237">
        <f>'[1]SUMMARY DATA'!D4</f>
        <v>60</v>
      </c>
      <c r="C5" s="274" t="s">
        <v>330</v>
      </c>
      <c r="D5" s="274">
        <v>60</v>
      </c>
      <c r="E5" s="274">
        <v>2</v>
      </c>
      <c r="F5" s="274">
        <v>18</v>
      </c>
      <c r="G5" s="274">
        <v>2</v>
      </c>
      <c r="H5" s="274" t="s">
        <v>412</v>
      </c>
    </row>
    <row r="6" spans="1:8" x14ac:dyDescent="0.25">
      <c r="A6" s="228" t="str">
        <f>'[1]SUMMARY DATA'!A5</f>
        <v>Year 1</v>
      </c>
      <c r="B6" s="237">
        <f>'[1]SUMMARY DATA'!D5</f>
        <v>60</v>
      </c>
      <c r="C6" s="274" t="s">
        <v>413</v>
      </c>
      <c r="D6" s="274">
        <v>60</v>
      </c>
      <c r="E6" s="274">
        <v>2</v>
      </c>
      <c r="F6" s="274">
        <v>18</v>
      </c>
      <c r="G6" s="274">
        <v>2</v>
      </c>
      <c r="H6" s="274" t="s">
        <v>412</v>
      </c>
    </row>
    <row r="7" spans="1:8" x14ac:dyDescent="0.25">
      <c r="A7" s="228" t="str">
        <f>'[1]SUMMARY DATA'!A6</f>
        <v>Year 2</v>
      </c>
      <c r="B7" s="237">
        <f>'[1]SUMMARY DATA'!D6</f>
        <v>60</v>
      </c>
      <c r="C7" s="274" t="s">
        <v>414</v>
      </c>
      <c r="D7" s="274">
        <v>60</v>
      </c>
      <c r="E7" s="274">
        <v>2</v>
      </c>
      <c r="F7" s="274">
        <v>18</v>
      </c>
      <c r="G7" s="274">
        <v>2</v>
      </c>
      <c r="H7" s="274" t="s">
        <v>412</v>
      </c>
    </row>
    <row r="8" spans="1:8" x14ac:dyDescent="0.25">
      <c r="A8" s="228" t="str">
        <f>'[1]SUMMARY DATA'!A7</f>
        <v>Year 3</v>
      </c>
      <c r="B8" s="237">
        <f>'[1]SUMMARY DATA'!D7</f>
        <v>60</v>
      </c>
      <c r="C8" s="274" t="s">
        <v>415</v>
      </c>
      <c r="D8" s="274">
        <v>60</v>
      </c>
      <c r="E8" s="274">
        <v>2</v>
      </c>
      <c r="F8" s="274">
        <v>18</v>
      </c>
      <c r="G8" s="274">
        <v>2</v>
      </c>
      <c r="H8" s="274" t="s">
        <v>412</v>
      </c>
    </row>
    <row r="9" spans="1:8" x14ac:dyDescent="0.25">
      <c r="A9" s="228" t="str">
        <f>'[1]SUMMARY DATA'!A8</f>
        <v>Year 4</v>
      </c>
      <c r="B9" s="237">
        <f>'[1]SUMMARY DATA'!D8</f>
        <v>60</v>
      </c>
      <c r="C9" s="274" t="s">
        <v>416</v>
      </c>
      <c r="D9" s="274">
        <v>60</v>
      </c>
      <c r="E9" s="274">
        <v>2</v>
      </c>
      <c r="F9" s="274">
        <v>18</v>
      </c>
      <c r="G9" s="274">
        <v>2</v>
      </c>
      <c r="H9" s="274" t="s">
        <v>412</v>
      </c>
    </row>
    <row r="10" spans="1:8" x14ac:dyDescent="0.25">
      <c r="A10" s="228" t="str">
        <f>'[1]SUMMARY DATA'!A9</f>
        <v>Year 5</v>
      </c>
      <c r="B10" s="237">
        <f>'[1]SUMMARY DATA'!D9</f>
        <v>60</v>
      </c>
      <c r="C10" s="274" t="s">
        <v>417</v>
      </c>
      <c r="D10" s="274">
        <v>60</v>
      </c>
      <c r="E10" s="274">
        <v>2</v>
      </c>
      <c r="F10" s="274">
        <v>18</v>
      </c>
      <c r="G10" s="274">
        <v>2</v>
      </c>
      <c r="H10" s="274" t="s">
        <v>412</v>
      </c>
    </row>
    <row r="11" spans="1:8" x14ac:dyDescent="0.25">
      <c r="A11" s="228" t="str">
        <f>'[1]SUMMARY DATA'!A10</f>
        <v>Year 6</v>
      </c>
      <c r="B11" s="237">
        <f>'[1]SUMMARY DATA'!D10</f>
        <v>60</v>
      </c>
      <c r="C11" s="274" t="s">
        <v>418</v>
      </c>
      <c r="D11" s="274">
        <v>60</v>
      </c>
      <c r="E11" s="274">
        <v>2</v>
      </c>
      <c r="F11" s="274">
        <v>18</v>
      </c>
      <c r="G11" s="274">
        <v>2</v>
      </c>
      <c r="H11" s="274" t="s">
        <v>412</v>
      </c>
    </row>
    <row r="12" spans="1:8" x14ac:dyDescent="0.25">
      <c r="A12" s="267" t="s">
        <v>419</v>
      </c>
      <c r="B12" s="267"/>
      <c r="C12" s="267"/>
      <c r="D12" s="267"/>
      <c r="E12" s="267"/>
      <c r="F12" s="267"/>
      <c r="G12" s="267"/>
      <c r="H12" s="267"/>
    </row>
    <row r="13" spans="1:8" x14ac:dyDescent="0.25">
      <c r="A13" s="228" t="s">
        <v>420</v>
      </c>
      <c r="B13" s="228" t="s">
        <v>421</v>
      </c>
      <c r="C13" s="228"/>
      <c r="D13" s="228"/>
      <c r="E13" s="228"/>
      <c r="F13" s="274">
        <v>5</v>
      </c>
      <c r="G13" s="274">
        <v>0</v>
      </c>
      <c r="H13" s="274" t="s">
        <v>422</v>
      </c>
    </row>
    <row r="14" spans="1:8" x14ac:dyDescent="0.25">
      <c r="A14" s="228" t="s">
        <v>423</v>
      </c>
      <c r="B14" s="228" t="s">
        <v>421</v>
      </c>
      <c r="C14" s="228"/>
      <c r="D14" s="228"/>
      <c r="E14" s="228"/>
      <c r="F14" s="274">
        <v>2</v>
      </c>
      <c r="G14" s="274">
        <v>10</v>
      </c>
      <c r="H14" s="274" t="s">
        <v>424</v>
      </c>
    </row>
    <row r="15" spans="1:8" x14ac:dyDescent="0.25">
      <c r="A15" s="228" t="s">
        <v>425</v>
      </c>
      <c r="B15" s="228" t="s">
        <v>421</v>
      </c>
      <c r="C15" s="228"/>
      <c r="D15" s="228"/>
      <c r="E15" s="228"/>
      <c r="F15" s="274">
        <v>0</v>
      </c>
      <c r="G15" s="274">
        <v>5</v>
      </c>
      <c r="H15" s="274" t="s">
        <v>426</v>
      </c>
    </row>
    <row r="16" spans="1:8" x14ac:dyDescent="0.25">
      <c r="A16" s="267" t="s">
        <v>427</v>
      </c>
      <c r="B16" s="267"/>
      <c r="C16" s="267"/>
      <c r="D16" s="267"/>
      <c r="E16" s="267"/>
      <c r="F16" s="267"/>
      <c r="G16" s="267"/>
      <c r="H16" s="267"/>
    </row>
    <row r="17" spans="1:8" ht="30" x14ac:dyDescent="0.25">
      <c r="A17" s="280"/>
      <c r="B17" s="280" t="s">
        <v>428</v>
      </c>
      <c r="C17" s="280"/>
      <c r="D17" s="280"/>
      <c r="E17" s="280"/>
      <c r="F17" s="280" t="s">
        <v>409</v>
      </c>
      <c r="G17" s="281" t="s">
        <v>429</v>
      </c>
    </row>
    <row r="18" spans="1:8" x14ac:dyDescent="0.25">
      <c r="A18" s="228" t="s">
        <v>430</v>
      </c>
      <c r="B18" s="228">
        <f>SUM(B5:B11)</f>
        <v>420</v>
      </c>
      <c r="C18" s="228"/>
      <c r="D18" s="228"/>
      <c r="E18" s="228">
        <f>SUM(E5:E11)</f>
        <v>14</v>
      </c>
      <c r="F18" s="228">
        <f>SUM(F5:F11)+SUM(F13:F15)</f>
        <v>133</v>
      </c>
      <c r="G18" s="228">
        <f>SUM(G5:G11)+SUM(G13:G15)</f>
        <v>29</v>
      </c>
    </row>
    <row r="19" spans="1:8" x14ac:dyDescent="0.25">
      <c r="A19" s="282" t="s">
        <v>431</v>
      </c>
      <c r="B19" s="282"/>
      <c r="C19" s="282"/>
    </row>
    <row r="20" spans="1:8" x14ac:dyDescent="0.25">
      <c r="A20" s="283" t="s">
        <v>432</v>
      </c>
      <c r="B20" s="284"/>
      <c r="C20" s="285">
        <f>B18*B3/F18</f>
        <v>31.578947368421051</v>
      </c>
    </row>
    <row r="21" spans="1:8" x14ac:dyDescent="0.25">
      <c r="A21" s="286" t="s">
        <v>433</v>
      </c>
      <c r="B21" s="287"/>
      <c r="C21" s="288">
        <v>0.78239999999999998</v>
      </c>
      <c r="D21" s="289" t="s">
        <v>434</v>
      </c>
      <c r="E21" s="289"/>
      <c r="F21" s="289"/>
      <c r="G21" s="289"/>
      <c r="H21" s="289"/>
    </row>
    <row r="22" spans="1:8" x14ac:dyDescent="0.25">
      <c r="A22" s="283" t="s">
        <v>435</v>
      </c>
      <c r="B22" s="284"/>
      <c r="C22" s="285">
        <f>C21*B3</f>
        <v>7.8239999999999998</v>
      </c>
    </row>
    <row r="23" spans="1:8" x14ac:dyDescent="0.25">
      <c r="A23" s="286" t="s">
        <v>436</v>
      </c>
      <c r="B23" s="287"/>
      <c r="C23" s="290">
        <f>ROUNDUP(F18/C22,1)</f>
        <v>17</v>
      </c>
      <c r="D23" s="447" t="s">
        <v>437</v>
      </c>
      <c r="E23" s="448"/>
      <c r="F23" s="448"/>
      <c r="G23" s="449"/>
    </row>
    <row r="24" spans="1:8" x14ac:dyDescent="0.25">
      <c r="A24" s="283" t="s">
        <v>438</v>
      </c>
      <c r="B24" s="284"/>
      <c r="C24" s="291">
        <f>G18/B3</f>
        <v>2.9</v>
      </c>
      <c r="D24" s="450" t="s">
        <v>439</v>
      </c>
      <c r="E24" s="450"/>
      <c r="F24" s="450"/>
      <c r="G24" s="450"/>
    </row>
    <row r="25" spans="1:8" ht="30" x14ac:dyDescent="0.25">
      <c r="A25" s="292"/>
      <c r="B25" s="293"/>
      <c r="C25" s="294" t="s">
        <v>440</v>
      </c>
      <c r="D25" s="295" t="s">
        <v>441</v>
      </c>
      <c r="E25" s="296"/>
      <c r="F25" s="296"/>
      <c r="G25" s="296"/>
      <c r="H25" s="297"/>
    </row>
    <row r="26" spans="1:8" x14ac:dyDescent="0.25">
      <c r="A26" s="298" t="s">
        <v>442</v>
      </c>
      <c r="B26" s="299">
        <f>'[1]SUMMARY DATA'!D13</f>
        <v>17</v>
      </c>
      <c r="C26" s="300" t="s">
        <v>443</v>
      </c>
      <c r="D26" s="301" t="s">
        <v>444</v>
      </c>
      <c r="E26" s="302"/>
      <c r="F26" s="302"/>
      <c r="G26" s="302"/>
      <c r="H26" s="303"/>
    </row>
    <row r="27" spans="1:8" x14ac:dyDescent="0.25">
      <c r="A27" s="304"/>
      <c r="B27" s="305"/>
      <c r="C27" s="306" t="s">
        <v>445</v>
      </c>
      <c r="D27" s="307" t="s">
        <v>446</v>
      </c>
      <c r="E27" s="308"/>
      <c r="F27" s="308"/>
      <c r="G27" s="308"/>
      <c r="H27" s="309"/>
    </row>
    <row r="28" spans="1:8" x14ac:dyDescent="0.25">
      <c r="A28" s="451" t="s">
        <v>447</v>
      </c>
      <c r="B28" s="451"/>
      <c r="C28" s="310">
        <f>B18*B3/(F18+G18)</f>
        <v>25.925925925925927</v>
      </c>
      <c r="D28" s="311" t="s">
        <v>448</v>
      </c>
      <c r="E28" s="311"/>
      <c r="F28" s="311"/>
      <c r="G28" s="311"/>
    </row>
    <row r="29" spans="1:8" x14ac:dyDescent="0.25">
      <c r="A29" s="312" t="s">
        <v>449</v>
      </c>
      <c r="B29" s="312"/>
      <c r="C29" s="310">
        <f>B18/E18</f>
        <v>30</v>
      </c>
      <c r="D29" s="282" t="s">
        <v>450</v>
      </c>
      <c r="E29" s="282"/>
      <c r="F29" s="282"/>
      <c r="G29" s="282"/>
    </row>
  </sheetData>
  <mergeCells count="3">
    <mergeCell ref="D23:G23"/>
    <mergeCell ref="D24:G24"/>
    <mergeCell ref="A28:B28"/>
  </mergeCells>
  <conditionalFormatting sqref="A25:C27">
    <cfRule type="expression" dxfId="2" priority="1">
      <formula>$B$26&gt;$B$21</formula>
    </cfRule>
    <cfRule type="expression" dxfId="1" priority="2">
      <formula>$B$26&lt;$B$21</formula>
    </cfRule>
    <cfRule type="expression" dxfId="0" priority="3">
      <formula>$B$21=$B$26</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43B7B-338D-4382-8D57-1E59BA0C3322}">
  <sheetPr codeName="Sheet2">
    <tabColor rgb="FFC00000"/>
  </sheetPr>
  <dimension ref="A1:Q21"/>
  <sheetViews>
    <sheetView showGridLines="0" workbookViewId="0">
      <selection activeCell="A17" sqref="A17:H17"/>
    </sheetView>
  </sheetViews>
  <sheetFormatPr defaultRowHeight="15" x14ac:dyDescent="0.2"/>
  <cols>
    <col min="1" max="1" width="8.88671875" customWidth="1"/>
    <col min="9" max="9" width="1.88671875" customWidth="1"/>
  </cols>
  <sheetData>
    <row r="1" spans="1:17" ht="18" x14ac:dyDescent="0.25">
      <c r="A1" s="365" t="s">
        <v>0</v>
      </c>
      <c r="B1" s="365"/>
      <c r="C1" s="365"/>
      <c r="D1" s="365"/>
      <c r="E1" s="365"/>
      <c r="F1" s="365"/>
      <c r="G1" s="365"/>
      <c r="H1" s="365"/>
    </row>
    <row r="2" spans="1:17" ht="18" x14ac:dyDescent="0.25">
      <c r="A2" s="94"/>
    </row>
    <row r="3" spans="1:17" ht="18" x14ac:dyDescent="0.25">
      <c r="A3" s="94" t="s">
        <v>20</v>
      </c>
    </row>
    <row r="4" spans="1:17" ht="18" x14ac:dyDescent="0.25">
      <c r="A4" s="94"/>
    </row>
    <row r="5" spans="1:17" ht="60" customHeight="1" x14ac:dyDescent="0.2">
      <c r="A5" s="371" t="s">
        <v>21</v>
      </c>
      <c r="B5" s="371"/>
      <c r="C5" s="371"/>
      <c r="D5" s="371"/>
      <c r="E5" s="371"/>
      <c r="F5" s="371"/>
      <c r="G5" s="371"/>
      <c r="H5" s="371"/>
    </row>
    <row r="6" spans="1:17" x14ac:dyDescent="0.2">
      <c r="A6" s="333"/>
      <c r="B6" s="333"/>
      <c r="C6" s="333"/>
      <c r="D6" s="333"/>
      <c r="E6" s="333"/>
      <c r="F6" s="333"/>
      <c r="G6" s="333"/>
      <c r="H6" s="333"/>
    </row>
    <row r="7" spans="1:17" s="220" customFormat="1" ht="45.95" customHeight="1" x14ac:dyDescent="0.2">
      <c r="A7" s="220" t="s">
        <v>22</v>
      </c>
      <c r="B7" s="374" t="s">
        <v>647</v>
      </c>
      <c r="C7" s="374"/>
      <c r="D7" s="374"/>
      <c r="E7" s="374"/>
      <c r="F7" s="374"/>
      <c r="G7" s="374"/>
      <c r="H7" s="374"/>
      <c r="K7" s="372"/>
      <c r="L7" s="372"/>
      <c r="M7" s="372"/>
      <c r="N7" s="372"/>
      <c r="O7" s="372"/>
      <c r="P7" s="372"/>
      <c r="Q7" s="372"/>
    </row>
    <row r="8" spans="1:17" x14ac:dyDescent="0.2">
      <c r="A8" t="s">
        <v>23</v>
      </c>
      <c r="B8" t="s">
        <v>484</v>
      </c>
    </row>
    <row r="9" spans="1:17" x14ac:dyDescent="0.2">
      <c r="A9" t="s">
        <v>24</v>
      </c>
      <c r="B9" t="s">
        <v>648</v>
      </c>
    </row>
    <row r="11" spans="1:17" ht="30" customHeight="1" x14ac:dyDescent="0.2">
      <c r="A11" s="371" t="s">
        <v>25</v>
      </c>
      <c r="B11" s="371"/>
      <c r="C11" s="371"/>
      <c r="D11" s="371"/>
      <c r="E11" s="371"/>
      <c r="F11" s="371"/>
      <c r="G11" s="371"/>
      <c r="H11" s="371"/>
    </row>
    <row r="13" spans="1:17" ht="32.25" customHeight="1" x14ac:dyDescent="0.2">
      <c r="A13" s="371" t="s">
        <v>26</v>
      </c>
      <c r="B13" s="371"/>
      <c r="C13" s="371"/>
      <c r="D13" s="371"/>
      <c r="E13" s="371"/>
      <c r="F13" s="371"/>
      <c r="G13" s="371"/>
      <c r="H13" s="371"/>
    </row>
    <row r="15" spans="1:17" ht="47.25" customHeight="1" x14ac:dyDescent="0.2">
      <c r="A15" s="371" t="s">
        <v>27</v>
      </c>
      <c r="B15" s="371"/>
      <c r="C15" s="371"/>
      <c r="D15" s="371"/>
      <c r="E15" s="371"/>
      <c r="F15" s="371"/>
      <c r="G15" s="371"/>
      <c r="H15" s="371"/>
    </row>
    <row r="17" spans="1:8" ht="33.75" customHeight="1" x14ac:dyDescent="0.25">
      <c r="A17" s="373" t="s">
        <v>672</v>
      </c>
      <c r="B17" s="373"/>
      <c r="C17" s="373"/>
      <c r="D17" s="373"/>
      <c r="E17" s="373"/>
      <c r="F17" s="373"/>
      <c r="G17" s="373"/>
      <c r="H17" s="373"/>
    </row>
    <row r="18" spans="1:8" x14ac:dyDescent="0.2">
      <c r="A18" s="334" t="s">
        <v>488</v>
      </c>
    </row>
    <row r="19" spans="1:8" x14ac:dyDescent="0.2">
      <c r="A19" s="334" t="s">
        <v>489</v>
      </c>
    </row>
    <row r="21" spans="1:8" ht="32.25" customHeight="1" x14ac:dyDescent="0.25">
      <c r="A21" s="370" t="s">
        <v>28</v>
      </c>
      <c r="B21" s="370"/>
      <c r="C21" s="370"/>
      <c r="D21" s="370"/>
      <c r="E21" s="370"/>
      <c r="F21" s="370"/>
      <c r="G21" s="370"/>
      <c r="H21" s="370"/>
    </row>
  </sheetData>
  <sheetProtection algorithmName="SHA-512" hashValue="XDRiPfbQt3Dkqxf8VzYwwRZeNNSUuX6dd4ddSnMyvfZcnHkGaJQeRgiHwxh/tG4o9Xi3ckQzF8smf7RVPSb0tA==" saltValue="F6JwkFqcSTnIJ/Qwu9zkyA==" spinCount="100000" sheet="1" objects="1" scenarios="1"/>
  <mergeCells count="9">
    <mergeCell ref="A1:H1"/>
    <mergeCell ref="A21:H21"/>
    <mergeCell ref="A5:H5"/>
    <mergeCell ref="K7:Q7"/>
    <mergeCell ref="A11:H11"/>
    <mergeCell ref="A13:H13"/>
    <mergeCell ref="A15:H15"/>
    <mergeCell ref="A17:H17"/>
    <mergeCell ref="B7:H7"/>
  </mergeCells>
  <hyperlinks>
    <hyperlink ref="A18" r:id="rId1" xr:uid="{C97D61D4-7BFE-4122-8FC5-680F94B00A8C}"/>
    <hyperlink ref="A19" r:id="rId2" xr:uid="{A7E8C194-F356-4860-BBD9-1980F9E1CA6B}"/>
  </hyperlink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0B5FA-E8EA-4748-B39F-EE3CE42988EC}">
  <sheetPr codeName="Sheet3">
    <tabColor rgb="FFC00000"/>
    <pageSetUpPr fitToPage="1"/>
  </sheetPr>
  <dimension ref="A1:G28"/>
  <sheetViews>
    <sheetView workbookViewId="0">
      <selection activeCell="D24" sqref="D24"/>
    </sheetView>
  </sheetViews>
  <sheetFormatPr defaultColWidth="8.88671875" defaultRowHeight="12.75" x14ac:dyDescent="0.2"/>
  <cols>
    <col min="1" max="1" width="2.109375" style="184" customWidth="1"/>
    <col min="2" max="2" width="27.6640625" style="184" customWidth="1"/>
    <col min="3" max="3" width="12.21875" style="183" customWidth="1"/>
    <col min="4" max="4" width="12.21875" style="184" customWidth="1"/>
    <col min="5" max="5" width="12.21875" style="185" customWidth="1"/>
    <col min="6" max="6" width="1.44140625" style="184" customWidth="1"/>
    <col min="7" max="7" width="8.88671875" style="195"/>
    <col min="8" max="16384" width="8.88671875" style="184"/>
  </cols>
  <sheetData>
    <row r="1" spans="1:7" customFormat="1" ht="18" x14ac:dyDescent="0.25">
      <c r="A1" s="365" t="s">
        <v>0</v>
      </c>
      <c r="B1" s="365"/>
      <c r="C1" s="365"/>
      <c r="D1" s="365"/>
      <c r="E1" s="365"/>
    </row>
    <row r="2" spans="1:7" customFormat="1" ht="18" x14ac:dyDescent="0.25">
      <c r="A2" s="94"/>
    </row>
    <row r="3" spans="1:7" ht="18" x14ac:dyDescent="0.25">
      <c r="A3" s="94" t="s">
        <v>29</v>
      </c>
    </row>
    <row r="4" spans="1:7" ht="13.5" thickBot="1" x14ac:dyDescent="0.25"/>
    <row r="5" spans="1:7" s="187" customFormat="1" ht="15.75" thickBot="1" x14ac:dyDescent="0.25">
      <c r="B5" s="191"/>
      <c r="C5" s="186" t="s">
        <v>452</v>
      </c>
      <c r="D5" s="186" t="s">
        <v>485</v>
      </c>
      <c r="E5" s="186" t="s">
        <v>649</v>
      </c>
      <c r="G5" s="195"/>
    </row>
    <row r="6" spans="1:7" s="187" customFormat="1" ht="15.75" thickBot="1" x14ac:dyDescent="0.25">
      <c r="B6" s="198"/>
      <c r="C6" s="197"/>
      <c r="D6" s="197"/>
      <c r="E6" s="197"/>
      <c r="G6" s="195"/>
    </row>
    <row r="7" spans="1:7" s="187" customFormat="1" ht="15.75" thickBot="1" x14ac:dyDescent="0.25">
      <c r="A7" s="375" t="s">
        <v>30</v>
      </c>
      <c r="B7" s="376"/>
      <c r="C7" s="190"/>
      <c r="D7" s="190"/>
      <c r="E7" s="190"/>
      <c r="G7" s="195"/>
    </row>
    <row r="8" spans="1:7" s="187" customFormat="1" ht="15.75" thickBot="1" x14ac:dyDescent="0.25">
      <c r="B8" s="193" t="s">
        <v>31</v>
      </c>
      <c r="C8" s="192" t="s">
        <v>32</v>
      </c>
      <c r="D8" s="189">
        <v>1.4999999999999999E-2</v>
      </c>
      <c r="E8" s="189">
        <v>1.4999999999999999E-2</v>
      </c>
      <c r="G8" s="195"/>
    </row>
    <row r="9" spans="1:7" s="187" customFormat="1" ht="15.75" thickBot="1" x14ac:dyDescent="0.25">
      <c r="B9" s="193" t="s">
        <v>34</v>
      </c>
      <c r="C9" s="377" t="s">
        <v>33</v>
      </c>
      <c r="D9" s="378"/>
      <c r="E9" s="379"/>
      <c r="G9" s="334" t="s">
        <v>35</v>
      </c>
    </row>
    <row r="10" spans="1:7" s="187" customFormat="1" ht="15.75" thickBot="1" x14ac:dyDescent="0.25">
      <c r="B10" s="193" t="s">
        <v>36</v>
      </c>
      <c r="C10" s="377" t="s">
        <v>33</v>
      </c>
      <c r="D10" s="378"/>
      <c r="E10" s="379"/>
      <c r="G10" s="313" t="s">
        <v>37</v>
      </c>
    </row>
    <row r="11" spans="1:7" s="187" customFormat="1" ht="15.75" thickBot="1" x14ac:dyDescent="0.25">
      <c r="B11" s="193" t="s">
        <v>38</v>
      </c>
      <c r="C11" s="377" t="s">
        <v>33</v>
      </c>
      <c r="D11" s="378"/>
      <c r="E11" s="379"/>
      <c r="G11" s="313" t="s">
        <v>39</v>
      </c>
    </row>
    <row r="12" spans="1:7" s="187" customFormat="1" ht="15.75" thickBot="1" x14ac:dyDescent="0.25">
      <c r="B12" s="193" t="s">
        <v>40</v>
      </c>
      <c r="C12" s="377" t="s">
        <v>33</v>
      </c>
      <c r="D12" s="378"/>
      <c r="E12" s="379"/>
      <c r="G12" s="313" t="s">
        <v>41</v>
      </c>
    </row>
    <row r="13" spans="1:7" s="187" customFormat="1" ht="15.75" thickBot="1" x14ac:dyDescent="0.25">
      <c r="B13" s="193" t="s">
        <v>657</v>
      </c>
      <c r="C13" s="377" t="s">
        <v>33</v>
      </c>
      <c r="D13" s="378"/>
      <c r="E13" s="379"/>
      <c r="G13" s="313" t="s">
        <v>658</v>
      </c>
    </row>
    <row r="14" spans="1:7" s="187" customFormat="1" ht="15.75" thickBot="1" x14ac:dyDescent="0.25">
      <c r="A14" s="204"/>
      <c r="B14" s="203"/>
      <c r="C14" s="199"/>
      <c r="D14" s="200"/>
      <c r="E14" s="200"/>
      <c r="G14" s="196"/>
    </row>
    <row r="15" spans="1:7" s="187" customFormat="1" ht="15.75" thickBot="1" x14ac:dyDescent="0.25">
      <c r="A15" s="375" t="s">
        <v>42</v>
      </c>
      <c r="B15" s="376"/>
      <c r="C15" s="201"/>
      <c r="D15" s="202"/>
      <c r="E15" s="202"/>
      <c r="G15" s="196"/>
    </row>
    <row r="16" spans="1:7" s="187" customFormat="1" ht="15.75" customHeight="1" thickBot="1" x14ac:dyDescent="0.25">
      <c r="B16" s="193" t="s">
        <v>650</v>
      </c>
      <c r="C16" s="332">
        <v>0.02</v>
      </c>
      <c r="D16" s="332">
        <v>0.02</v>
      </c>
      <c r="E16" s="332">
        <v>2.5000000000000001E-2</v>
      </c>
      <c r="G16" s="313" t="s">
        <v>659</v>
      </c>
    </row>
    <row r="17" spans="1:7" s="187" customFormat="1" ht="15.75" thickBot="1" x14ac:dyDescent="0.25">
      <c r="B17" s="193" t="s">
        <v>483</v>
      </c>
      <c r="C17" s="331">
        <v>0.03</v>
      </c>
      <c r="D17" s="194">
        <v>0.03</v>
      </c>
      <c r="E17" s="194">
        <v>0.03</v>
      </c>
      <c r="G17" s="195"/>
    </row>
    <row r="18" spans="1:7" s="187" customFormat="1" ht="15.75" thickBot="1" x14ac:dyDescent="0.25">
      <c r="B18" s="193" t="s">
        <v>43</v>
      </c>
      <c r="C18" s="377" t="s">
        <v>44</v>
      </c>
      <c r="D18" s="378"/>
      <c r="E18" s="379"/>
      <c r="G18" s="195"/>
    </row>
    <row r="19" spans="1:7" s="187" customFormat="1" ht="15.75" thickBot="1" x14ac:dyDescent="0.25">
      <c r="B19" s="193" t="s">
        <v>45</v>
      </c>
      <c r="C19" s="194">
        <v>0.191</v>
      </c>
      <c r="D19" s="194">
        <v>0.18099999999999999</v>
      </c>
      <c r="E19" s="194">
        <v>0.17100000000000001</v>
      </c>
      <c r="G19" s="195"/>
    </row>
    <row r="20" spans="1:7" s="187" customFormat="1" ht="15.75" thickBot="1" x14ac:dyDescent="0.25">
      <c r="A20" s="204"/>
      <c r="B20" s="203"/>
      <c r="C20" s="199"/>
      <c r="D20" s="200"/>
      <c r="E20" s="200"/>
      <c r="G20" s="195"/>
    </row>
    <row r="21" spans="1:7" s="187" customFormat="1" ht="15.75" thickBot="1" x14ac:dyDescent="0.25">
      <c r="A21" s="375" t="s">
        <v>46</v>
      </c>
      <c r="B21" s="376"/>
      <c r="C21" s="201"/>
      <c r="D21" s="202"/>
      <c r="E21" s="202"/>
      <c r="G21" s="195"/>
    </row>
    <row r="22" spans="1:7" s="187" customFormat="1" ht="15.75" thickBot="1" x14ac:dyDescent="0.25">
      <c r="B22" s="188" t="s">
        <v>47</v>
      </c>
      <c r="C22" s="189">
        <v>0.06</v>
      </c>
      <c r="D22" s="189">
        <v>0.03</v>
      </c>
      <c r="E22" s="189">
        <v>0.03</v>
      </c>
      <c r="G22" s="195"/>
    </row>
    <row r="23" spans="1:7" s="187" customFormat="1" ht="15.75" thickBot="1" x14ac:dyDescent="0.25">
      <c r="B23" s="188" t="s">
        <v>48</v>
      </c>
      <c r="C23" s="189">
        <v>0.05</v>
      </c>
      <c r="D23" s="189">
        <v>0.05</v>
      </c>
      <c r="E23" s="189">
        <v>0.05</v>
      </c>
      <c r="G23" s="195"/>
    </row>
    <row r="24" spans="1:7" ht="15.75" thickBot="1" x14ac:dyDescent="0.25">
      <c r="B24" s="188" t="s">
        <v>49</v>
      </c>
      <c r="C24" s="225">
        <v>0.05</v>
      </c>
      <c r="D24" s="225">
        <v>0.05</v>
      </c>
      <c r="E24" s="225">
        <v>0.05</v>
      </c>
    </row>
    <row r="25" spans="1:7" ht="15.75" thickBot="1" x14ac:dyDescent="0.25">
      <c r="B25" s="188" t="s">
        <v>50</v>
      </c>
      <c r="C25" s="189">
        <v>0.04</v>
      </c>
      <c r="D25" s="189">
        <v>0.04</v>
      </c>
      <c r="E25" s="189">
        <v>0.04</v>
      </c>
    </row>
    <row r="26" spans="1:7" ht="15.75" thickBot="1" x14ac:dyDescent="0.25">
      <c r="B26" s="188" t="s">
        <v>51</v>
      </c>
      <c r="C26" s="189">
        <v>0.03</v>
      </c>
      <c r="D26" s="189">
        <v>0.03</v>
      </c>
      <c r="E26" s="189">
        <v>0.03</v>
      </c>
    </row>
    <row r="28" spans="1:7" x14ac:dyDescent="0.2">
      <c r="A28" s="184" t="s">
        <v>52</v>
      </c>
    </row>
  </sheetData>
  <sheetProtection algorithmName="SHA-512" hashValue="9Yn5sg3DUhcKUWlZSo8hWvfuMrC1q4WeAQCLrhGCaAkn5nLmccz16gTGHg3unEfMdzg23trGghuclE+b5vRt8w==" saltValue="5Bw/k8h+6mToBVnLzTQX6g==" spinCount="100000" sheet="1" objects="1" scenarios="1"/>
  <mergeCells count="10">
    <mergeCell ref="A15:B15"/>
    <mergeCell ref="C18:E18"/>
    <mergeCell ref="A21:B21"/>
    <mergeCell ref="A1:E1"/>
    <mergeCell ref="C9:E9"/>
    <mergeCell ref="C10:E10"/>
    <mergeCell ref="C11:E11"/>
    <mergeCell ref="C12:E12"/>
    <mergeCell ref="A7:B7"/>
    <mergeCell ref="C13:E13"/>
  </mergeCells>
  <hyperlinks>
    <hyperlink ref="G10" r:id="rId1" xr:uid="{425FC55E-3B53-4E50-8256-44FAE1E0EF36}"/>
    <hyperlink ref="G12" r:id="rId2" xr:uid="{E7409852-65F4-49B0-B8FD-35EA1B5CD907}"/>
    <hyperlink ref="G16" r:id="rId3" xr:uid="{A3257ADA-25D3-42FE-A1DE-211CE6FE22F0}"/>
    <hyperlink ref="G11" r:id="rId4" xr:uid="{21095339-D4F7-42CE-BD60-DCAA3CE6589B}"/>
    <hyperlink ref="G13" r:id="rId5" xr:uid="{FE93DD75-20C3-4F17-AED9-436F01940D33}"/>
    <hyperlink ref="G9" r:id="rId6" xr:uid="{AABBF489-8B95-410B-962A-CFBAF12CC756}"/>
  </hyperlinks>
  <pageMargins left="0.19685039370078741" right="0.19685039370078741" top="0.98425196850393704" bottom="0.98425196850393704" header="0.51181102362204722" footer="0.51181102362204722"/>
  <pageSetup paperSize="9" scale="97" orientation="landscape" r:id="rId7"/>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6"/>
    <pageSetUpPr fitToPage="1"/>
  </sheetPr>
  <dimension ref="A1:Z134"/>
  <sheetViews>
    <sheetView topLeftCell="A96" zoomScale="80" zoomScaleNormal="80" workbookViewId="0">
      <selection activeCell="E9" sqref="E9"/>
    </sheetView>
  </sheetViews>
  <sheetFormatPr defaultColWidth="8.88671875" defaultRowHeight="15" x14ac:dyDescent="0.2"/>
  <cols>
    <col min="1" max="1" width="1.5546875" style="16" customWidth="1"/>
    <col min="2" max="2" width="5.44140625" style="16" customWidth="1"/>
    <col min="3" max="3" width="50.33203125" style="16" customWidth="1"/>
    <col min="4" max="4" width="10.77734375" style="16" bestFit="1" customWidth="1"/>
    <col min="5" max="5" width="12.77734375" style="16" customWidth="1"/>
    <col min="6" max="6" width="1.77734375" style="16" customWidth="1"/>
    <col min="7" max="7" width="12.77734375" style="16" customWidth="1"/>
    <col min="8" max="8" width="27" style="65" customWidth="1"/>
    <col min="9" max="9" width="12.77734375" style="16" customWidth="1"/>
    <col min="10" max="10" width="26.109375" style="65" customWidth="1"/>
    <col min="11" max="11" width="1.77734375" style="16" customWidth="1"/>
    <col min="12" max="12" width="67.109375" style="65" customWidth="1"/>
    <col min="13" max="16384" width="8.88671875" style="16"/>
  </cols>
  <sheetData>
    <row r="1" spans="1:12" ht="23.25" x14ac:dyDescent="0.35">
      <c r="A1" s="12" t="str">
        <f>CONCATENATE("Three Year Plan ",E6," - ",I6)</f>
        <v>Three Year Plan 2026/27 - 2028/29</v>
      </c>
      <c r="B1" s="13"/>
      <c r="C1" s="14"/>
      <c r="D1" s="394" t="s">
        <v>53</v>
      </c>
      <c r="E1" s="395"/>
      <c r="F1" s="396" t="e">
        <f>VLOOKUP(I3,'School Data'!M:N,2,0)</f>
        <v>#N/A</v>
      </c>
      <c r="G1" s="397"/>
      <c r="H1" s="397"/>
      <c r="I1" s="398"/>
      <c r="J1" s="15" t="s">
        <v>55</v>
      </c>
      <c r="L1" s="153" t="str">
        <f>IFERROR(VLOOKUP(F1,'School Data'!A1:B67,2,0),"")</f>
        <v/>
      </c>
    </row>
    <row r="2" spans="1:12" ht="15.75" x14ac:dyDescent="0.25">
      <c r="A2" s="17"/>
      <c r="B2" s="17"/>
      <c r="C2" s="18"/>
      <c r="D2" s="19"/>
      <c r="E2" s="20"/>
      <c r="F2" s="20"/>
      <c r="G2" s="20"/>
      <c r="H2" s="21"/>
      <c r="I2" s="20"/>
      <c r="J2" s="21"/>
    </row>
    <row r="3" spans="1:12" ht="18" customHeight="1" x14ac:dyDescent="0.25">
      <c r="A3" s="22"/>
      <c r="B3" s="17"/>
      <c r="C3" s="15" t="s">
        <v>56</v>
      </c>
      <c r="D3" s="86"/>
      <c r="E3" s="1"/>
      <c r="F3" s="412" t="s">
        <v>575</v>
      </c>
      <c r="G3" s="412"/>
      <c r="H3" s="412"/>
      <c r="I3" s="363"/>
      <c r="J3" s="21"/>
    </row>
    <row r="4" spans="1:12" ht="18.75" thickBot="1" x14ac:dyDescent="0.3">
      <c r="A4" s="22"/>
      <c r="B4" s="17"/>
      <c r="C4" s="15" t="s">
        <v>57</v>
      </c>
      <c r="D4" s="86">
        <v>46113</v>
      </c>
      <c r="E4" s="20"/>
      <c r="F4" s="20"/>
      <c r="G4" s="20"/>
      <c r="H4" s="84"/>
      <c r="I4" s="20"/>
      <c r="J4" s="21"/>
    </row>
    <row r="5" spans="1:12" ht="3" customHeight="1" x14ac:dyDescent="0.25">
      <c r="A5" s="22"/>
      <c r="B5" s="17"/>
      <c r="C5" s="23"/>
      <c r="D5" s="24"/>
      <c r="E5" s="82"/>
      <c r="F5" s="20"/>
      <c r="G5" s="82"/>
      <c r="H5" s="73"/>
      <c r="I5" s="82"/>
      <c r="J5" s="73"/>
      <c r="L5" s="154"/>
    </row>
    <row r="6" spans="1:12" s="70" customFormat="1" ht="18" x14ac:dyDescent="0.2">
      <c r="A6" s="67"/>
      <c r="B6" s="67"/>
      <c r="C6" s="68"/>
      <c r="D6" s="68"/>
      <c r="E6" s="83" t="s">
        <v>452</v>
      </c>
      <c r="F6" s="69"/>
      <c r="G6" s="83" t="s">
        <v>485</v>
      </c>
      <c r="H6" s="85" t="str">
        <f>CONCATENATE(G6," Assumptions")</f>
        <v>2027/28 Assumptions</v>
      </c>
      <c r="I6" s="83" t="s">
        <v>649</v>
      </c>
      <c r="J6" s="85" t="str">
        <f>CONCATENATE(I6," Assumptions")</f>
        <v>2028/29 Assumptions</v>
      </c>
      <c r="L6" s="71" t="s">
        <v>58</v>
      </c>
    </row>
    <row r="7" spans="1:12" ht="18.75" thickBot="1" x14ac:dyDescent="0.3">
      <c r="A7" s="22"/>
      <c r="B7" s="17"/>
      <c r="C7" s="23"/>
      <c r="D7" s="24"/>
      <c r="E7" s="72" t="s">
        <v>59</v>
      </c>
      <c r="F7" s="25"/>
      <c r="G7" s="72" t="s">
        <v>59</v>
      </c>
      <c r="H7" s="74"/>
      <c r="I7" s="72" t="s">
        <v>59</v>
      </c>
      <c r="J7" s="74"/>
      <c r="L7" s="155"/>
    </row>
    <row r="8" spans="1:12" s="33" customFormat="1" ht="12.75" x14ac:dyDescent="0.2">
      <c r="A8" s="26"/>
      <c r="B8" s="27" t="s">
        <v>60</v>
      </c>
      <c r="C8" s="27"/>
      <c r="D8" s="28" t="s">
        <v>61</v>
      </c>
      <c r="E8" s="29"/>
      <c r="F8" s="30"/>
      <c r="G8" s="31"/>
      <c r="H8" s="221"/>
      <c r="I8" s="32"/>
      <c r="J8" s="136"/>
      <c r="L8" s="156"/>
    </row>
    <row r="9" spans="1:12" s="33" customFormat="1" ht="12.75" x14ac:dyDescent="0.2">
      <c r="A9" s="34"/>
      <c r="B9" s="17" t="s">
        <v>62</v>
      </c>
      <c r="C9" s="35" t="s">
        <v>63</v>
      </c>
      <c r="D9" s="36">
        <v>4190105</v>
      </c>
      <c r="E9" s="2"/>
      <c r="F9" s="3"/>
      <c r="G9" s="4"/>
      <c r="H9" s="137"/>
      <c r="I9" s="5"/>
      <c r="J9" s="143"/>
      <c r="L9" s="152"/>
    </row>
    <row r="10" spans="1:12" s="33" customFormat="1" ht="12.75" x14ac:dyDescent="0.2">
      <c r="A10" s="34"/>
      <c r="B10" s="17" t="s">
        <v>64</v>
      </c>
      <c r="C10" s="35" t="s">
        <v>65</v>
      </c>
      <c r="D10" s="36">
        <v>4190110</v>
      </c>
      <c r="E10" s="2"/>
      <c r="F10" s="3"/>
      <c r="G10" s="4"/>
      <c r="H10" s="222"/>
      <c r="I10" s="5"/>
      <c r="J10" s="144"/>
      <c r="L10" s="152"/>
    </row>
    <row r="11" spans="1:12" s="33" customFormat="1" ht="12.75" x14ac:dyDescent="0.2">
      <c r="A11" s="34"/>
      <c r="B11" s="17" t="s">
        <v>66</v>
      </c>
      <c r="C11" s="35" t="s">
        <v>67</v>
      </c>
      <c r="D11" s="36">
        <v>4190120</v>
      </c>
      <c r="E11" s="2"/>
      <c r="F11" s="3"/>
      <c r="G11" s="4"/>
      <c r="H11" s="222"/>
      <c r="I11" s="5"/>
      <c r="J11" s="144"/>
      <c r="L11" s="152"/>
    </row>
    <row r="12" spans="1:12" s="33" customFormat="1" ht="12.75" x14ac:dyDescent="0.2">
      <c r="A12" s="34"/>
      <c r="B12" s="17" t="s">
        <v>68</v>
      </c>
      <c r="C12" s="35" t="s">
        <v>36</v>
      </c>
      <c r="D12" s="36">
        <v>4190140</v>
      </c>
      <c r="E12" s="2"/>
      <c r="F12" s="3"/>
      <c r="G12" s="4"/>
      <c r="H12" s="138"/>
      <c r="I12" s="5"/>
      <c r="J12" s="138"/>
      <c r="L12" s="152"/>
    </row>
    <row r="13" spans="1:12" s="33" customFormat="1" ht="12.75" x14ac:dyDescent="0.2">
      <c r="A13" s="34"/>
      <c r="B13" s="17" t="s">
        <v>69</v>
      </c>
      <c r="C13" s="35" t="s">
        <v>70</v>
      </c>
      <c r="D13" s="36">
        <v>4190160</v>
      </c>
      <c r="E13" s="2"/>
      <c r="F13" s="3"/>
      <c r="G13" s="4"/>
      <c r="H13" s="138"/>
      <c r="I13" s="5"/>
      <c r="J13" s="144"/>
      <c r="L13" s="152"/>
    </row>
    <row r="14" spans="1:12" s="33" customFormat="1" ht="12.75" x14ac:dyDescent="0.2">
      <c r="A14" s="34"/>
      <c r="B14" s="17" t="s">
        <v>71</v>
      </c>
      <c r="C14" s="35" t="s">
        <v>72</v>
      </c>
      <c r="D14" s="36">
        <v>4190390</v>
      </c>
      <c r="E14" s="2"/>
      <c r="F14" s="3"/>
      <c r="G14" s="4"/>
      <c r="H14" s="138"/>
      <c r="I14" s="5"/>
      <c r="J14" s="144"/>
      <c r="L14" s="152"/>
    </row>
    <row r="15" spans="1:12" s="33" customFormat="1" ht="12.75" x14ac:dyDescent="0.2">
      <c r="A15" s="34"/>
      <c r="B15" s="17" t="s">
        <v>73</v>
      </c>
      <c r="C15" s="35" t="s">
        <v>74</v>
      </c>
      <c r="D15" s="37">
        <v>4191900</v>
      </c>
      <c r="E15" s="2"/>
      <c r="F15" s="3"/>
      <c r="G15" s="4"/>
      <c r="H15" s="144"/>
      <c r="I15" s="5"/>
      <c r="J15" s="144"/>
      <c r="L15" s="152"/>
    </row>
    <row r="16" spans="1:12" s="33" customFormat="1" ht="12.75" x14ac:dyDescent="0.2">
      <c r="A16" s="34"/>
      <c r="B16" s="17" t="s">
        <v>75</v>
      </c>
      <c r="C16" s="35" t="s">
        <v>76</v>
      </c>
      <c r="D16" s="37">
        <v>4191100</v>
      </c>
      <c r="E16" s="2"/>
      <c r="F16" s="3"/>
      <c r="G16" s="4"/>
      <c r="H16" s="138"/>
      <c r="I16" s="5"/>
      <c r="J16" s="144"/>
      <c r="L16" s="152"/>
    </row>
    <row r="17" spans="1:12" s="33" customFormat="1" ht="12.75" x14ac:dyDescent="0.2">
      <c r="A17" s="34"/>
      <c r="B17" s="17" t="s">
        <v>77</v>
      </c>
      <c r="C17" s="35" t="s">
        <v>78</v>
      </c>
      <c r="D17" s="36">
        <v>4191110</v>
      </c>
      <c r="E17" s="2"/>
      <c r="F17" s="3"/>
      <c r="G17" s="4"/>
      <c r="H17" s="138"/>
      <c r="I17" s="5"/>
      <c r="J17" s="144"/>
      <c r="L17" s="152"/>
    </row>
    <row r="18" spans="1:12" s="33" customFormat="1" ht="12.75" x14ac:dyDescent="0.2">
      <c r="A18" s="34"/>
      <c r="B18" s="17" t="s">
        <v>79</v>
      </c>
      <c r="C18" s="35" t="s">
        <v>80</v>
      </c>
      <c r="D18" s="36">
        <v>4191600</v>
      </c>
      <c r="E18" s="2"/>
      <c r="F18" s="3"/>
      <c r="G18" s="4"/>
      <c r="H18" s="138"/>
      <c r="I18" s="5"/>
      <c r="J18" s="144"/>
      <c r="L18" s="152"/>
    </row>
    <row r="19" spans="1:12" s="33" customFormat="1" ht="12.75" x14ac:dyDescent="0.2">
      <c r="A19" s="34"/>
      <c r="B19" s="17" t="s">
        <v>81</v>
      </c>
      <c r="C19" s="35" t="s">
        <v>82</v>
      </c>
      <c r="D19" s="36">
        <v>4191610</v>
      </c>
      <c r="E19" s="2"/>
      <c r="F19" s="3"/>
      <c r="G19" s="4"/>
      <c r="H19" s="138"/>
      <c r="I19" s="5"/>
      <c r="J19" s="144"/>
      <c r="L19" s="152"/>
    </row>
    <row r="20" spans="1:12" s="33" customFormat="1" ht="12.75" x14ac:dyDescent="0.2">
      <c r="A20" s="34"/>
      <c r="B20" s="17" t="s">
        <v>83</v>
      </c>
      <c r="C20" s="35" t="s">
        <v>84</v>
      </c>
      <c r="D20" s="36">
        <v>4190410</v>
      </c>
      <c r="E20" s="2"/>
      <c r="F20" s="3"/>
      <c r="G20" s="4"/>
      <c r="H20" s="138"/>
      <c r="I20" s="5"/>
      <c r="J20" s="144"/>
      <c r="L20" s="152"/>
    </row>
    <row r="21" spans="1:12" s="33" customFormat="1" ht="12.75" x14ac:dyDescent="0.2">
      <c r="A21" s="34"/>
      <c r="B21" s="17" t="s">
        <v>85</v>
      </c>
      <c r="C21" s="35" t="s">
        <v>86</v>
      </c>
      <c r="D21" s="36">
        <v>4190420</v>
      </c>
      <c r="E21" s="2"/>
      <c r="F21" s="3"/>
      <c r="G21" s="4"/>
      <c r="H21" s="138"/>
      <c r="I21" s="5"/>
      <c r="J21" s="144"/>
      <c r="L21" s="152"/>
    </row>
    <row r="22" spans="1:12" s="33" customFormat="1" ht="12.75" x14ac:dyDescent="0.2">
      <c r="A22" s="34"/>
      <c r="B22" s="17" t="s">
        <v>87</v>
      </c>
      <c r="C22" s="35" t="s">
        <v>88</v>
      </c>
      <c r="D22" s="36">
        <v>4190200</v>
      </c>
      <c r="E22" s="2"/>
      <c r="F22" s="3"/>
      <c r="G22" s="4"/>
      <c r="H22" s="138"/>
      <c r="I22" s="5"/>
      <c r="J22" s="144"/>
      <c r="L22" s="152"/>
    </row>
    <row r="23" spans="1:12" s="33" customFormat="1" ht="3.95" customHeight="1" x14ac:dyDescent="0.2">
      <c r="A23" s="34"/>
      <c r="B23" s="17"/>
      <c r="C23" s="35"/>
      <c r="D23" s="36"/>
      <c r="E23" s="2"/>
      <c r="F23" s="38"/>
      <c r="G23" s="4"/>
      <c r="H23" s="139"/>
      <c r="I23" s="5"/>
      <c r="J23" s="145"/>
      <c r="L23" s="152"/>
    </row>
    <row r="24" spans="1:12" s="33" customFormat="1" ht="12.75" x14ac:dyDescent="0.2">
      <c r="A24" s="34"/>
      <c r="B24" s="17" t="s">
        <v>89</v>
      </c>
      <c r="C24" s="35" t="s">
        <v>90</v>
      </c>
      <c r="D24" s="36">
        <v>4190205</v>
      </c>
      <c r="E24" s="2"/>
      <c r="F24" s="3"/>
      <c r="G24" s="4"/>
      <c r="H24" s="138"/>
      <c r="I24" s="5"/>
      <c r="J24" s="144"/>
      <c r="L24" s="152"/>
    </row>
    <row r="25" spans="1:12" s="33" customFormat="1" ht="12.75" x14ac:dyDescent="0.2">
      <c r="A25" s="34"/>
      <c r="B25" s="17" t="s">
        <v>91</v>
      </c>
      <c r="C25" s="35" t="s">
        <v>92</v>
      </c>
      <c r="D25" s="36">
        <v>4190210</v>
      </c>
      <c r="E25" s="2"/>
      <c r="F25" s="3"/>
      <c r="G25" s="4"/>
      <c r="H25" s="138"/>
      <c r="I25" s="5"/>
      <c r="J25" s="144"/>
      <c r="L25" s="152"/>
    </row>
    <row r="26" spans="1:12" s="33" customFormat="1" ht="3" customHeight="1" thickBot="1" x14ac:dyDescent="0.25">
      <c r="A26" s="34"/>
      <c r="B26" s="17"/>
      <c r="C26" s="35"/>
      <c r="D26" s="36"/>
      <c r="E26" s="2"/>
      <c r="F26" s="38"/>
      <c r="G26" s="4"/>
      <c r="H26" s="140"/>
      <c r="I26" s="5"/>
      <c r="J26" s="146"/>
      <c r="L26" s="157"/>
    </row>
    <row r="27" spans="1:12" ht="16.5" thickBot="1" x14ac:dyDescent="0.3">
      <c r="A27" s="40"/>
      <c r="B27" s="41" t="s">
        <v>93</v>
      </c>
      <c r="C27" s="41"/>
      <c r="D27" s="42"/>
      <c r="E27" s="87">
        <f>SUM(E9:E25)</f>
        <v>0</v>
      </c>
      <c r="F27" s="43"/>
      <c r="G27" s="87">
        <f>SUM(G9:G25)</f>
        <v>0</v>
      </c>
      <c r="H27" s="141"/>
      <c r="I27" s="87">
        <f>SUM(I9:I25)</f>
        <v>0</v>
      </c>
      <c r="J27" s="142"/>
    </row>
    <row r="28" spans="1:12" s="33" customFormat="1" ht="13.5" thickBot="1" x14ac:dyDescent="0.25">
      <c r="A28" s="34"/>
      <c r="B28" s="17"/>
      <c r="C28" s="35"/>
      <c r="D28" s="46"/>
      <c r="E28" s="47"/>
      <c r="F28" s="38"/>
      <c r="G28" s="47"/>
      <c r="H28" s="39"/>
      <c r="I28" s="47"/>
      <c r="J28" s="21"/>
      <c r="L28" s="158"/>
    </row>
    <row r="29" spans="1:12" s="33" customFormat="1" ht="12.75" x14ac:dyDescent="0.2">
      <c r="A29" s="26"/>
      <c r="B29" s="48" t="s">
        <v>94</v>
      </c>
      <c r="C29" s="48"/>
      <c r="D29" s="49"/>
      <c r="E29" s="50"/>
      <c r="F29" s="38"/>
      <c r="G29" s="51"/>
      <c r="H29" s="147"/>
      <c r="I29" s="52"/>
      <c r="J29" s="148"/>
      <c r="L29" s="156"/>
    </row>
    <row r="30" spans="1:12" s="33" customFormat="1" ht="12.75" x14ac:dyDescent="0.2">
      <c r="A30" s="34"/>
      <c r="B30" s="17" t="s">
        <v>95</v>
      </c>
      <c r="C30" s="35" t="s">
        <v>96</v>
      </c>
      <c r="D30" s="36">
        <v>6110000</v>
      </c>
      <c r="E30" s="2"/>
      <c r="F30" s="3"/>
      <c r="G30" s="4"/>
      <c r="H30" s="137"/>
      <c r="I30" s="5"/>
      <c r="J30" s="143"/>
      <c r="L30" s="152"/>
    </row>
    <row r="31" spans="1:12" s="33" customFormat="1" ht="12.75" x14ac:dyDescent="0.2">
      <c r="A31" s="34"/>
      <c r="B31" s="17" t="s">
        <v>97</v>
      </c>
      <c r="C31" s="35" t="s">
        <v>98</v>
      </c>
      <c r="D31" s="36">
        <v>6110020</v>
      </c>
      <c r="E31" s="2"/>
      <c r="F31" s="3"/>
      <c r="G31" s="4"/>
      <c r="H31" s="137"/>
      <c r="I31" s="5"/>
      <c r="J31" s="143"/>
      <c r="L31" s="152"/>
    </row>
    <row r="32" spans="1:12" s="33" customFormat="1" ht="12.75" x14ac:dyDescent="0.2">
      <c r="A32" s="34"/>
      <c r="B32" s="17" t="s">
        <v>99</v>
      </c>
      <c r="C32" s="35" t="s">
        <v>100</v>
      </c>
      <c r="D32" s="36">
        <v>6110600</v>
      </c>
      <c r="E32" s="2"/>
      <c r="F32" s="3"/>
      <c r="G32" s="4"/>
      <c r="H32" s="137"/>
      <c r="I32" s="5"/>
      <c r="J32" s="143"/>
      <c r="L32" s="152"/>
    </row>
    <row r="33" spans="1:12" s="33" customFormat="1" ht="12.75" x14ac:dyDescent="0.2">
      <c r="A33" s="34"/>
      <c r="B33" s="17" t="s">
        <v>101</v>
      </c>
      <c r="C33" s="35" t="s">
        <v>102</v>
      </c>
      <c r="D33" s="37">
        <v>6110720</v>
      </c>
      <c r="E33" s="2"/>
      <c r="F33" s="3"/>
      <c r="G33" s="4"/>
      <c r="H33" s="137"/>
      <c r="I33" s="5"/>
      <c r="J33" s="143"/>
      <c r="L33" s="152"/>
    </row>
    <row r="34" spans="1:12" s="33" customFormat="1" ht="12.75" x14ac:dyDescent="0.2">
      <c r="A34" s="34"/>
      <c r="B34" s="17" t="s">
        <v>103</v>
      </c>
      <c r="C34" s="35" t="s">
        <v>104</v>
      </c>
      <c r="D34" s="36">
        <v>6110860</v>
      </c>
      <c r="E34" s="2"/>
      <c r="F34" s="3"/>
      <c r="G34" s="4"/>
      <c r="H34" s="137"/>
      <c r="I34" s="5"/>
      <c r="J34" s="143"/>
      <c r="L34" s="152"/>
    </row>
    <row r="35" spans="1:12" s="33" customFormat="1" ht="12.75" x14ac:dyDescent="0.2">
      <c r="A35" s="34"/>
      <c r="B35" s="17" t="s">
        <v>105</v>
      </c>
      <c r="C35" s="35" t="s">
        <v>106</v>
      </c>
      <c r="D35" s="36">
        <v>6110800</v>
      </c>
      <c r="E35" s="2"/>
      <c r="F35" s="3"/>
      <c r="G35" s="4"/>
      <c r="H35" s="137"/>
      <c r="I35" s="5"/>
      <c r="J35" s="143"/>
      <c r="L35" s="152"/>
    </row>
    <row r="36" spans="1:12" s="33" customFormat="1" ht="12.75" x14ac:dyDescent="0.2">
      <c r="A36" s="34"/>
      <c r="B36" s="17" t="s">
        <v>107</v>
      </c>
      <c r="C36" s="35" t="s">
        <v>108</v>
      </c>
      <c r="D36" s="36">
        <v>6110640</v>
      </c>
      <c r="E36" s="2"/>
      <c r="F36" s="3"/>
      <c r="G36" s="4"/>
      <c r="H36" s="137"/>
      <c r="I36" s="5"/>
      <c r="J36" s="143"/>
      <c r="L36" s="152"/>
    </row>
    <row r="37" spans="1:12" s="33" customFormat="1" ht="12.75" x14ac:dyDescent="0.2">
      <c r="A37" s="34"/>
      <c r="B37" s="17" t="s">
        <v>109</v>
      </c>
      <c r="C37" s="35" t="s">
        <v>110</v>
      </c>
      <c r="D37" s="37">
        <v>6116300</v>
      </c>
      <c r="E37" s="2"/>
      <c r="F37" s="3"/>
      <c r="G37" s="4"/>
      <c r="H37" s="137"/>
      <c r="I37" s="5"/>
      <c r="J37" s="143"/>
      <c r="L37" s="152"/>
    </row>
    <row r="38" spans="1:12" s="33" customFormat="1" ht="12.75" x14ac:dyDescent="0.2">
      <c r="A38" s="34"/>
      <c r="B38" s="17" t="s">
        <v>111</v>
      </c>
      <c r="C38" s="35" t="s">
        <v>112</v>
      </c>
      <c r="D38" s="36">
        <v>6116200</v>
      </c>
      <c r="E38" s="2"/>
      <c r="F38" s="3"/>
      <c r="G38" s="4"/>
      <c r="H38" s="137"/>
      <c r="I38" s="5"/>
      <c r="J38" s="143"/>
      <c r="L38" s="152"/>
    </row>
    <row r="39" spans="1:12" s="33" customFormat="1" ht="12.75" x14ac:dyDescent="0.2">
      <c r="A39" s="34"/>
      <c r="B39" s="17" t="s">
        <v>113</v>
      </c>
      <c r="C39" s="35" t="s">
        <v>114</v>
      </c>
      <c r="D39" s="36">
        <v>6116610</v>
      </c>
      <c r="E39" s="2"/>
      <c r="F39" s="3"/>
      <c r="G39" s="4"/>
      <c r="H39" s="137"/>
      <c r="I39" s="5"/>
      <c r="J39" s="143"/>
      <c r="L39" s="152"/>
    </row>
    <row r="40" spans="1:12" s="33" customFormat="1" ht="12.75" x14ac:dyDescent="0.2">
      <c r="A40" s="34"/>
      <c r="B40" s="17" t="s">
        <v>115</v>
      </c>
      <c r="C40" s="35" t="s">
        <v>116</v>
      </c>
      <c r="D40" s="36">
        <v>6116600</v>
      </c>
      <c r="E40" s="2"/>
      <c r="F40" s="3"/>
      <c r="G40" s="4"/>
      <c r="H40" s="137"/>
      <c r="I40" s="5"/>
      <c r="J40" s="143"/>
      <c r="L40" s="152"/>
    </row>
    <row r="41" spans="1:12" s="33" customFormat="1" ht="12.75" x14ac:dyDescent="0.2">
      <c r="A41" s="34"/>
      <c r="B41" s="17" t="s">
        <v>117</v>
      </c>
      <c r="C41" s="35" t="s">
        <v>118</v>
      </c>
      <c r="D41" s="36">
        <v>6121000</v>
      </c>
      <c r="E41" s="2"/>
      <c r="F41" s="3"/>
      <c r="G41" s="4"/>
      <c r="H41" s="137"/>
      <c r="I41" s="5"/>
      <c r="J41" s="143"/>
      <c r="L41" s="152"/>
    </row>
    <row r="42" spans="1:12" s="33" customFormat="1" ht="12.75" x14ac:dyDescent="0.2">
      <c r="A42" s="34"/>
      <c r="B42" s="17" t="s">
        <v>119</v>
      </c>
      <c r="C42" s="35" t="s">
        <v>120</v>
      </c>
      <c r="D42" s="36">
        <v>6122310</v>
      </c>
      <c r="E42" s="2"/>
      <c r="F42" s="3"/>
      <c r="G42" s="4"/>
      <c r="H42" s="137"/>
      <c r="I42" s="5"/>
      <c r="J42" s="143"/>
      <c r="L42" s="152"/>
    </row>
    <row r="43" spans="1:12" s="33" customFormat="1" ht="12.75" x14ac:dyDescent="0.2">
      <c r="A43" s="34"/>
      <c r="B43" s="17" t="s">
        <v>121</v>
      </c>
      <c r="C43" s="35" t="s">
        <v>122</v>
      </c>
      <c r="D43" s="36">
        <v>6122110</v>
      </c>
      <c r="E43" s="2"/>
      <c r="F43" s="3"/>
      <c r="G43" s="4"/>
      <c r="H43" s="137"/>
      <c r="I43" s="5"/>
      <c r="J43" s="143"/>
      <c r="L43" s="152"/>
    </row>
    <row r="44" spans="1:12" s="33" customFormat="1" ht="12.75" x14ac:dyDescent="0.2">
      <c r="A44" s="34"/>
      <c r="B44" s="17" t="s">
        <v>123</v>
      </c>
      <c r="C44" s="35" t="s">
        <v>124</v>
      </c>
      <c r="D44" s="36">
        <v>6120800</v>
      </c>
      <c r="E44" s="2"/>
      <c r="F44" s="3"/>
      <c r="G44" s="4"/>
      <c r="H44" s="137"/>
      <c r="I44" s="5"/>
      <c r="J44" s="143"/>
      <c r="L44" s="152"/>
    </row>
    <row r="45" spans="1:12" s="33" customFormat="1" ht="12.75" x14ac:dyDescent="0.2">
      <c r="A45" s="34"/>
      <c r="B45" s="17" t="s">
        <v>125</v>
      </c>
      <c r="C45" s="35" t="s">
        <v>126</v>
      </c>
      <c r="D45" s="36">
        <v>6120220</v>
      </c>
      <c r="E45" s="2"/>
      <c r="F45" s="3"/>
      <c r="G45" s="4"/>
      <c r="H45" s="137"/>
      <c r="I45" s="5"/>
      <c r="J45" s="143"/>
      <c r="L45" s="152"/>
    </row>
    <row r="46" spans="1:12" s="33" customFormat="1" ht="12.75" x14ac:dyDescent="0.2">
      <c r="A46" s="34"/>
      <c r="B46" s="17" t="s">
        <v>127</v>
      </c>
      <c r="C46" s="35" t="s">
        <v>128</v>
      </c>
      <c r="D46" s="36">
        <v>6120600</v>
      </c>
      <c r="E46" s="2"/>
      <c r="F46" s="3"/>
      <c r="G46" s="4"/>
      <c r="H46" s="137"/>
      <c r="I46" s="5"/>
      <c r="J46" s="143"/>
      <c r="L46" s="152"/>
    </row>
    <row r="47" spans="1:12" s="33" customFormat="1" ht="12.75" x14ac:dyDescent="0.2">
      <c r="A47" s="34"/>
      <c r="B47" s="17" t="s">
        <v>129</v>
      </c>
      <c r="C47" s="35" t="s">
        <v>130</v>
      </c>
      <c r="D47" s="36">
        <v>6120400</v>
      </c>
      <c r="E47" s="2"/>
      <c r="F47" s="3"/>
      <c r="G47" s="4"/>
      <c r="H47" s="137"/>
      <c r="I47" s="5"/>
      <c r="J47" s="143"/>
      <c r="L47" s="152"/>
    </row>
    <row r="48" spans="1:12" s="33" customFormat="1" ht="12.75" x14ac:dyDescent="0.2">
      <c r="A48" s="34"/>
      <c r="B48" s="17" t="s">
        <v>131</v>
      </c>
      <c r="C48" s="35" t="s">
        <v>132</v>
      </c>
      <c r="D48" s="36">
        <v>6140130</v>
      </c>
      <c r="E48" s="2"/>
      <c r="F48" s="3"/>
      <c r="G48" s="4"/>
      <c r="H48" s="137"/>
      <c r="I48" s="5"/>
      <c r="J48" s="143"/>
      <c r="L48" s="152"/>
    </row>
    <row r="49" spans="1:12" s="33" customFormat="1" ht="12.75" x14ac:dyDescent="0.2">
      <c r="A49" s="34"/>
      <c r="B49" s="17" t="s">
        <v>453</v>
      </c>
      <c r="C49" s="35" t="s">
        <v>460</v>
      </c>
      <c r="D49" s="36">
        <v>6142460</v>
      </c>
      <c r="E49" s="2"/>
      <c r="F49" s="3"/>
      <c r="G49" s="4"/>
      <c r="H49" s="137"/>
      <c r="I49" s="5"/>
      <c r="J49" s="143"/>
      <c r="L49" s="152"/>
    </row>
    <row r="50" spans="1:12" s="33" customFormat="1" ht="12.75" x14ac:dyDescent="0.2">
      <c r="A50" s="34"/>
      <c r="B50" s="17" t="s">
        <v>454</v>
      </c>
      <c r="C50" s="35" t="s">
        <v>651</v>
      </c>
      <c r="D50" s="36">
        <v>6142431</v>
      </c>
      <c r="E50" s="2"/>
      <c r="F50" s="3"/>
      <c r="G50" s="4"/>
      <c r="H50" s="137"/>
      <c r="I50" s="5"/>
      <c r="J50" s="143"/>
      <c r="L50" s="152"/>
    </row>
    <row r="51" spans="1:12" s="33" customFormat="1" ht="12.75" x14ac:dyDescent="0.2">
      <c r="A51" s="34"/>
      <c r="B51" s="17" t="s">
        <v>455</v>
      </c>
      <c r="C51" s="35" t="s">
        <v>652</v>
      </c>
      <c r="D51" s="36">
        <v>6142432</v>
      </c>
      <c r="E51" s="2"/>
      <c r="F51" s="3"/>
      <c r="G51" s="4"/>
      <c r="H51" s="137"/>
      <c r="I51" s="5"/>
      <c r="J51" s="143"/>
      <c r="L51" s="152"/>
    </row>
    <row r="52" spans="1:12" s="33" customFormat="1" ht="12.75" x14ac:dyDescent="0.2">
      <c r="A52" s="34"/>
      <c r="B52" s="17" t="s">
        <v>456</v>
      </c>
      <c r="C52" s="35" t="s">
        <v>653</v>
      </c>
      <c r="D52" s="36">
        <v>6142430</v>
      </c>
      <c r="E52" s="2"/>
      <c r="F52" s="3"/>
      <c r="G52" s="4"/>
      <c r="H52" s="137"/>
      <c r="I52" s="5"/>
      <c r="J52" s="143"/>
      <c r="L52" s="152"/>
    </row>
    <row r="53" spans="1:12" s="33" customFormat="1" ht="12.75" x14ac:dyDescent="0.2">
      <c r="A53" s="34"/>
      <c r="B53" s="17" t="s">
        <v>457</v>
      </c>
      <c r="C53" s="35" t="s">
        <v>462</v>
      </c>
      <c r="D53" s="36">
        <v>6142433</v>
      </c>
      <c r="E53" s="2"/>
      <c r="F53" s="3"/>
      <c r="G53" s="4"/>
      <c r="H53" s="137"/>
      <c r="I53" s="5"/>
      <c r="J53" s="143"/>
      <c r="L53" s="152"/>
    </row>
    <row r="54" spans="1:12" s="33" customFormat="1" ht="12.75" x14ac:dyDescent="0.2">
      <c r="A54" s="34"/>
      <c r="B54" s="17" t="s">
        <v>458</v>
      </c>
      <c r="C54" s="35" t="s">
        <v>654</v>
      </c>
      <c r="D54" s="36">
        <v>6142440</v>
      </c>
      <c r="E54" s="2"/>
      <c r="F54" s="3"/>
      <c r="G54" s="4"/>
      <c r="H54" s="137"/>
      <c r="I54" s="5"/>
      <c r="J54" s="143"/>
      <c r="L54" s="152"/>
    </row>
    <row r="55" spans="1:12" s="33" customFormat="1" ht="12.75" x14ac:dyDescent="0.2">
      <c r="A55" s="34"/>
      <c r="B55" s="17" t="s">
        <v>459</v>
      </c>
      <c r="C55" s="35" t="s">
        <v>655</v>
      </c>
      <c r="D55" s="36">
        <v>6142434</v>
      </c>
      <c r="E55" s="2"/>
      <c r="F55" s="3"/>
      <c r="G55" s="4"/>
      <c r="H55" s="137"/>
      <c r="I55" s="5"/>
      <c r="J55" s="143"/>
      <c r="L55" s="152"/>
    </row>
    <row r="56" spans="1:12" s="33" customFormat="1" ht="12.75" x14ac:dyDescent="0.2">
      <c r="A56" s="34"/>
      <c r="B56" s="17" t="s">
        <v>133</v>
      </c>
      <c r="C56" s="35" t="s">
        <v>134</v>
      </c>
      <c r="D56" s="36">
        <v>6146100</v>
      </c>
      <c r="E56" s="2"/>
      <c r="F56" s="3"/>
      <c r="G56" s="4"/>
      <c r="H56" s="137"/>
      <c r="I56" s="5"/>
      <c r="J56" s="143"/>
      <c r="L56" s="152"/>
    </row>
    <row r="57" spans="1:12" s="33" customFormat="1" ht="12.75" x14ac:dyDescent="0.2">
      <c r="A57" s="34"/>
      <c r="B57" s="17" t="s">
        <v>135</v>
      </c>
      <c r="C57" s="35" t="s">
        <v>136</v>
      </c>
      <c r="D57" s="36">
        <v>6140000</v>
      </c>
      <c r="E57" s="2"/>
      <c r="F57" s="3"/>
      <c r="G57" s="4"/>
      <c r="H57" s="137"/>
      <c r="I57" s="5"/>
      <c r="J57" s="143"/>
      <c r="L57" s="152"/>
    </row>
    <row r="58" spans="1:12" s="33" customFormat="1" ht="12.75" x14ac:dyDescent="0.2">
      <c r="A58" s="34"/>
      <c r="B58" s="17" t="s">
        <v>137</v>
      </c>
      <c r="C58" s="35" t="s">
        <v>138</v>
      </c>
      <c r="D58" s="36">
        <v>6121600</v>
      </c>
      <c r="E58" s="2"/>
      <c r="F58" s="3"/>
      <c r="G58" s="4"/>
      <c r="H58" s="137"/>
      <c r="I58" s="5"/>
      <c r="J58" s="143"/>
      <c r="L58" s="152"/>
    </row>
    <row r="59" spans="1:12" s="33" customFormat="1" ht="12.75" x14ac:dyDescent="0.2">
      <c r="A59" s="34"/>
      <c r="B59" s="17" t="s">
        <v>139</v>
      </c>
      <c r="C59" s="35" t="s">
        <v>140</v>
      </c>
      <c r="D59" s="37">
        <v>6151110</v>
      </c>
      <c r="E59" s="2"/>
      <c r="F59" s="3"/>
      <c r="G59" s="4"/>
      <c r="H59" s="137"/>
      <c r="I59" s="5"/>
      <c r="J59" s="143"/>
      <c r="L59" s="152"/>
    </row>
    <row r="60" spans="1:12" s="33" customFormat="1" ht="12.75" x14ac:dyDescent="0.2">
      <c r="A60" s="34"/>
      <c r="B60" s="17" t="s">
        <v>141</v>
      </c>
      <c r="C60" s="35" t="s">
        <v>142</v>
      </c>
      <c r="D60" s="36">
        <v>6140200</v>
      </c>
      <c r="E60" s="2"/>
      <c r="F60" s="3"/>
      <c r="G60" s="4"/>
      <c r="H60" s="137"/>
      <c r="I60" s="5"/>
      <c r="J60" s="143"/>
      <c r="L60" s="152"/>
    </row>
    <row r="61" spans="1:12" s="33" customFormat="1" ht="12.75" x14ac:dyDescent="0.2">
      <c r="A61" s="34"/>
      <c r="B61" s="17" t="s">
        <v>143</v>
      </c>
      <c r="C61" s="35" t="s">
        <v>144</v>
      </c>
      <c r="D61" s="36">
        <v>6111000</v>
      </c>
      <c r="E61" s="2"/>
      <c r="F61" s="3"/>
      <c r="G61" s="4"/>
      <c r="H61" s="137"/>
      <c r="I61" s="5"/>
      <c r="J61" s="143"/>
      <c r="L61" s="152"/>
    </row>
    <row r="62" spans="1:12" s="33" customFormat="1" ht="12.75" x14ac:dyDescent="0.2">
      <c r="A62" s="34"/>
      <c r="B62" s="17" t="s">
        <v>145</v>
      </c>
      <c r="C62" s="35" t="s">
        <v>146</v>
      </c>
      <c r="D62" s="36">
        <v>6170100</v>
      </c>
      <c r="E62" s="2"/>
      <c r="F62" s="3"/>
      <c r="G62" s="4"/>
      <c r="H62" s="137"/>
      <c r="I62" s="5"/>
      <c r="J62" s="143"/>
      <c r="L62" s="152"/>
    </row>
    <row r="63" spans="1:12" s="33" customFormat="1" ht="12.75" x14ac:dyDescent="0.2">
      <c r="A63" s="34"/>
      <c r="B63" s="17" t="s">
        <v>147</v>
      </c>
      <c r="C63" s="35" t="s">
        <v>148</v>
      </c>
      <c r="D63" s="36">
        <v>6170110</v>
      </c>
      <c r="E63" s="2"/>
      <c r="F63" s="3"/>
      <c r="G63" s="4"/>
      <c r="H63" s="137"/>
      <c r="I63" s="5"/>
      <c r="J63" s="143"/>
      <c r="L63" s="152"/>
    </row>
    <row r="64" spans="1:12" s="33" customFormat="1" ht="12.75" x14ac:dyDescent="0.2">
      <c r="A64" s="34"/>
      <c r="B64" s="17" t="s">
        <v>149</v>
      </c>
      <c r="C64" s="35" t="s">
        <v>150</v>
      </c>
      <c r="D64" s="36">
        <v>6181400</v>
      </c>
      <c r="E64" s="2"/>
      <c r="F64" s="3"/>
      <c r="G64" s="4"/>
      <c r="H64" s="137"/>
      <c r="I64" s="5"/>
      <c r="J64" s="143"/>
      <c r="L64" s="152"/>
    </row>
    <row r="65" spans="1:12" s="33" customFormat="1" ht="13.15" customHeight="1" x14ac:dyDescent="0.2">
      <c r="A65" s="53"/>
      <c r="B65" s="54" t="s">
        <v>151</v>
      </c>
      <c r="C65" s="55" t="s">
        <v>152</v>
      </c>
      <c r="D65" s="36">
        <v>6181500</v>
      </c>
      <c r="E65" s="2"/>
      <c r="F65" s="3"/>
      <c r="G65" s="4"/>
      <c r="H65" s="137"/>
      <c r="I65" s="5"/>
      <c r="J65" s="143"/>
      <c r="L65" s="152"/>
    </row>
    <row r="66" spans="1:12" s="33" customFormat="1" ht="3" customHeight="1" x14ac:dyDescent="0.2">
      <c r="A66" s="53"/>
      <c r="B66" s="54"/>
      <c r="C66" s="55"/>
      <c r="D66" s="36"/>
      <c r="E66" s="2"/>
      <c r="F66" s="3"/>
      <c r="G66" s="4"/>
      <c r="H66" s="137"/>
      <c r="I66" s="5"/>
      <c r="J66" s="143"/>
      <c r="L66" s="152"/>
    </row>
    <row r="67" spans="1:12" s="33" customFormat="1" ht="12.75" x14ac:dyDescent="0.2">
      <c r="A67" s="53"/>
      <c r="B67" s="17" t="s">
        <v>153</v>
      </c>
      <c r="C67" s="55" t="s">
        <v>154</v>
      </c>
      <c r="D67" s="36">
        <v>6110610</v>
      </c>
      <c r="E67" s="2"/>
      <c r="F67" s="3"/>
      <c r="G67" s="4"/>
      <c r="H67" s="137"/>
      <c r="I67" s="5"/>
      <c r="J67" s="143"/>
      <c r="L67" s="152"/>
    </row>
    <row r="68" spans="1:12" s="33" customFormat="1" ht="12.75" x14ac:dyDescent="0.2">
      <c r="A68" s="53"/>
      <c r="B68" s="54" t="s">
        <v>155</v>
      </c>
      <c r="C68" s="55" t="s">
        <v>156</v>
      </c>
      <c r="D68" s="36">
        <v>6122340</v>
      </c>
      <c r="E68" s="2"/>
      <c r="F68" s="3"/>
      <c r="G68" s="4"/>
      <c r="H68" s="137"/>
      <c r="I68" s="5"/>
      <c r="J68" s="143"/>
      <c r="L68" s="152"/>
    </row>
    <row r="69" spans="1:12" s="33" customFormat="1" ht="3" customHeight="1" thickBot="1" x14ac:dyDescent="0.25">
      <c r="A69" s="34"/>
      <c r="B69" s="17"/>
      <c r="C69" s="35"/>
      <c r="D69" s="36"/>
      <c r="E69" s="2"/>
      <c r="F69" s="38"/>
      <c r="G69" s="4"/>
      <c r="H69" s="140"/>
      <c r="I69" s="5"/>
      <c r="J69" s="146"/>
      <c r="L69" s="157"/>
    </row>
    <row r="70" spans="1:12" ht="16.5" thickBot="1" x14ac:dyDescent="0.3">
      <c r="A70" s="40"/>
      <c r="B70" s="41" t="s">
        <v>157</v>
      </c>
      <c r="C70" s="41"/>
      <c r="D70" s="42"/>
      <c r="E70" s="87">
        <f>SUM(E30:E69)</f>
        <v>0</v>
      </c>
      <c r="F70" s="43"/>
      <c r="G70" s="87">
        <f t="shared" ref="G70:I70" si="0">SUM(G30:G69)</f>
        <v>0</v>
      </c>
      <c r="H70" s="141"/>
      <c r="I70" s="87">
        <f t="shared" si="0"/>
        <v>0</v>
      </c>
      <c r="J70" s="142"/>
    </row>
    <row r="71" spans="1:12" ht="3" customHeight="1" x14ac:dyDescent="0.25">
      <c r="A71" s="95"/>
      <c r="B71" s="96"/>
      <c r="C71" s="96"/>
      <c r="D71" s="97"/>
      <c r="E71" s="43"/>
      <c r="F71" s="43"/>
      <c r="G71" s="43"/>
      <c r="H71" s="44"/>
      <c r="I71" s="43"/>
      <c r="J71" s="45"/>
    </row>
    <row r="72" spans="1:12" s="33" customFormat="1" ht="13.5" thickBot="1" x14ac:dyDescent="0.25">
      <c r="A72" s="17"/>
      <c r="B72" s="17"/>
      <c r="C72" s="35"/>
      <c r="D72" s="46"/>
      <c r="E72" s="56"/>
      <c r="F72" s="38"/>
      <c r="G72" s="38"/>
      <c r="H72" s="39"/>
      <c r="I72" s="38"/>
      <c r="J72" s="21"/>
      <c r="L72" s="158"/>
    </row>
    <row r="73" spans="1:12" s="33" customFormat="1" ht="12.75" x14ac:dyDescent="0.2">
      <c r="A73" s="57"/>
      <c r="B73" s="48" t="s">
        <v>158</v>
      </c>
      <c r="C73" s="48"/>
      <c r="D73" s="49"/>
      <c r="E73" s="58"/>
      <c r="F73" s="38"/>
      <c r="G73" s="59"/>
      <c r="H73" s="147"/>
      <c r="I73" s="60"/>
      <c r="J73" s="148"/>
      <c r="L73" s="156"/>
    </row>
    <row r="74" spans="1:12" s="33" customFormat="1" ht="12.75" x14ac:dyDescent="0.2">
      <c r="A74" s="34"/>
      <c r="B74" s="17" t="s">
        <v>159</v>
      </c>
      <c r="C74" s="17" t="s">
        <v>160</v>
      </c>
      <c r="D74" s="36">
        <v>4190170</v>
      </c>
      <c r="E74" s="6"/>
      <c r="F74" s="7"/>
      <c r="G74" s="8"/>
      <c r="H74" s="137"/>
      <c r="I74" s="9"/>
      <c r="J74" s="143"/>
      <c r="L74" s="152"/>
    </row>
    <row r="75" spans="1:12" s="33" customFormat="1" ht="12.75" x14ac:dyDescent="0.2">
      <c r="A75" s="34"/>
      <c r="B75" s="17" t="s">
        <v>161</v>
      </c>
      <c r="C75" s="17" t="s">
        <v>162</v>
      </c>
      <c r="D75" s="36">
        <v>4190430</v>
      </c>
      <c r="E75" s="6"/>
      <c r="F75" s="3"/>
      <c r="G75" s="8"/>
      <c r="H75" s="138"/>
      <c r="I75" s="9"/>
      <c r="J75" s="144"/>
      <c r="L75" s="152"/>
    </row>
    <row r="76" spans="1:12" s="33" customFormat="1" ht="12.75" x14ac:dyDescent="0.2">
      <c r="A76" s="34"/>
      <c r="B76" s="17" t="s">
        <v>163</v>
      </c>
      <c r="C76" s="55" t="s">
        <v>164</v>
      </c>
      <c r="D76" s="36">
        <v>6181510</v>
      </c>
      <c r="E76" s="6">
        <f>-E65</f>
        <v>0</v>
      </c>
      <c r="F76" s="3"/>
      <c r="G76" s="8">
        <f>-G65</f>
        <v>0</v>
      </c>
      <c r="H76" s="138"/>
      <c r="I76" s="9">
        <f>-I65</f>
        <v>0</v>
      </c>
      <c r="J76" s="144"/>
      <c r="L76" s="152"/>
    </row>
    <row r="77" spans="1:12" s="33" customFormat="1" ht="3" customHeight="1" thickBot="1" x14ac:dyDescent="0.25">
      <c r="A77" s="34"/>
      <c r="B77" s="17"/>
      <c r="C77" s="35"/>
      <c r="D77" s="36"/>
      <c r="E77" s="6"/>
      <c r="F77" s="38"/>
      <c r="G77" s="8"/>
      <c r="H77" s="140"/>
      <c r="I77" s="9"/>
      <c r="J77" s="146"/>
      <c r="L77" s="157"/>
    </row>
    <row r="78" spans="1:12" ht="16.5" thickBot="1" x14ac:dyDescent="0.3">
      <c r="A78" s="40"/>
      <c r="B78" s="41" t="s">
        <v>165</v>
      </c>
      <c r="C78" s="41"/>
      <c r="D78" s="42"/>
      <c r="E78" s="87">
        <f>SUM(E74:E76)</f>
        <v>0</v>
      </c>
      <c r="F78" s="43"/>
      <c r="G78" s="87">
        <f t="shared" ref="G78:I78" si="1">SUM(G74:G76)</f>
        <v>0</v>
      </c>
      <c r="H78" s="141"/>
      <c r="I78" s="87">
        <f t="shared" si="1"/>
        <v>0</v>
      </c>
      <c r="J78" s="142"/>
    </row>
    <row r="79" spans="1:12" s="33" customFormat="1" ht="13.5" thickBot="1" x14ac:dyDescent="0.25">
      <c r="A79" s="17"/>
      <c r="B79" s="61"/>
      <c r="C79" s="35"/>
      <c r="D79" s="46"/>
      <c r="E79" s="56"/>
      <c r="F79" s="38"/>
      <c r="G79" s="56"/>
      <c r="H79" s="39"/>
      <c r="I79" s="56"/>
      <c r="J79" s="21"/>
      <c r="L79" s="158"/>
    </row>
    <row r="80" spans="1:12" s="33" customFormat="1" ht="12.75" x14ac:dyDescent="0.2">
      <c r="A80" s="26"/>
      <c r="B80" s="48" t="s">
        <v>166</v>
      </c>
      <c r="C80" s="48"/>
      <c r="D80" s="49"/>
      <c r="E80" s="58"/>
      <c r="F80" s="38"/>
      <c r="G80" s="59"/>
      <c r="H80" s="147"/>
      <c r="I80" s="60"/>
      <c r="J80" s="148"/>
      <c r="L80" s="156"/>
    </row>
    <row r="81" spans="1:12" s="33" customFormat="1" ht="12.75" x14ac:dyDescent="0.2">
      <c r="A81" s="34"/>
      <c r="B81" s="17" t="s">
        <v>167</v>
      </c>
      <c r="C81" s="35" t="s">
        <v>168</v>
      </c>
      <c r="D81" s="36">
        <v>6180210</v>
      </c>
      <c r="E81" s="6"/>
      <c r="F81" s="10"/>
      <c r="G81" s="8"/>
      <c r="H81" s="137"/>
      <c r="I81" s="9"/>
      <c r="J81" s="143"/>
      <c r="L81" s="152"/>
    </row>
    <row r="82" spans="1:12" s="33" customFormat="1" ht="12.75" x14ac:dyDescent="0.2">
      <c r="A82" s="34"/>
      <c r="B82" s="17" t="s">
        <v>169</v>
      </c>
      <c r="C82" s="35" t="s">
        <v>170</v>
      </c>
      <c r="D82" s="36">
        <v>6180200</v>
      </c>
      <c r="E82" s="6"/>
      <c r="F82" s="11"/>
      <c r="G82" s="8"/>
      <c r="H82" s="138"/>
      <c r="I82" s="9"/>
      <c r="J82" s="144"/>
      <c r="L82" s="152"/>
    </row>
    <row r="83" spans="1:12" s="33" customFormat="1" ht="12.75" x14ac:dyDescent="0.2">
      <c r="A83" s="34"/>
      <c r="B83" s="17" t="s">
        <v>171</v>
      </c>
      <c r="C83" s="35" t="s">
        <v>172</v>
      </c>
      <c r="D83" s="37">
        <v>6180230</v>
      </c>
      <c r="E83" s="6"/>
      <c r="F83" s="11"/>
      <c r="G83" s="8"/>
      <c r="H83" s="138"/>
      <c r="I83" s="9"/>
      <c r="J83" s="144"/>
      <c r="L83" s="152"/>
    </row>
    <row r="84" spans="1:12" s="33" customFormat="1" ht="12.75" x14ac:dyDescent="0.2">
      <c r="A84" s="34"/>
      <c r="B84" s="17" t="s">
        <v>464</v>
      </c>
      <c r="C84" s="35" t="s">
        <v>460</v>
      </c>
      <c r="D84" s="37">
        <v>6180260</v>
      </c>
      <c r="E84" s="6"/>
      <c r="F84" s="11"/>
      <c r="G84" s="8"/>
      <c r="H84" s="138"/>
      <c r="I84" s="9"/>
      <c r="J84" s="144"/>
      <c r="L84" s="152"/>
    </row>
    <row r="85" spans="1:12" s="33" customFormat="1" ht="12.75" x14ac:dyDescent="0.2">
      <c r="A85" s="34"/>
      <c r="B85" s="17" t="s">
        <v>465</v>
      </c>
      <c r="C85" s="35" t="s">
        <v>468</v>
      </c>
      <c r="D85" s="37">
        <v>6180261</v>
      </c>
      <c r="E85" s="6"/>
      <c r="F85" s="11"/>
      <c r="G85" s="8"/>
      <c r="H85" s="138"/>
      <c r="I85" s="9"/>
      <c r="J85" s="144"/>
      <c r="L85" s="152"/>
    </row>
    <row r="86" spans="1:12" s="33" customFormat="1" ht="12.75" x14ac:dyDescent="0.2">
      <c r="A86" s="34"/>
      <c r="B86" s="17" t="s">
        <v>466</v>
      </c>
      <c r="C86" s="35" t="s">
        <v>461</v>
      </c>
      <c r="D86" s="37">
        <v>6180262</v>
      </c>
      <c r="E86" s="6"/>
      <c r="F86" s="11"/>
      <c r="G86" s="8"/>
      <c r="H86" s="138"/>
      <c r="I86" s="9"/>
      <c r="J86" s="144"/>
      <c r="L86" s="152"/>
    </row>
    <row r="87" spans="1:12" s="33" customFormat="1" ht="12.75" x14ac:dyDescent="0.2">
      <c r="A87" s="34"/>
      <c r="B87" s="17" t="s">
        <v>467</v>
      </c>
      <c r="C87" s="35" t="s">
        <v>462</v>
      </c>
      <c r="D87" s="36">
        <v>6180263</v>
      </c>
      <c r="E87" s="6"/>
      <c r="F87" s="11"/>
      <c r="G87" s="8"/>
      <c r="H87" s="138"/>
      <c r="I87" s="9"/>
      <c r="J87" s="144"/>
      <c r="L87" s="152"/>
    </row>
    <row r="88" spans="1:12" s="33" customFormat="1" ht="12.75" x14ac:dyDescent="0.2">
      <c r="A88" s="34"/>
      <c r="B88" s="17" t="s">
        <v>469</v>
      </c>
      <c r="C88" s="35" t="s">
        <v>463</v>
      </c>
      <c r="D88" s="36">
        <v>6180264</v>
      </c>
      <c r="E88" s="6"/>
      <c r="F88" s="11"/>
      <c r="G88" s="8"/>
      <c r="H88" s="138"/>
      <c r="I88" s="9"/>
      <c r="J88" s="144"/>
      <c r="L88" s="152"/>
    </row>
    <row r="89" spans="1:12" s="33" customFormat="1" ht="3" customHeight="1" thickBot="1" x14ac:dyDescent="0.25">
      <c r="A89" s="34"/>
      <c r="B89" s="17"/>
      <c r="C89" s="35"/>
      <c r="D89" s="36"/>
      <c r="E89" s="6"/>
      <c r="F89" s="38"/>
      <c r="G89" s="8"/>
      <c r="H89" s="140"/>
      <c r="I89" s="9"/>
      <c r="J89" s="146"/>
      <c r="L89" s="157"/>
    </row>
    <row r="90" spans="1:12" ht="16.5" thickBot="1" x14ac:dyDescent="0.3">
      <c r="A90" s="40"/>
      <c r="B90" s="41" t="s">
        <v>173</v>
      </c>
      <c r="C90" s="41"/>
      <c r="D90" s="42"/>
      <c r="E90" s="87">
        <f>SUM(E81:E88)</f>
        <v>0</v>
      </c>
      <c r="F90" s="43"/>
      <c r="G90" s="87">
        <f t="shared" ref="G90:I90" si="2">SUM(G81:G88)</f>
        <v>0</v>
      </c>
      <c r="H90" s="141"/>
      <c r="I90" s="87">
        <f t="shared" si="2"/>
        <v>0</v>
      </c>
      <c r="J90" s="142"/>
    </row>
    <row r="91" spans="1:12" s="33" customFormat="1" ht="13.5" thickBot="1" x14ac:dyDescent="0.25">
      <c r="A91" s="57"/>
      <c r="B91" s="48"/>
      <c r="C91" s="98"/>
      <c r="D91" s="99"/>
      <c r="E91" s="100"/>
      <c r="F91" s="38"/>
      <c r="G91" s="38"/>
      <c r="H91" s="39"/>
      <c r="I91" s="38"/>
      <c r="J91" s="21"/>
      <c r="L91" s="158"/>
    </row>
    <row r="92" spans="1:12" s="33" customFormat="1" ht="12.75" x14ac:dyDescent="0.2">
      <c r="A92" s="105"/>
      <c r="B92" s="106" t="s">
        <v>174</v>
      </c>
      <c r="C92" s="106"/>
      <c r="D92" s="107"/>
      <c r="E92" s="108"/>
      <c r="F92" s="38"/>
      <c r="G92" s="108"/>
      <c r="H92" s="39"/>
      <c r="I92" s="108"/>
      <c r="J92" s="21"/>
      <c r="L92" s="158"/>
    </row>
    <row r="93" spans="1:12" s="33" customFormat="1" ht="12.75" x14ac:dyDescent="0.2">
      <c r="A93" s="34"/>
      <c r="B93" s="17" t="s">
        <v>175</v>
      </c>
      <c r="C93" s="35" t="s">
        <v>176</v>
      </c>
      <c r="D93" s="36"/>
      <c r="E93" s="119" t="e">
        <f>-VLOOKUP(L1,'Opening balances'!A4:H84,4,0)</f>
        <v>#N/A</v>
      </c>
      <c r="F93" s="38"/>
      <c r="G93" s="88">
        <v>0</v>
      </c>
      <c r="H93" s="39"/>
      <c r="I93" s="88">
        <v>0</v>
      </c>
      <c r="J93" s="21"/>
      <c r="L93" s="158"/>
    </row>
    <row r="94" spans="1:12" s="33" customFormat="1" ht="12.75" x14ac:dyDescent="0.2">
      <c r="A94" s="34"/>
      <c r="B94" s="17" t="s">
        <v>177</v>
      </c>
      <c r="C94" s="62" t="s">
        <v>178</v>
      </c>
      <c r="D94" s="36"/>
      <c r="E94" s="119" t="e">
        <f>-VLOOKUP(L1,'Opening balances'!A:I,5,0)</f>
        <v>#N/A</v>
      </c>
      <c r="F94" s="3"/>
      <c r="G94" s="88" t="e">
        <f>-E106</f>
        <v>#N/A</v>
      </c>
      <c r="H94" s="39"/>
      <c r="I94" s="88" t="e">
        <f>-G106</f>
        <v>#N/A</v>
      </c>
      <c r="J94" s="21"/>
      <c r="L94" s="158"/>
    </row>
    <row r="95" spans="1:12" s="33" customFormat="1" ht="12.75" x14ac:dyDescent="0.2">
      <c r="A95" s="34"/>
      <c r="B95" s="17" t="s">
        <v>179</v>
      </c>
      <c r="C95" s="62" t="s">
        <v>180</v>
      </c>
      <c r="D95" s="36"/>
      <c r="E95" s="120" t="e">
        <f>-VLOOKUP(L1,'Opening balances'!A:H,8,0)</f>
        <v>#N/A</v>
      </c>
      <c r="F95" s="3"/>
      <c r="G95" s="101" t="e">
        <f>-E107</f>
        <v>#N/A</v>
      </c>
      <c r="H95" s="39"/>
      <c r="I95" s="101" t="e">
        <f>-G107</f>
        <v>#N/A</v>
      </c>
      <c r="J95" s="21"/>
      <c r="L95" s="158"/>
    </row>
    <row r="96" spans="1:12" s="33" customFormat="1" ht="12.75" x14ac:dyDescent="0.2">
      <c r="A96" s="34"/>
      <c r="B96" s="17" t="s">
        <v>181</v>
      </c>
      <c r="C96" s="35"/>
      <c r="D96" s="63"/>
      <c r="E96" s="88" t="e">
        <f>SUM(E93:E95)</f>
        <v>#N/A</v>
      </c>
      <c r="F96" s="38"/>
      <c r="G96" s="88" t="e">
        <f>SUM(G93:G95)</f>
        <v>#N/A</v>
      </c>
      <c r="H96" s="39"/>
      <c r="I96" s="88" t="e">
        <f>SUM(I93:I95)</f>
        <v>#N/A</v>
      </c>
      <c r="J96" s="21"/>
      <c r="L96" s="158"/>
    </row>
    <row r="97" spans="1:12" s="33" customFormat="1" ht="3" customHeight="1" x14ac:dyDescent="0.2">
      <c r="A97" s="34"/>
      <c r="B97" s="17"/>
      <c r="C97" s="62"/>
      <c r="D97" s="36"/>
      <c r="E97" s="88"/>
      <c r="F97" s="3"/>
      <c r="G97" s="88"/>
      <c r="H97" s="39"/>
      <c r="I97" s="88"/>
      <c r="J97" s="21"/>
      <c r="L97" s="158"/>
    </row>
    <row r="98" spans="1:12" s="33" customFormat="1" ht="12.75" x14ac:dyDescent="0.2">
      <c r="A98" s="34"/>
      <c r="B98" s="17" t="s">
        <v>182</v>
      </c>
      <c r="C98" s="62" t="s">
        <v>40</v>
      </c>
      <c r="D98" s="36"/>
      <c r="E98" s="119" t="e">
        <f>-VLOOKUP(L1,'Opening balances'!A:F,6,0)</f>
        <v>#N/A</v>
      </c>
      <c r="F98" s="3"/>
      <c r="G98" s="88" t="e">
        <f t="shared" ref="G98:I99" si="3">-E110</f>
        <v>#N/A</v>
      </c>
      <c r="H98" s="39"/>
      <c r="I98" s="89" t="e">
        <f t="shared" si="3"/>
        <v>#N/A</v>
      </c>
      <c r="J98" s="21"/>
      <c r="L98" s="158"/>
    </row>
    <row r="99" spans="1:12" s="33" customFormat="1" ht="12.75" x14ac:dyDescent="0.2">
      <c r="A99" s="34"/>
      <c r="B99" s="17" t="s">
        <v>183</v>
      </c>
      <c r="C99" s="35" t="s">
        <v>184</v>
      </c>
      <c r="D99" s="63"/>
      <c r="E99" s="120" t="e">
        <f>-VLOOKUP(L1,'Opening balances'!A:G,7,0)</f>
        <v>#N/A</v>
      </c>
      <c r="F99" s="3"/>
      <c r="G99" s="101" t="e">
        <f t="shared" si="3"/>
        <v>#N/A</v>
      </c>
      <c r="H99" s="39"/>
      <c r="I99" s="101" t="e">
        <f t="shared" si="3"/>
        <v>#N/A</v>
      </c>
      <c r="J99" s="21"/>
      <c r="L99" s="158"/>
    </row>
    <row r="100" spans="1:12" s="33" customFormat="1" ht="12.75" x14ac:dyDescent="0.2">
      <c r="A100" s="34"/>
      <c r="B100" s="17" t="s">
        <v>185</v>
      </c>
      <c r="C100" s="62"/>
      <c r="D100" s="36"/>
      <c r="E100" s="88" t="e">
        <f>SUM(E98:E99)</f>
        <v>#N/A</v>
      </c>
      <c r="F100" s="11"/>
      <c r="G100" s="88" t="e">
        <f>SUM(G98:G99)</f>
        <v>#N/A</v>
      </c>
      <c r="H100" s="149"/>
      <c r="I100" s="88" t="e">
        <f>SUM(I98:I99)</f>
        <v>#N/A</v>
      </c>
      <c r="J100" s="21"/>
      <c r="L100" s="158"/>
    </row>
    <row r="101" spans="1:12" s="33" customFormat="1" ht="3" customHeight="1" x14ac:dyDescent="0.2">
      <c r="A101" s="109"/>
      <c r="B101" s="110"/>
      <c r="C101" s="111"/>
      <c r="D101" s="112"/>
      <c r="E101" s="113"/>
      <c r="F101" s="11"/>
      <c r="G101" s="113"/>
      <c r="H101" s="149"/>
      <c r="I101" s="113"/>
      <c r="J101" s="21"/>
      <c r="L101" s="158"/>
    </row>
    <row r="102" spans="1:12" s="102" customFormat="1" ht="13.5" thickBot="1" x14ac:dyDescent="0.25">
      <c r="A102" s="114"/>
      <c r="B102" s="115" t="s">
        <v>186</v>
      </c>
      <c r="C102" s="116"/>
      <c r="D102" s="117"/>
      <c r="E102" s="118" t="e">
        <f>E100+E96</f>
        <v>#N/A</v>
      </c>
      <c r="F102" s="64"/>
      <c r="G102" s="118" t="e">
        <f>G100+G96</f>
        <v>#N/A</v>
      </c>
      <c r="H102" s="150"/>
      <c r="I102" s="118" t="e">
        <f>I100+I96</f>
        <v>#N/A</v>
      </c>
      <c r="J102" s="151"/>
      <c r="L102" s="159"/>
    </row>
    <row r="103" spans="1:12" s="33" customFormat="1" ht="13.5" thickBot="1" x14ac:dyDescent="0.25">
      <c r="A103" s="17"/>
      <c r="B103" s="17"/>
      <c r="C103" s="62"/>
      <c r="D103" s="46"/>
      <c r="E103" s="38"/>
      <c r="F103" s="3"/>
      <c r="G103" s="103"/>
      <c r="H103" s="399"/>
      <c r="I103" s="103"/>
      <c r="J103" s="21"/>
      <c r="L103" s="158"/>
    </row>
    <row r="104" spans="1:12" s="33" customFormat="1" ht="12.75" x14ac:dyDescent="0.2">
      <c r="A104" s="121"/>
      <c r="B104" s="122" t="s">
        <v>187</v>
      </c>
      <c r="C104" s="122"/>
      <c r="D104" s="123"/>
      <c r="E104" s="124"/>
      <c r="F104" s="38"/>
      <c r="G104" s="124"/>
      <c r="H104" s="399"/>
      <c r="I104" s="124"/>
      <c r="J104" s="21"/>
      <c r="L104" s="158"/>
    </row>
    <row r="105" spans="1:12" s="33" customFormat="1" ht="12.75" x14ac:dyDescent="0.2">
      <c r="A105" s="34"/>
      <c r="B105" s="17" t="s">
        <v>175</v>
      </c>
      <c r="C105" s="35" t="s">
        <v>176</v>
      </c>
      <c r="D105" s="36"/>
      <c r="E105" s="88">
        <v>0</v>
      </c>
      <c r="F105" s="38"/>
      <c r="G105" s="88">
        <v>0</v>
      </c>
      <c r="H105" s="39"/>
      <c r="I105" s="88">
        <v>0</v>
      </c>
      <c r="J105" s="21"/>
      <c r="L105" s="158"/>
    </row>
    <row r="106" spans="1:12" s="33" customFormat="1" ht="12.75" x14ac:dyDescent="0.2">
      <c r="A106" s="34"/>
      <c r="B106" s="17" t="s">
        <v>177</v>
      </c>
      <c r="C106" s="62" t="e">
        <f>IF(OR(E106&lt;0,G106&lt;0,I106&lt;0),"Uncommitted Revenue - a red cell indicates a deficit balance","Uncommitted Revenue")</f>
        <v>#N/A</v>
      </c>
      <c r="D106" s="36"/>
      <c r="E106" s="88" t="e">
        <f>-SUM(E96)-SUM(E27+E70)-E107</f>
        <v>#N/A</v>
      </c>
      <c r="F106" s="3"/>
      <c r="G106" s="88" t="e">
        <f>-SUM(G96)-SUM(G27+G70)-G107</f>
        <v>#N/A</v>
      </c>
      <c r="H106" s="39"/>
      <c r="I106" s="88" t="e">
        <f>-SUM(I96)-SUM(I27+I70)-I107</f>
        <v>#N/A</v>
      </c>
      <c r="J106" s="21"/>
      <c r="L106" s="158"/>
    </row>
    <row r="107" spans="1:12" s="33" customFormat="1" ht="12.75" x14ac:dyDescent="0.2">
      <c r="A107" s="34"/>
      <c r="B107" s="17" t="s">
        <v>179</v>
      </c>
      <c r="C107" s="62" t="s">
        <v>180</v>
      </c>
      <c r="D107" s="36"/>
      <c r="E107" s="101" t="e">
        <f>-SUM(E95+E24+E25+E67+E68)</f>
        <v>#N/A</v>
      </c>
      <c r="F107" s="3"/>
      <c r="G107" s="101" t="e">
        <f>-SUM(G95+G24+G25+G67+G68)</f>
        <v>#N/A</v>
      </c>
      <c r="H107" s="39"/>
      <c r="I107" s="101" t="e">
        <f>-SUM(I95+I24+I25+I67+I68)</f>
        <v>#N/A</v>
      </c>
      <c r="J107" s="21"/>
      <c r="L107" s="158"/>
    </row>
    <row r="108" spans="1:12" s="33" customFormat="1" ht="12.75" x14ac:dyDescent="0.2">
      <c r="A108" s="34"/>
      <c r="B108" s="17" t="s">
        <v>181</v>
      </c>
      <c r="C108" s="35"/>
      <c r="D108" s="63"/>
      <c r="E108" s="88" t="e">
        <f>SUM(E106:E107)</f>
        <v>#N/A</v>
      </c>
      <c r="F108" s="38"/>
      <c r="G108" s="88" t="e">
        <f>SUM(G106:G107)</f>
        <v>#N/A</v>
      </c>
      <c r="H108" s="39"/>
      <c r="I108" s="88" t="e">
        <f>SUM(I106:I107)</f>
        <v>#N/A</v>
      </c>
      <c r="J108" s="21"/>
      <c r="L108" s="158"/>
    </row>
    <row r="109" spans="1:12" s="33" customFormat="1" ht="3" customHeight="1" x14ac:dyDescent="0.2">
      <c r="A109" s="34"/>
      <c r="B109" s="17"/>
      <c r="C109" s="62"/>
      <c r="D109" s="36" t="s">
        <v>188</v>
      </c>
      <c r="E109" s="88"/>
      <c r="F109" s="3"/>
      <c r="G109" s="88"/>
      <c r="H109" s="39"/>
      <c r="I109" s="88"/>
      <c r="J109" s="21"/>
      <c r="L109" s="158"/>
    </row>
    <row r="110" spans="1:12" s="33" customFormat="1" ht="12.75" x14ac:dyDescent="0.2">
      <c r="A110" s="34"/>
      <c r="B110" s="17" t="s">
        <v>182</v>
      </c>
      <c r="C110" s="62" t="s">
        <v>40</v>
      </c>
      <c r="D110" s="36"/>
      <c r="E110" s="89" t="e">
        <f>IF(-SUM(E98+E74)&lt;E90,0,-SUM(E98+E74+E90))</f>
        <v>#N/A</v>
      </c>
      <c r="F110" s="3"/>
      <c r="G110" s="89" t="e">
        <f>IF(-SUM(G98+G74)&lt;G90,0,-SUM(G98+G74+G90))</f>
        <v>#N/A</v>
      </c>
      <c r="H110" s="39"/>
      <c r="I110" s="89" t="e">
        <f>IF(-SUM(I98+I74)&lt;I90,0,-SUM(I98+I74+I90))</f>
        <v>#N/A</v>
      </c>
      <c r="J110" s="21"/>
      <c r="L110" s="158"/>
    </row>
    <row r="111" spans="1:12" s="33" customFormat="1" ht="12.75" x14ac:dyDescent="0.2">
      <c r="A111" s="34"/>
      <c r="B111" s="17" t="s">
        <v>183</v>
      </c>
      <c r="C111" s="35" t="s">
        <v>184</v>
      </c>
      <c r="D111" s="63"/>
      <c r="E111" s="101" t="e">
        <f>-SUM(E100+E78+E90+E110)</f>
        <v>#N/A</v>
      </c>
      <c r="F111" s="3"/>
      <c r="G111" s="101" t="e">
        <f>-SUM(G100+G78+G90+G110)</f>
        <v>#N/A</v>
      </c>
      <c r="H111" s="39"/>
      <c r="I111" s="101" t="e">
        <f>-SUM(I100+I78+I90+I110)</f>
        <v>#N/A</v>
      </c>
      <c r="J111" s="21"/>
      <c r="L111" s="158"/>
    </row>
    <row r="112" spans="1:12" s="33" customFormat="1" ht="12.75" x14ac:dyDescent="0.2">
      <c r="A112" s="34"/>
      <c r="B112" s="17" t="e">
        <f>IF(OR(E112&lt;0,G112&lt;0,I112&lt;0),"TOTAL CAPITAL - CANNOT BE A DEFICIT, PLEASE CORRECT","TOTAL CAPITAL")</f>
        <v>#N/A</v>
      </c>
      <c r="C112" s="62"/>
      <c r="D112" s="36"/>
      <c r="E112" s="88" t="e">
        <f>SUM(E110:E111)</f>
        <v>#N/A</v>
      </c>
      <c r="F112" s="11"/>
      <c r="G112" s="88" t="e">
        <f>SUM(G110:G111)</f>
        <v>#N/A</v>
      </c>
      <c r="H112" s="149"/>
      <c r="I112" s="88" t="e">
        <f>SUM(I110:I111)</f>
        <v>#N/A</v>
      </c>
      <c r="J112" s="21"/>
      <c r="L112" s="158"/>
    </row>
    <row r="113" spans="1:26" s="33" customFormat="1" ht="3" customHeight="1" x14ac:dyDescent="0.2">
      <c r="A113" s="125"/>
      <c r="B113" s="126"/>
      <c r="C113" s="127"/>
      <c r="D113" s="128"/>
      <c r="E113" s="129"/>
      <c r="F113" s="11"/>
      <c r="G113" s="129"/>
      <c r="H113" s="149"/>
      <c r="I113" s="129"/>
      <c r="J113" s="21"/>
      <c r="L113" s="158"/>
    </row>
    <row r="114" spans="1:26" s="135" customFormat="1" ht="16.5" thickBot="1" x14ac:dyDescent="0.3">
      <c r="A114" s="130"/>
      <c r="B114" s="131" t="s">
        <v>189</v>
      </c>
      <c r="C114" s="132"/>
      <c r="D114" s="133"/>
      <c r="E114" s="134" t="e">
        <f>E108+E112</f>
        <v>#N/A</v>
      </c>
      <c r="F114" s="43"/>
      <c r="G114" s="134" t="e">
        <f>G108+G112</f>
        <v>#N/A</v>
      </c>
      <c r="H114" s="44"/>
      <c r="I114" s="134" t="e">
        <f>I108+I112</f>
        <v>#N/A</v>
      </c>
      <c r="J114" s="45"/>
      <c r="L114" s="160"/>
    </row>
    <row r="115" spans="1:26" x14ac:dyDescent="0.2">
      <c r="A115" s="17"/>
      <c r="B115" s="17"/>
      <c r="C115" s="17"/>
      <c r="D115" s="17"/>
      <c r="E115" s="104" t="e">
        <f>IF(E114&lt;0,"DEFICIT","SURPLUS")</f>
        <v>#N/A</v>
      </c>
      <c r="F115" s="17"/>
      <c r="G115" s="104" t="e">
        <f>IF(G114&lt;0,"DEFICIT","SURPLUS")</f>
        <v>#N/A</v>
      </c>
      <c r="H115" s="35"/>
      <c r="I115" s="104" t="e">
        <f>IF(I114&lt;0,"DEFICIT","SURPLUS")</f>
        <v>#N/A</v>
      </c>
      <c r="J115" s="35"/>
    </row>
    <row r="116" spans="1:26" ht="15.75" thickBot="1" x14ac:dyDescent="0.25">
      <c r="A116" s="17"/>
      <c r="B116" s="17"/>
      <c r="C116" s="17"/>
      <c r="D116" s="17"/>
      <c r="E116" s="17"/>
      <c r="F116" s="17"/>
      <c r="G116" s="17"/>
      <c r="H116" s="35"/>
      <c r="I116" s="17"/>
      <c r="J116" s="35"/>
    </row>
    <row r="117" spans="1:26" s="211" customFormat="1" ht="16.5" thickBot="1" x14ac:dyDescent="0.3">
      <c r="C117" s="212"/>
      <c r="D117" s="406" t="s">
        <v>190</v>
      </c>
      <c r="E117" s="407"/>
      <c r="F117" s="407"/>
      <c r="G117" s="407"/>
      <c r="H117" s="408"/>
      <c r="I117" s="213"/>
      <c r="J117" s="409" t="s">
        <v>191</v>
      </c>
      <c r="K117" s="410"/>
      <c r="L117" s="411"/>
      <c r="M117" s="16"/>
      <c r="N117" s="16"/>
      <c r="O117" s="16"/>
      <c r="P117" s="16"/>
      <c r="Q117" s="213"/>
      <c r="R117" s="214"/>
      <c r="Z117" s="215"/>
    </row>
    <row r="118" spans="1:26" s="211" customFormat="1" ht="30" customHeight="1" x14ac:dyDescent="0.25">
      <c r="C118" s="216" t="s">
        <v>192</v>
      </c>
      <c r="D118" s="400"/>
      <c r="E118" s="401"/>
      <c r="F118" s="401"/>
      <c r="G118" s="401"/>
      <c r="H118" s="402"/>
      <c r="I118" s="217" t="s">
        <v>193</v>
      </c>
      <c r="J118" s="403"/>
      <c r="K118" s="404"/>
      <c r="L118" s="405"/>
      <c r="M118" s="16"/>
      <c r="N118" s="16"/>
      <c r="O118" s="16"/>
      <c r="P118" s="16"/>
      <c r="Q118" s="213"/>
      <c r="R118" s="214"/>
      <c r="Z118" s="215"/>
    </row>
    <row r="119" spans="1:26" s="211" customFormat="1" ht="30" customHeight="1" x14ac:dyDescent="0.25">
      <c r="C119" s="216" t="s">
        <v>194</v>
      </c>
      <c r="D119" s="382"/>
      <c r="E119" s="383"/>
      <c r="F119" s="383"/>
      <c r="G119" s="383"/>
      <c r="H119" s="384"/>
      <c r="I119" s="217" t="s">
        <v>194</v>
      </c>
      <c r="J119" s="388"/>
      <c r="K119" s="389"/>
      <c r="L119" s="390"/>
      <c r="M119" s="16"/>
      <c r="N119" s="16"/>
      <c r="O119" s="16"/>
      <c r="P119" s="16"/>
      <c r="Q119" s="213"/>
      <c r="R119" s="214"/>
      <c r="Z119" s="215"/>
    </row>
    <row r="120" spans="1:26" s="211" customFormat="1" ht="30" customHeight="1" x14ac:dyDescent="0.25">
      <c r="C120" s="216" t="s">
        <v>195</v>
      </c>
      <c r="D120" s="382"/>
      <c r="E120" s="383"/>
      <c r="F120" s="383"/>
      <c r="G120" s="383"/>
      <c r="H120" s="384"/>
      <c r="I120" s="217" t="s">
        <v>195</v>
      </c>
      <c r="J120" s="388"/>
      <c r="K120" s="389"/>
      <c r="L120" s="390"/>
      <c r="M120" s="16"/>
      <c r="N120" s="16"/>
      <c r="O120" s="16"/>
      <c r="P120" s="16"/>
      <c r="Q120" s="213"/>
      <c r="R120" s="214"/>
      <c r="Z120" s="215"/>
    </row>
    <row r="121" spans="1:26" s="211" customFormat="1" ht="30" customHeight="1" thickBot="1" x14ac:dyDescent="0.3">
      <c r="C121" s="216" t="s">
        <v>196</v>
      </c>
      <c r="D121" s="385"/>
      <c r="E121" s="386"/>
      <c r="F121" s="386"/>
      <c r="G121" s="386"/>
      <c r="H121" s="387"/>
      <c r="I121" s="217" t="s">
        <v>196</v>
      </c>
      <c r="J121" s="391"/>
      <c r="K121" s="392"/>
      <c r="L121" s="393"/>
      <c r="M121" s="16"/>
      <c r="N121" s="16"/>
      <c r="O121" s="16"/>
      <c r="P121" s="16"/>
      <c r="Q121" s="213"/>
      <c r="R121" s="214"/>
      <c r="Z121" s="215"/>
    </row>
    <row r="122" spans="1:26" x14ac:dyDescent="0.2">
      <c r="A122" s="17"/>
      <c r="B122" s="17"/>
      <c r="C122" s="17"/>
      <c r="D122" s="17"/>
      <c r="E122" s="17"/>
      <c r="F122" s="17"/>
      <c r="G122" s="17"/>
      <c r="H122" s="35"/>
      <c r="I122" s="17"/>
      <c r="J122" s="35"/>
    </row>
    <row r="123" spans="1:26" x14ac:dyDescent="0.2">
      <c r="A123" s="17"/>
      <c r="B123" s="17"/>
      <c r="C123" s="17"/>
      <c r="D123" s="17"/>
      <c r="E123" s="17"/>
      <c r="F123" s="17"/>
      <c r="G123" s="17"/>
      <c r="H123" s="35"/>
      <c r="I123" s="17"/>
      <c r="J123" s="35"/>
    </row>
    <row r="124" spans="1:26" x14ac:dyDescent="0.2">
      <c r="A124" s="17"/>
      <c r="B124" s="17"/>
      <c r="C124" s="17"/>
      <c r="D124" s="17"/>
      <c r="E124" s="17"/>
      <c r="F124" s="17"/>
      <c r="G124" s="17"/>
      <c r="H124" s="35"/>
      <c r="I124" s="17"/>
      <c r="J124" s="35"/>
    </row>
    <row r="125" spans="1:26" x14ac:dyDescent="0.2">
      <c r="A125" s="17"/>
      <c r="B125" s="17"/>
      <c r="C125" s="16" t="s">
        <v>656</v>
      </c>
      <c r="D125" s="17"/>
      <c r="E125" s="17"/>
      <c r="F125" s="17"/>
      <c r="G125" s="17"/>
      <c r="H125" s="35"/>
      <c r="I125" s="17"/>
      <c r="J125" s="35"/>
    </row>
    <row r="126" spans="1:26" x14ac:dyDescent="0.2">
      <c r="C126" s="380"/>
      <c r="D126" s="381"/>
      <c r="E126" s="381"/>
      <c r="F126" s="381"/>
      <c r="G126" s="381"/>
      <c r="H126" s="381"/>
    </row>
    <row r="127" spans="1:26" x14ac:dyDescent="0.2">
      <c r="C127" s="381"/>
      <c r="D127" s="381"/>
      <c r="E127" s="381"/>
      <c r="F127" s="381"/>
      <c r="G127" s="381"/>
      <c r="H127" s="381"/>
    </row>
    <row r="128" spans="1:26" x14ac:dyDescent="0.2">
      <c r="C128" s="381"/>
      <c r="D128" s="381"/>
      <c r="E128" s="381"/>
      <c r="F128" s="381"/>
      <c r="G128" s="381"/>
      <c r="H128" s="381"/>
    </row>
    <row r="129" spans="3:8" x14ac:dyDescent="0.2">
      <c r="C129" s="381"/>
      <c r="D129" s="381"/>
      <c r="E129" s="381"/>
      <c r="F129" s="381"/>
      <c r="G129" s="381"/>
      <c r="H129" s="381"/>
    </row>
    <row r="130" spans="3:8" x14ac:dyDescent="0.2">
      <c r="C130" s="381"/>
      <c r="D130" s="381"/>
      <c r="E130" s="381"/>
      <c r="F130" s="381"/>
      <c r="G130" s="381"/>
      <c r="H130" s="381"/>
    </row>
    <row r="131" spans="3:8" x14ac:dyDescent="0.2">
      <c r="C131" s="381"/>
      <c r="D131" s="381"/>
      <c r="E131" s="381"/>
      <c r="F131" s="381"/>
      <c r="G131" s="381"/>
      <c r="H131" s="381"/>
    </row>
    <row r="132" spans="3:8" x14ac:dyDescent="0.2">
      <c r="C132" s="381"/>
      <c r="D132" s="381"/>
      <c r="E132" s="381"/>
      <c r="F132" s="381"/>
      <c r="G132" s="381"/>
      <c r="H132" s="381"/>
    </row>
    <row r="133" spans="3:8" x14ac:dyDescent="0.2">
      <c r="C133" s="381"/>
      <c r="D133" s="381"/>
      <c r="E133" s="381"/>
      <c r="F133" s="381"/>
      <c r="G133" s="381"/>
      <c r="H133" s="381"/>
    </row>
    <row r="134" spans="3:8" x14ac:dyDescent="0.2">
      <c r="C134" s="381"/>
      <c r="D134" s="381"/>
      <c r="E134" s="381"/>
      <c r="F134" s="381"/>
      <c r="G134" s="381"/>
      <c r="H134" s="381"/>
    </row>
  </sheetData>
  <sheetProtection algorithmName="SHA-512" hashValue="pXkEZP+HRfdXQNeG+kKEMaR8PxsuXCqR4VOVHuMk+zA7wGHTqL0hAhosavjE11Zc6nC8nUWmpIiP/Y80DPBYmA==" saltValue="Av1kjaAoUte1Cve0Y3MxyQ==" spinCount="100000" sheet="1" objects="1" scenarios="1"/>
  <mergeCells count="15">
    <mergeCell ref="D1:E1"/>
    <mergeCell ref="F1:I1"/>
    <mergeCell ref="H103:H104"/>
    <mergeCell ref="D118:H118"/>
    <mergeCell ref="J118:L118"/>
    <mergeCell ref="D117:H117"/>
    <mergeCell ref="J117:L117"/>
    <mergeCell ref="F3:H3"/>
    <mergeCell ref="C126:H134"/>
    <mergeCell ref="D119:H119"/>
    <mergeCell ref="D120:H120"/>
    <mergeCell ref="D121:H121"/>
    <mergeCell ref="J119:L119"/>
    <mergeCell ref="J120:L120"/>
    <mergeCell ref="J121:L121"/>
  </mergeCells>
  <conditionalFormatting sqref="B106:C106">
    <cfRule type="expression" dxfId="51" priority="1">
      <formula>$C$106="Uncommitted Revenue - a red cell indicates a deficit balance"</formula>
    </cfRule>
  </conditionalFormatting>
  <conditionalFormatting sqref="B112:C112">
    <cfRule type="expression" dxfId="50" priority="4">
      <formula>$B$112="TOTAL CAPITAL - CANNOT BE A DEFICIT, PLEASE CORRECT"</formula>
    </cfRule>
  </conditionalFormatting>
  <conditionalFormatting sqref="E106 G106 I106 E112 G112 I112 E114 G114 I114">
    <cfRule type="expression" dxfId="49" priority="5">
      <formula>E106&lt;0</formula>
    </cfRule>
  </conditionalFormatting>
  <conditionalFormatting sqref="E110">
    <cfRule type="expression" dxfId="48" priority="17">
      <formula>E110&lt;0</formula>
    </cfRule>
  </conditionalFormatting>
  <conditionalFormatting sqref="G107">
    <cfRule type="expression" dxfId="47" priority="22" stopIfTrue="1">
      <formula>$E$107&lt;0</formula>
    </cfRule>
  </conditionalFormatting>
  <conditionalFormatting sqref="G110">
    <cfRule type="expression" dxfId="46" priority="15">
      <formula>G110&lt;0</formula>
    </cfRule>
  </conditionalFormatting>
  <conditionalFormatting sqref="G111">
    <cfRule type="expression" dxfId="45" priority="9" stopIfTrue="1">
      <formula>$E$111&lt;0</formula>
    </cfRule>
  </conditionalFormatting>
  <conditionalFormatting sqref="I107">
    <cfRule type="expression" dxfId="44" priority="21" stopIfTrue="1">
      <formula>$E$107&lt;0</formula>
    </cfRule>
  </conditionalFormatting>
  <conditionalFormatting sqref="I110">
    <cfRule type="expression" dxfId="43" priority="13">
      <formula>I110&lt;0</formula>
    </cfRule>
  </conditionalFormatting>
  <conditionalFormatting sqref="I111">
    <cfRule type="expression" dxfId="42" priority="8" stopIfTrue="1">
      <formula>$E$111&lt;0</formula>
    </cfRule>
  </conditionalFormatting>
  <dataValidations count="2">
    <dataValidation type="decimal" operator="lessThanOrEqual" allowBlank="1" showInputMessage="1" showErrorMessage="1" sqref="G74 E74 E9 I9 G9 I74" xr:uid="{00000000-0002-0000-0100-000000000000}">
      <formula1>0</formula1>
    </dataValidation>
    <dataValidation allowBlank="1" showErrorMessage="1" errorTitle="INPUT ERROR" error="Only whole pounds can be entered and no formulae can be used" sqref="E101 E104 G101 I101 G104 I104" xr:uid="{00000000-0002-0000-0100-000002000000}"/>
  </dataValidations>
  <pageMargins left="0.23622047244094491" right="0.23622047244094491" top="0.35433070866141736" bottom="0.35433070866141736" header="0.31496062992125984" footer="0.31496062992125984"/>
  <pageSetup paperSize="9" scale="53" fitToHeight="0" orientation="landscape" r:id="rId1"/>
  <rowBreaks count="1" manualBreakCount="1">
    <brk id="70" max="16383" man="1"/>
  </rowBreaks>
  <ignoredErrors>
    <ignoredError sqref="D2:I2 C106 D96:J97 D100:J114 D69:J73 E115:I115 B112 D1:E1 J1 L1 D26:D29 D8:D22 J8 D56:D68 D76:D80 D89:J92 D5:J5 E4:J4 F8:H8 D74:D75 D98:D99 F98:J99 D93:D95 F93:J95 D7 D6 F6 H6 J6 D30:D48 D81:D83 J26:J29 J76:J80 F7:J7 D23:D25 E3 J3"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6"/>
    <pageSetUpPr fitToPage="1"/>
  </sheetPr>
  <dimension ref="A1:T108"/>
  <sheetViews>
    <sheetView workbookViewId="0">
      <selection activeCell="E54" sqref="E54"/>
    </sheetView>
  </sheetViews>
  <sheetFormatPr defaultColWidth="8.88671875" defaultRowHeight="15" x14ac:dyDescent="0.2"/>
  <cols>
    <col min="1" max="1" width="9.6640625" style="16" customWidth="1"/>
    <col min="2" max="2" width="20.88671875" style="16" customWidth="1"/>
    <col min="3" max="17" width="10.77734375" style="16" customWidth="1"/>
    <col min="18" max="18" width="8.88671875" style="16"/>
    <col min="19" max="19" width="2.33203125" style="16" customWidth="1"/>
    <col min="20" max="16384" width="8.88671875" style="16"/>
  </cols>
  <sheetData>
    <row r="1" spans="1:20" ht="23.25" x14ac:dyDescent="0.35">
      <c r="A1" s="161" t="s">
        <v>274</v>
      </c>
    </row>
    <row r="3" spans="1:20" ht="15.75" x14ac:dyDescent="0.25">
      <c r="A3" s="135" t="s">
        <v>275</v>
      </c>
      <c r="B3" s="223"/>
      <c r="C3" s="223"/>
      <c r="D3" s="223"/>
      <c r="E3" s="223"/>
      <c r="F3" s="223"/>
      <c r="G3" s="223"/>
      <c r="H3" s="223"/>
      <c r="I3" s="223"/>
      <c r="J3" s="223"/>
      <c r="K3" s="223"/>
      <c r="L3" s="223"/>
      <c r="M3" s="223"/>
      <c r="N3" s="223"/>
      <c r="O3" s="223"/>
      <c r="P3" s="223"/>
    </row>
    <row r="4" spans="1:20" ht="3" customHeight="1" x14ac:dyDescent="0.25">
      <c r="A4" s="135"/>
      <c r="B4" s="223"/>
      <c r="C4" s="223"/>
      <c r="D4" s="223"/>
      <c r="E4" s="223"/>
      <c r="F4" s="223"/>
      <c r="G4" s="223"/>
      <c r="H4" s="223"/>
      <c r="I4" s="223"/>
      <c r="J4" s="223"/>
      <c r="K4" s="223"/>
      <c r="L4" s="223"/>
      <c r="M4" s="223"/>
      <c r="N4" s="223"/>
      <c r="O4" s="223"/>
      <c r="P4" s="223"/>
    </row>
    <row r="5" spans="1:20" ht="47.25" x14ac:dyDescent="0.25">
      <c r="B5" s="223" t="s">
        <v>276</v>
      </c>
      <c r="C5" s="223" t="s">
        <v>277</v>
      </c>
      <c r="D5" s="223" t="s">
        <v>278</v>
      </c>
      <c r="E5" s="223">
        <v>1</v>
      </c>
      <c r="F5" s="223">
        <v>2</v>
      </c>
      <c r="G5" s="223">
        <v>3</v>
      </c>
      <c r="H5" s="223">
        <v>4</v>
      </c>
      <c r="I5" s="223">
        <v>5</v>
      </c>
      <c r="J5" s="223">
        <v>6</v>
      </c>
      <c r="K5" s="223">
        <v>7</v>
      </c>
      <c r="L5" s="223">
        <v>8</v>
      </c>
      <c r="M5" s="223">
        <v>9</v>
      </c>
      <c r="N5" s="223">
        <v>10</v>
      </c>
      <c r="O5" s="223">
        <v>11</v>
      </c>
      <c r="P5" s="223">
        <v>12</v>
      </c>
      <c r="Q5" s="223">
        <v>13</v>
      </c>
      <c r="R5" s="162" t="s">
        <v>279</v>
      </c>
      <c r="T5" s="160" t="s">
        <v>470</v>
      </c>
    </row>
    <row r="6" spans="1:20" ht="3" customHeight="1" x14ac:dyDescent="0.2">
      <c r="A6" s="20"/>
    </row>
    <row r="7" spans="1:20" ht="15.75" x14ac:dyDescent="0.25">
      <c r="A7" s="163" t="str">
        <f>'3YP'!E6</f>
        <v>2026/27</v>
      </c>
      <c r="B7" s="207"/>
      <c r="C7" s="207"/>
      <c r="D7" s="207"/>
      <c r="E7" s="207"/>
      <c r="F7" s="207"/>
      <c r="G7" s="207"/>
      <c r="H7" s="207"/>
      <c r="I7" s="207"/>
      <c r="J7" s="207"/>
      <c r="K7" s="207"/>
      <c r="L7" s="207"/>
      <c r="M7" s="207"/>
      <c r="N7" s="207"/>
      <c r="O7" s="207"/>
      <c r="P7" s="207"/>
      <c r="Q7" s="207"/>
      <c r="R7" s="164">
        <f>SUM(D7:Q7)</f>
        <v>0</v>
      </c>
      <c r="T7" s="317"/>
    </row>
    <row r="8" spans="1:20" ht="15.75" x14ac:dyDescent="0.25">
      <c r="A8" s="163" t="str">
        <f>'3YP'!G6</f>
        <v>2027/28</v>
      </c>
      <c r="B8" s="207"/>
      <c r="C8" s="207"/>
      <c r="D8" s="207"/>
      <c r="E8" s="207"/>
      <c r="F8" s="207"/>
      <c r="G8" s="207"/>
      <c r="H8" s="207"/>
      <c r="I8" s="207"/>
      <c r="J8" s="207"/>
      <c r="K8" s="207"/>
      <c r="L8" s="207"/>
      <c r="M8" s="207"/>
      <c r="N8" s="207"/>
      <c r="O8" s="207"/>
      <c r="P8" s="207"/>
      <c r="Q8" s="207"/>
      <c r="R8" s="164">
        <f t="shared" ref="R8:R9" si="0">SUM(D8:Q8)</f>
        <v>0</v>
      </c>
      <c r="T8" s="317"/>
    </row>
    <row r="9" spans="1:20" ht="15.75" x14ac:dyDescent="0.25">
      <c r="A9" s="163" t="str">
        <f>'3YP'!I6</f>
        <v>2028/29</v>
      </c>
      <c r="B9" s="207"/>
      <c r="C9" s="207"/>
      <c r="D9" s="207"/>
      <c r="E9" s="207"/>
      <c r="F9" s="207"/>
      <c r="G9" s="207"/>
      <c r="H9" s="207"/>
      <c r="I9" s="207"/>
      <c r="J9" s="207"/>
      <c r="K9" s="207"/>
      <c r="L9" s="207"/>
      <c r="M9" s="207"/>
      <c r="N9" s="207"/>
      <c r="O9" s="207"/>
      <c r="P9" s="207"/>
      <c r="Q9" s="207"/>
      <c r="R9" s="164">
        <f t="shared" si="0"/>
        <v>0</v>
      </c>
      <c r="T9" s="317"/>
    </row>
    <row r="10" spans="1:20" ht="15.75" thickBot="1" x14ac:dyDescent="0.25"/>
    <row r="11" spans="1:20" ht="15.75" x14ac:dyDescent="0.25">
      <c r="B11" s="165" t="s">
        <v>280</v>
      </c>
      <c r="C11" s="166"/>
      <c r="D11" s="166"/>
      <c r="E11" s="167"/>
    </row>
    <row r="12" spans="1:20" x14ac:dyDescent="0.2">
      <c r="B12" s="168" t="str">
        <f>CONCATENATE(A7," - funded pupil numbers including growth")</f>
        <v>2026/27 - funded pupil numbers including growth</v>
      </c>
      <c r="C12" s="169"/>
      <c r="D12" s="169"/>
      <c r="E12" s="170"/>
    </row>
    <row r="13" spans="1:20" x14ac:dyDescent="0.2">
      <c r="B13" s="168" t="s">
        <v>281</v>
      </c>
      <c r="C13" s="169"/>
      <c r="D13" s="169"/>
      <c r="E13" s="170"/>
    </row>
    <row r="14" spans="1:20" ht="15.75" thickBot="1" x14ac:dyDescent="0.25">
      <c r="B14" s="171" t="s">
        <v>282</v>
      </c>
      <c r="C14" s="172"/>
      <c r="D14" s="172"/>
      <c r="E14" s="173"/>
    </row>
    <row r="15" spans="1:20" x14ac:dyDescent="0.2">
      <c r="A15" s="318"/>
      <c r="B15" s="169"/>
      <c r="C15" s="169"/>
      <c r="D15" s="169"/>
    </row>
    <row r="16" spans="1:20" ht="15.75" x14ac:dyDescent="0.25">
      <c r="A16" s="135" t="s">
        <v>667</v>
      </c>
      <c r="D16" s="163"/>
    </row>
    <row r="17" spans="1:18" ht="15.75" customHeight="1" x14ac:dyDescent="0.2">
      <c r="B17" s="416"/>
      <c r="C17" s="416"/>
      <c r="D17" s="416"/>
      <c r="E17" s="416"/>
      <c r="F17" s="416"/>
      <c r="G17" s="416"/>
      <c r="H17" s="416"/>
      <c r="I17" s="416"/>
      <c r="J17" s="416"/>
      <c r="K17" s="416"/>
      <c r="L17" s="416"/>
      <c r="M17" s="416"/>
      <c r="N17" s="416"/>
      <c r="O17" s="416"/>
      <c r="P17" s="416"/>
      <c r="Q17" s="416"/>
      <c r="R17" s="416"/>
    </row>
    <row r="18" spans="1:18" ht="15.75" customHeight="1" x14ac:dyDescent="0.2">
      <c r="B18" s="416"/>
      <c r="C18" s="416"/>
      <c r="D18" s="416"/>
      <c r="E18" s="416"/>
      <c r="F18" s="416"/>
      <c r="G18" s="416"/>
      <c r="H18" s="416"/>
      <c r="I18" s="416"/>
      <c r="J18" s="416"/>
      <c r="K18" s="416"/>
      <c r="L18" s="416"/>
      <c r="M18" s="416"/>
      <c r="N18" s="416"/>
      <c r="O18" s="416"/>
      <c r="P18" s="416"/>
      <c r="Q18" s="416"/>
      <c r="R18" s="416"/>
    </row>
    <row r="20" spans="1:18" ht="15.75" x14ac:dyDescent="0.25">
      <c r="A20" s="135" t="s">
        <v>283</v>
      </c>
    </row>
    <row r="21" spans="1:18" ht="3" customHeight="1" x14ac:dyDescent="0.25">
      <c r="A21" s="135"/>
    </row>
    <row r="22" spans="1:18" ht="15.75" x14ac:dyDescent="0.25">
      <c r="B22" s="426" t="s">
        <v>95</v>
      </c>
      <c r="C22" s="426"/>
      <c r="D22" s="223" t="s">
        <v>97</v>
      </c>
      <c r="E22" s="223" t="s">
        <v>99</v>
      </c>
      <c r="F22" s="223" t="s">
        <v>101</v>
      </c>
      <c r="G22" s="223" t="s">
        <v>103</v>
      </c>
      <c r="H22" s="223" t="s">
        <v>105</v>
      </c>
      <c r="I22" s="223" t="s">
        <v>107</v>
      </c>
      <c r="J22" s="162" t="s">
        <v>279</v>
      </c>
    </row>
    <row r="23" spans="1:18" ht="15.75" x14ac:dyDescent="0.25">
      <c r="B23" s="223" t="s">
        <v>284</v>
      </c>
      <c r="C23" s="223" t="s">
        <v>285</v>
      </c>
      <c r="D23" s="223"/>
      <c r="E23" s="223"/>
      <c r="F23" s="223"/>
      <c r="G23" s="223"/>
      <c r="H23" s="223"/>
      <c r="I23" s="223"/>
    </row>
    <row r="24" spans="1:18" ht="3" customHeight="1" x14ac:dyDescent="0.2">
      <c r="B24" s="174"/>
      <c r="C24" s="174"/>
      <c r="D24" s="174"/>
      <c r="E24" s="174"/>
      <c r="F24" s="174"/>
      <c r="G24" s="174"/>
    </row>
    <row r="25" spans="1:18" ht="15.75" x14ac:dyDescent="0.25">
      <c r="A25" s="163" t="str">
        <f>A7</f>
        <v>2026/27</v>
      </c>
      <c r="B25" s="207"/>
      <c r="C25" s="207"/>
      <c r="D25" s="207"/>
      <c r="E25" s="207"/>
      <c r="F25" s="207"/>
      <c r="G25" s="207"/>
      <c r="H25" s="207"/>
      <c r="I25" s="207"/>
      <c r="J25" s="164">
        <f>SUM(B25:I25)-C25</f>
        <v>0</v>
      </c>
    </row>
    <row r="26" spans="1:18" ht="15.75" x14ac:dyDescent="0.25">
      <c r="A26" s="163" t="str">
        <f>A8</f>
        <v>2027/28</v>
      </c>
      <c r="B26" s="207"/>
      <c r="C26" s="207"/>
      <c r="D26" s="207"/>
      <c r="E26" s="207"/>
      <c r="F26" s="207"/>
      <c r="G26" s="207"/>
      <c r="H26" s="207"/>
      <c r="I26" s="207"/>
      <c r="J26" s="164">
        <f t="shared" ref="J26:J27" si="1">SUM(B26:I26)-C26</f>
        <v>0</v>
      </c>
    </row>
    <row r="27" spans="1:18" ht="15.75" x14ac:dyDescent="0.25">
      <c r="A27" s="163" t="str">
        <f>A9</f>
        <v>2028/29</v>
      </c>
      <c r="B27" s="207"/>
      <c r="C27" s="207"/>
      <c r="D27" s="207"/>
      <c r="E27" s="207"/>
      <c r="F27" s="207"/>
      <c r="G27" s="207"/>
      <c r="H27" s="207"/>
      <c r="I27" s="207"/>
      <c r="J27" s="164">
        <f t="shared" si="1"/>
        <v>0</v>
      </c>
    </row>
    <row r="29" spans="1:18" ht="15.75" x14ac:dyDescent="0.25">
      <c r="A29" s="135" t="s">
        <v>286</v>
      </c>
      <c r="F29" s="175"/>
      <c r="G29" s="175"/>
      <c r="H29" s="175"/>
      <c r="I29" s="175"/>
      <c r="J29" s="175"/>
      <c r="K29" s="175"/>
      <c r="L29" s="175"/>
      <c r="M29" s="175"/>
      <c r="N29" s="175"/>
      <c r="O29" s="175"/>
      <c r="P29" s="175"/>
      <c r="Q29" s="175"/>
    </row>
    <row r="30" spans="1:18" ht="3" customHeight="1" x14ac:dyDescent="0.2">
      <c r="F30" s="175"/>
      <c r="G30" s="175"/>
      <c r="H30" s="175"/>
      <c r="I30" s="175"/>
      <c r="J30" s="175"/>
      <c r="K30" s="175"/>
      <c r="L30" s="175"/>
      <c r="M30" s="175"/>
      <c r="N30" s="175"/>
      <c r="O30" s="175"/>
      <c r="P30" s="175"/>
      <c r="Q30" s="175"/>
    </row>
    <row r="31" spans="1:18" ht="15.75" x14ac:dyDescent="0.25">
      <c r="C31" s="319" t="str">
        <f>A25</f>
        <v>2026/27</v>
      </c>
      <c r="D31" s="320" t="str">
        <f>A26</f>
        <v>2027/28</v>
      </c>
      <c r="E31" s="321" t="str">
        <f>A27</f>
        <v>2028/29</v>
      </c>
      <c r="F31" s="417" t="s">
        <v>287</v>
      </c>
      <c r="G31" s="418"/>
      <c r="H31" s="418"/>
      <c r="I31" s="418"/>
      <c r="J31" s="418"/>
      <c r="K31" s="418"/>
      <c r="L31" s="418"/>
      <c r="M31" s="418"/>
      <c r="N31" s="418"/>
      <c r="O31" s="418"/>
      <c r="P31" s="418"/>
      <c r="Q31" s="419"/>
    </row>
    <row r="32" spans="1:18" ht="3" customHeight="1" x14ac:dyDescent="0.2">
      <c r="C32" s="322"/>
      <c r="E32" s="323"/>
      <c r="F32" s="420"/>
      <c r="G32" s="421"/>
      <c r="H32" s="421"/>
      <c r="I32" s="421"/>
      <c r="J32" s="421"/>
      <c r="K32" s="421"/>
      <c r="L32" s="421"/>
      <c r="M32" s="421"/>
      <c r="N32" s="421"/>
      <c r="O32" s="421"/>
      <c r="P32" s="421"/>
      <c r="Q32" s="422"/>
    </row>
    <row r="33" spans="1:17" ht="15" customHeight="1" x14ac:dyDescent="0.2">
      <c r="A33" s="16" t="s">
        <v>288</v>
      </c>
      <c r="C33" s="324">
        <f>'3YP'!E27</f>
        <v>0</v>
      </c>
      <c r="D33" s="325">
        <f>'3YP'!G27</f>
        <v>0</v>
      </c>
      <c r="E33" s="326">
        <f>'3YP'!I27</f>
        <v>0</v>
      </c>
      <c r="F33" s="423"/>
      <c r="G33" s="424"/>
      <c r="H33" s="424"/>
      <c r="I33" s="424"/>
      <c r="J33" s="424"/>
      <c r="K33" s="424"/>
      <c r="L33" s="424"/>
      <c r="M33" s="424"/>
      <c r="N33" s="424"/>
      <c r="O33" s="424"/>
      <c r="P33" s="424"/>
      <c r="Q33" s="425"/>
    </row>
    <row r="34" spans="1:17" ht="3" customHeight="1" x14ac:dyDescent="0.2"/>
    <row r="35" spans="1:17" x14ac:dyDescent="0.2">
      <c r="A35" s="415" t="s">
        <v>31</v>
      </c>
      <c r="B35" s="415"/>
      <c r="C35" s="208"/>
      <c r="D35" s="208"/>
      <c r="E35" s="208"/>
      <c r="F35" s="427"/>
      <c r="G35" s="428"/>
      <c r="H35" s="428"/>
      <c r="I35" s="428"/>
      <c r="J35" s="428"/>
      <c r="K35" s="428"/>
      <c r="L35" s="428"/>
      <c r="M35" s="428"/>
      <c r="N35" s="428"/>
      <c r="O35" s="428"/>
      <c r="P35" s="428"/>
      <c r="Q35" s="429"/>
    </row>
    <row r="36" spans="1:17" x14ac:dyDescent="0.2">
      <c r="A36" s="413" t="s">
        <v>471</v>
      </c>
      <c r="B36" s="414"/>
      <c r="C36" s="208"/>
      <c r="D36" s="208"/>
      <c r="E36" s="208"/>
      <c r="F36" s="314"/>
      <c r="G36" s="315"/>
      <c r="H36" s="315"/>
      <c r="I36" s="315"/>
      <c r="J36" s="315"/>
      <c r="K36" s="315"/>
      <c r="L36" s="315"/>
      <c r="M36" s="315"/>
      <c r="N36" s="315"/>
      <c r="O36" s="315"/>
      <c r="P36" s="315"/>
      <c r="Q36" s="316"/>
    </row>
    <row r="37" spans="1:17" x14ac:dyDescent="0.2">
      <c r="A37" s="413" t="s">
        <v>472</v>
      </c>
      <c r="B37" s="414"/>
      <c r="C37" s="208"/>
      <c r="D37" s="208"/>
      <c r="E37" s="208"/>
      <c r="F37" s="314"/>
      <c r="G37" s="315"/>
      <c r="H37" s="315"/>
      <c r="I37" s="315"/>
      <c r="J37" s="315"/>
      <c r="K37" s="315"/>
      <c r="L37" s="315"/>
      <c r="M37" s="315"/>
      <c r="N37" s="315"/>
      <c r="O37" s="315"/>
      <c r="P37" s="315"/>
      <c r="Q37" s="316"/>
    </row>
    <row r="38" spans="1:17" x14ac:dyDescent="0.2">
      <c r="A38" s="415" t="s">
        <v>644</v>
      </c>
      <c r="B38" s="415"/>
      <c r="C38" s="208"/>
      <c r="D38" s="208"/>
      <c r="E38" s="208"/>
      <c r="F38" s="427"/>
      <c r="G38" s="428"/>
      <c r="H38" s="428"/>
      <c r="I38" s="428"/>
      <c r="J38" s="428"/>
      <c r="K38" s="428"/>
      <c r="L38" s="428"/>
      <c r="M38" s="428"/>
      <c r="N38" s="428"/>
      <c r="O38" s="428"/>
      <c r="P38" s="428"/>
      <c r="Q38" s="429"/>
    </row>
    <row r="39" spans="1:17" x14ac:dyDescent="0.2">
      <c r="A39" s="415" t="s">
        <v>642</v>
      </c>
      <c r="B39" s="415"/>
      <c r="C39" s="208"/>
      <c r="D39" s="208"/>
      <c r="E39" s="208"/>
      <c r="F39" s="314"/>
      <c r="G39" s="315"/>
      <c r="H39" s="315"/>
      <c r="I39" s="315"/>
      <c r="J39" s="315"/>
      <c r="K39" s="315"/>
      <c r="L39" s="315"/>
      <c r="M39" s="315"/>
      <c r="N39" s="315"/>
      <c r="O39" s="315"/>
      <c r="P39" s="315"/>
      <c r="Q39" s="316"/>
    </row>
    <row r="40" spans="1:17" x14ac:dyDescent="0.2">
      <c r="A40" s="415" t="s">
        <v>643</v>
      </c>
      <c r="B40" s="415"/>
      <c r="C40" s="208"/>
      <c r="D40" s="208"/>
      <c r="E40" s="208"/>
      <c r="F40" s="314"/>
      <c r="G40" s="315"/>
      <c r="H40" s="315"/>
      <c r="I40" s="315"/>
      <c r="J40" s="315"/>
      <c r="K40" s="315"/>
      <c r="L40" s="315"/>
      <c r="M40" s="315"/>
      <c r="N40" s="315"/>
      <c r="O40" s="315"/>
      <c r="P40" s="315"/>
      <c r="Q40" s="316"/>
    </row>
    <row r="41" spans="1:17" x14ac:dyDescent="0.2">
      <c r="A41" s="413" t="s">
        <v>668</v>
      </c>
      <c r="B41" s="414"/>
      <c r="C41" s="208"/>
      <c r="D41" s="208"/>
      <c r="E41" s="208"/>
      <c r="F41" s="314"/>
      <c r="G41" s="315"/>
      <c r="H41" s="315"/>
      <c r="I41" s="315"/>
      <c r="J41" s="315"/>
      <c r="K41" s="315"/>
      <c r="L41" s="315"/>
      <c r="M41" s="315"/>
      <c r="N41" s="315"/>
      <c r="O41" s="315"/>
      <c r="P41" s="315"/>
      <c r="Q41" s="316"/>
    </row>
    <row r="42" spans="1:17" x14ac:dyDescent="0.2">
      <c r="A42" s="413" t="s">
        <v>669</v>
      </c>
      <c r="B42" s="414"/>
      <c r="C42" s="208"/>
      <c r="D42" s="208"/>
      <c r="E42" s="208"/>
      <c r="F42" s="314"/>
      <c r="G42" s="315"/>
      <c r="H42" s="315"/>
      <c r="I42" s="315"/>
      <c r="J42" s="315"/>
      <c r="K42" s="315"/>
      <c r="L42" s="315"/>
      <c r="M42" s="315"/>
      <c r="N42" s="315"/>
      <c r="O42" s="315"/>
      <c r="P42" s="315"/>
      <c r="Q42" s="316"/>
    </row>
    <row r="43" spans="1:17" x14ac:dyDescent="0.2">
      <c r="A43" s="415" t="s">
        <v>473</v>
      </c>
      <c r="B43" s="415"/>
      <c r="C43" s="208"/>
      <c r="D43" s="208"/>
      <c r="E43" s="208"/>
      <c r="F43" s="314"/>
      <c r="G43" s="315"/>
      <c r="H43" s="315"/>
      <c r="I43" s="315"/>
      <c r="J43" s="315"/>
      <c r="K43" s="315"/>
      <c r="L43" s="315"/>
      <c r="M43" s="315"/>
      <c r="N43" s="315"/>
      <c r="O43" s="315"/>
      <c r="P43" s="315"/>
      <c r="Q43" s="316"/>
    </row>
    <row r="44" spans="1:17" x14ac:dyDescent="0.2">
      <c r="A44" s="415" t="s">
        <v>474</v>
      </c>
      <c r="B44" s="415"/>
      <c r="C44" s="208"/>
      <c r="D44" s="208"/>
      <c r="E44" s="208"/>
      <c r="F44" s="314"/>
      <c r="G44" s="315"/>
      <c r="H44" s="315"/>
      <c r="I44" s="315"/>
      <c r="J44" s="315"/>
      <c r="K44" s="315"/>
      <c r="L44" s="315"/>
      <c r="M44" s="315"/>
      <c r="N44" s="315"/>
      <c r="O44" s="315"/>
      <c r="P44" s="315"/>
      <c r="Q44" s="316"/>
    </row>
    <row r="45" spans="1:17" x14ac:dyDescent="0.2">
      <c r="A45" s="415" t="s">
        <v>475</v>
      </c>
      <c r="B45" s="415"/>
      <c r="C45" s="208"/>
      <c r="D45" s="208"/>
      <c r="E45" s="208"/>
      <c r="F45" s="314"/>
      <c r="G45" s="315"/>
      <c r="H45" s="315"/>
      <c r="I45" s="315"/>
      <c r="J45" s="315"/>
      <c r="K45" s="315"/>
      <c r="L45" s="315"/>
      <c r="M45" s="315"/>
      <c r="N45" s="315"/>
      <c r="O45" s="315"/>
      <c r="P45" s="315"/>
      <c r="Q45" s="316"/>
    </row>
    <row r="46" spans="1:17" x14ac:dyDescent="0.2">
      <c r="A46" s="415" t="s">
        <v>476</v>
      </c>
      <c r="B46" s="415"/>
      <c r="C46" s="208"/>
      <c r="D46" s="208"/>
      <c r="E46" s="208"/>
      <c r="F46" s="314"/>
      <c r="G46" s="315"/>
      <c r="H46" s="315"/>
      <c r="I46" s="315"/>
      <c r="J46" s="315"/>
      <c r="K46" s="315"/>
      <c r="L46" s="315"/>
      <c r="M46" s="315"/>
      <c r="N46" s="315"/>
      <c r="O46" s="315"/>
      <c r="P46" s="315"/>
      <c r="Q46" s="316"/>
    </row>
    <row r="47" spans="1:17" x14ac:dyDescent="0.2">
      <c r="A47" s="415" t="s">
        <v>224</v>
      </c>
      <c r="B47" s="415"/>
      <c r="C47" s="208"/>
      <c r="D47" s="208"/>
      <c r="E47" s="208"/>
      <c r="F47" s="427"/>
      <c r="G47" s="428"/>
      <c r="H47" s="428"/>
      <c r="I47" s="428"/>
      <c r="J47" s="428"/>
      <c r="K47" s="428"/>
      <c r="L47" s="428"/>
      <c r="M47" s="428"/>
      <c r="N47" s="428"/>
      <c r="O47" s="428"/>
      <c r="P47" s="428"/>
      <c r="Q47" s="429"/>
    </row>
    <row r="48" spans="1:17" ht="15.75" x14ac:dyDescent="0.25">
      <c r="A48" s="177" t="s">
        <v>289</v>
      </c>
      <c r="B48" s="178"/>
      <c r="C48" s="179">
        <f>SUM(C35:C47)</f>
        <v>0</v>
      </c>
      <c r="D48" s="179">
        <f>SUM(D35:D47)</f>
        <v>0</v>
      </c>
      <c r="E48" s="179">
        <f>SUM(E35:E47)</f>
        <v>0</v>
      </c>
      <c r="F48" s="33"/>
      <c r="G48" s="33"/>
      <c r="H48" s="33"/>
      <c r="I48" s="33"/>
      <c r="J48" s="33"/>
      <c r="K48" s="33"/>
      <c r="L48" s="33"/>
      <c r="M48" s="33"/>
      <c r="N48" s="33"/>
      <c r="O48" s="33"/>
      <c r="P48" s="33"/>
      <c r="Q48" s="33"/>
    </row>
    <row r="49" spans="1:17" ht="3" customHeight="1" x14ac:dyDescent="0.2"/>
    <row r="50" spans="1:17" x14ac:dyDescent="0.2">
      <c r="A50" s="415" t="s">
        <v>290</v>
      </c>
      <c r="B50" s="415"/>
      <c r="C50" s="208"/>
      <c r="D50" s="208"/>
      <c r="E50" s="208"/>
      <c r="F50" s="427"/>
      <c r="G50" s="428"/>
      <c r="H50" s="428"/>
      <c r="I50" s="428"/>
      <c r="J50" s="428"/>
      <c r="K50" s="428"/>
      <c r="L50" s="428"/>
      <c r="M50" s="428"/>
      <c r="N50" s="428"/>
      <c r="O50" s="428"/>
      <c r="P50" s="428"/>
      <c r="Q50" s="429"/>
    </row>
    <row r="51" spans="1:17" x14ac:dyDescent="0.2">
      <c r="A51" s="415" t="s">
        <v>291</v>
      </c>
      <c r="B51" s="415"/>
      <c r="C51" s="208"/>
      <c r="D51" s="208"/>
      <c r="E51" s="208"/>
      <c r="F51" s="427"/>
      <c r="G51" s="428"/>
      <c r="H51" s="428"/>
      <c r="I51" s="428"/>
      <c r="J51" s="428"/>
      <c r="K51" s="428"/>
      <c r="L51" s="428"/>
      <c r="M51" s="428"/>
      <c r="N51" s="428"/>
      <c r="O51" s="428"/>
      <c r="P51" s="428"/>
      <c r="Q51" s="429"/>
    </row>
    <row r="52" spans="1:17" ht="15.75" x14ac:dyDescent="0.25">
      <c r="A52" s="177" t="s">
        <v>292</v>
      </c>
      <c r="B52" s="178"/>
      <c r="C52" s="179">
        <f>SUM(C50:C51)</f>
        <v>0</v>
      </c>
      <c r="D52" s="179">
        <f t="shared" ref="D52:E52" si="2">SUM(D50:D51)</f>
        <v>0</v>
      </c>
      <c r="E52" s="179">
        <f t="shared" si="2"/>
        <v>0</v>
      </c>
      <c r="F52" s="33"/>
      <c r="G52" s="33"/>
      <c r="H52" s="33"/>
      <c r="I52" s="33"/>
      <c r="J52" s="33"/>
      <c r="K52" s="33"/>
      <c r="L52" s="33"/>
      <c r="M52" s="33"/>
      <c r="N52" s="33"/>
      <c r="O52" s="33"/>
      <c r="P52" s="33"/>
      <c r="Q52" s="33"/>
    </row>
    <row r="53" spans="1:17" ht="3" customHeight="1" x14ac:dyDescent="0.2"/>
    <row r="54" spans="1:17" x14ac:dyDescent="0.2">
      <c r="A54" s="415" t="s">
        <v>293</v>
      </c>
      <c r="B54" s="415"/>
      <c r="C54" s="208"/>
      <c r="D54" s="208"/>
      <c r="E54" s="208"/>
      <c r="F54" s="427"/>
      <c r="G54" s="428"/>
      <c r="H54" s="428"/>
      <c r="I54" s="428"/>
      <c r="J54" s="428"/>
      <c r="K54" s="428"/>
      <c r="L54" s="428"/>
      <c r="M54" s="428"/>
      <c r="N54" s="428"/>
      <c r="O54" s="428"/>
      <c r="P54" s="428"/>
      <c r="Q54" s="429"/>
    </row>
    <row r="55" spans="1:17" x14ac:dyDescent="0.2">
      <c r="A55" s="415" t="s">
        <v>294</v>
      </c>
      <c r="B55" s="415"/>
      <c r="C55" s="208"/>
      <c r="D55" s="208"/>
      <c r="E55" s="208"/>
      <c r="F55" s="427"/>
      <c r="G55" s="428"/>
      <c r="H55" s="428"/>
      <c r="I55" s="428"/>
      <c r="J55" s="428"/>
      <c r="K55" s="428"/>
      <c r="L55" s="428"/>
      <c r="M55" s="428"/>
      <c r="N55" s="428"/>
      <c r="O55" s="428"/>
      <c r="P55" s="428"/>
      <c r="Q55" s="429"/>
    </row>
    <row r="56" spans="1:17" x14ac:dyDescent="0.2">
      <c r="A56" s="415" t="s">
        <v>645</v>
      </c>
      <c r="B56" s="415"/>
      <c r="C56" s="208"/>
      <c r="D56" s="208"/>
      <c r="E56" s="208"/>
      <c r="F56" s="427"/>
      <c r="G56" s="428"/>
      <c r="H56" s="428"/>
      <c r="I56" s="428"/>
      <c r="J56" s="428"/>
      <c r="K56" s="428"/>
      <c r="L56" s="428"/>
      <c r="M56" s="428"/>
      <c r="N56" s="428"/>
      <c r="O56" s="428"/>
      <c r="P56" s="428"/>
      <c r="Q56" s="429"/>
    </row>
    <row r="57" spans="1:17" ht="15.75" x14ac:dyDescent="0.25">
      <c r="A57" s="177" t="s">
        <v>295</v>
      </c>
      <c r="B57" s="178"/>
      <c r="C57" s="179">
        <f>SUM(C54:C56)</f>
        <v>0</v>
      </c>
      <c r="D57" s="179">
        <f t="shared" ref="D57:E57" si="3">SUM(D54:D56)</f>
        <v>0</v>
      </c>
      <c r="E57" s="179">
        <f t="shared" si="3"/>
        <v>0</v>
      </c>
      <c r="F57" s="33"/>
      <c r="G57" s="33"/>
      <c r="H57" s="33"/>
      <c r="I57" s="33"/>
      <c r="J57" s="33"/>
      <c r="K57" s="33"/>
      <c r="L57" s="33"/>
      <c r="M57" s="33"/>
      <c r="N57" s="33"/>
      <c r="O57" s="33"/>
      <c r="P57" s="33"/>
      <c r="Q57" s="33"/>
    </row>
    <row r="58" spans="1:17" ht="3" customHeight="1" x14ac:dyDescent="0.2"/>
    <row r="59" spans="1:17" ht="15.75" x14ac:dyDescent="0.25">
      <c r="A59" s="433" t="s">
        <v>296</v>
      </c>
      <c r="B59" s="433"/>
      <c r="C59" s="209"/>
      <c r="D59" s="209"/>
      <c r="E59" s="209"/>
      <c r="F59" s="427"/>
      <c r="G59" s="428"/>
      <c r="H59" s="428"/>
      <c r="I59" s="428"/>
      <c r="J59" s="428"/>
      <c r="K59" s="428"/>
      <c r="L59" s="428"/>
      <c r="M59" s="428"/>
      <c r="N59" s="428"/>
      <c r="O59" s="428"/>
      <c r="P59" s="428"/>
      <c r="Q59" s="429"/>
    </row>
    <row r="60" spans="1:17" ht="3" customHeight="1" x14ac:dyDescent="0.2"/>
    <row r="61" spans="1:17" x14ac:dyDescent="0.2">
      <c r="A61" s="415" t="s">
        <v>34</v>
      </c>
      <c r="B61" s="415"/>
      <c r="C61" s="208"/>
      <c r="D61" s="208"/>
      <c r="E61" s="208"/>
      <c r="F61" s="427"/>
      <c r="G61" s="428"/>
      <c r="H61" s="428"/>
      <c r="I61" s="428"/>
      <c r="J61" s="428"/>
      <c r="K61" s="428"/>
      <c r="L61" s="428"/>
      <c r="M61" s="428"/>
      <c r="N61" s="428"/>
      <c r="O61" s="428"/>
      <c r="P61" s="428"/>
      <c r="Q61" s="429"/>
    </row>
    <row r="62" spans="1:17" x14ac:dyDescent="0.2">
      <c r="A62" s="415" t="s">
        <v>297</v>
      </c>
      <c r="B62" s="415"/>
      <c r="C62" s="208"/>
      <c r="D62" s="208"/>
      <c r="E62" s="208"/>
      <c r="F62" s="427"/>
      <c r="G62" s="428"/>
      <c r="H62" s="428"/>
      <c r="I62" s="428"/>
      <c r="J62" s="428"/>
      <c r="K62" s="428"/>
      <c r="L62" s="428"/>
      <c r="M62" s="428"/>
      <c r="N62" s="428"/>
      <c r="O62" s="428"/>
      <c r="P62" s="428"/>
      <c r="Q62" s="429"/>
    </row>
    <row r="63" spans="1:17" x14ac:dyDescent="0.2">
      <c r="A63" s="415" t="s">
        <v>224</v>
      </c>
      <c r="B63" s="415"/>
      <c r="C63" s="362"/>
      <c r="D63" s="362"/>
      <c r="E63" s="362"/>
      <c r="F63" s="430"/>
      <c r="G63" s="431"/>
      <c r="H63" s="431"/>
      <c r="I63" s="431"/>
      <c r="J63" s="431"/>
      <c r="K63" s="431"/>
      <c r="L63" s="431"/>
      <c r="M63" s="431"/>
      <c r="N63" s="431"/>
      <c r="O63" s="431"/>
      <c r="P63" s="431"/>
      <c r="Q63" s="432"/>
    </row>
    <row r="64" spans="1:17" ht="15.75" x14ac:dyDescent="0.25">
      <c r="A64" s="177" t="s">
        <v>640</v>
      </c>
      <c r="B64" s="178"/>
      <c r="C64" s="179">
        <f>SUM(C61:C63)</f>
        <v>0</v>
      </c>
      <c r="D64" s="179">
        <f>SUM(D61:D63)</f>
        <v>0</v>
      </c>
      <c r="E64" s="179">
        <f>SUM(E61:E63)</f>
        <v>0</v>
      </c>
      <c r="F64" s="33"/>
      <c r="G64" s="33"/>
      <c r="H64" s="33"/>
      <c r="I64" s="33"/>
      <c r="J64" s="33"/>
      <c r="K64" s="33"/>
      <c r="L64" s="33"/>
      <c r="M64" s="33"/>
      <c r="N64" s="33"/>
      <c r="O64" s="33"/>
      <c r="P64" s="33"/>
      <c r="Q64" s="33"/>
    </row>
    <row r="65" spans="1:17" ht="3" customHeight="1" x14ac:dyDescent="0.2"/>
    <row r="66" spans="1:17" ht="15.75" x14ac:dyDescent="0.25">
      <c r="A66" s="433" t="s">
        <v>641</v>
      </c>
      <c r="B66" s="433"/>
      <c r="C66" s="209"/>
      <c r="D66" s="209"/>
      <c r="E66" s="209"/>
      <c r="F66" s="427"/>
      <c r="G66" s="428"/>
      <c r="H66" s="428"/>
      <c r="I66" s="428"/>
      <c r="J66" s="428"/>
      <c r="K66" s="428"/>
      <c r="L66" s="428"/>
      <c r="M66" s="428"/>
      <c r="N66" s="428"/>
      <c r="O66" s="428"/>
      <c r="P66" s="428"/>
      <c r="Q66" s="429"/>
    </row>
    <row r="67" spans="1:17" ht="3" customHeight="1" x14ac:dyDescent="0.2"/>
    <row r="68" spans="1:17" s="33" customFormat="1" ht="12.75" x14ac:dyDescent="0.2">
      <c r="A68" s="33" t="s">
        <v>298</v>
      </c>
      <c r="C68" s="180" t="str">
        <f>IF(SUM(C33-C48-C52-C57-C59-C64-C66)=0,"OK",SUM(C33-C48-C52-C57-C59-C64-C66))</f>
        <v>OK</v>
      </c>
      <c r="D68" s="180" t="str">
        <f>IF(SUM(D33-D48-D52-D57-D59-D64-D66)=0,"OK",SUM(D33-D48-D52-D57-D59-D64-D66))</f>
        <v>OK</v>
      </c>
      <c r="E68" s="180" t="str">
        <f>IF(SUM(E33-E48-E52-E57-E59-E64-E66)=0,"OK",SUM(E33-E48-E52-E57-E59-E64-E66))</f>
        <v>OK</v>
      </c>
    </row>
    <row r="70" spans="1:17" ht="15.75" x14ac:dyDescent="0.25">
      <c r="A70" s="135" t="s">
        <v>299</v>
      </c>
    </row>
    <row r="71" spans="1:17" ht="3" customHeight="1" x14ac:dyDescent="0.2"/>
    <row r="72" spans="1:17" ht="15.75" x14ac:dyDescent="0.25">
      <c r="C72" s="176" t="str">
        <f>C31</f>
        <v>2026/27</v>
      </c>
      <c r="D72" s="176" t="str">
        <f>D31</f>
        <v>2027/28</v>
      </c>
      <c r="E72" s="176" t="str">
        <f>E31</f>
        <v>2028/29</v>
      </c>
      <c r="F72" s="224" t="s">
        <v>300</v>
      </c>
      <c r="G72" s="421" t="s">
        <v>301</v>
      </c>
      <c r="H72" s="421"/>
      <c r="I72" s="421"/>
      <c r="J72" s="421"/>
      <c r="K72" s="421"/>
      <c r="L72" s="421"/>
      <c r="M72" s="421"/>
      <c r="N72" s="421"/>
      <c r="O72" s="421"/>
      <c r="P72" s="421"/>
      <c r="Q72" s="421"/>
    </row>
    <row r="73" spans="1:17" ht="3" customHeight="1" x14ac:dyDescent="0.2"/>
    <row r="74" spans="1:17" ht="15.75" x14ac:dyDescent="0.25">
      <c r="A74" s="135" t="s">
        <v>302</v>
      </c>
      <c r="F74" s="181"/>
      <c r="G74" s="181"/>
      <c r="H74" s="181"/>
      <c r="I74" s="181"/>
      <c r="J74" s="181"/>
      <c r="K74" s="181"/>
      <c r="L74" s="181"/>
      <c r="M74" s="181"/>
      <c r="N74" s="181"/>
      <c r="O74" s="181"/>
      <c r="P74" s="181"/>
      <c r="Q74" s="181"/>
    </row>
    <row r="75" spans="1:17" x14ac:dyDescent="0.2">
      <c r="A75" s="438" t="s">
        <v>303</v>
      </c>
      <c r="B75" s="439"/>
      <c r="C75" s="207"/>
      <c r="D75" s="207"/>
      <c r="E75" s="207"/>
      <c r="F75" s="210" t="s">
        <v>304</v>
      </c>
      <c r="G75" s="434"/>
      <c r="H75" s="435"/>
      <c r="I75" s="435"/>
      <c r="J75" s="435"/>
      <c r="K75" s="435"/>
      <c r="L75" s="435"/>
      <c r="M75" s="435"/>
      <c r="N75" s="435"/>
      <c r="O75" s="435"/>
      <c r="P75" s="435"/>
      <c r="Q75" s="436"/>
    </row>
    <row r="76" spans="1:17" x14ac:dyDescent="0.2">
      <c r="A76" s="438" t="s">
        <v>303</v>
      </c>
      <c r="B76" s="439"/>
      <c r="C76" s="207"/>
      <c r="D76" s="207"/>
      <c r="E76" s="207"/>
      <c r="F76" s="210" t="s">
        <v>304</v>
      </c>
      <c r="G76" s="434"/>
      <c r="H76" s="435"/>
      <c r="I76" s="435"/>
      <c r="J76" s="435"/>
      <c r="K76" s="435"/>
      <c r="L76" s="435"/>
      <c r="M76" s="435"/>
      <c r="N76" s="435"/>
      <c r="O76" s="435"/>
      <c r="P76" s="435"/>
      <c r="Q76" s="436"/>
    </row>
    <row r="77" spans="1:17" x14ac:dyDescent="0.2">
      <c r="A77" s="438" t="s">
        <v>303</v>
      </c>
      <c r="B77" s="439"/>
      <c r="C77" s="207"/>
      <c r="D77" s="207"/>
      <c r="E77" s="207"/>
      <c r="F77" s="210" t="s">
        <v>304</v>
      </c>
      <c r="G77" s="434"/>
      <c r="H77" s="435"/>
      <c r="I77" s="435"/>
      <c r="J77" s="435"/>
      <c r="K77" s="435"/>
      <c r="L77" s="435"/>
      <c r="M77" s="435"/>
      <c r="N77" s="435"/>
      <c r="O77" s="435"/>
      <c r="P77" s="435"/>
      <c r="Q77" s="436"/>
    </row>
    <row r="78" spans="1:17" x14ac:dyDescent="0.2">
      <c r="A78" s="438" t="s">
        <v>303</v>
      </c>
      <c r="B78" s="439"/>
      <c r="C78" s="207"/>
      <c r="D78" s="207"/>
      <c r="E78" s="207"/>
      <c r="F78" s="210" t="s">
        <v>304</v>
      </c>
      <c r="G78" s="434"/>
      <c r="H78" s="435"/>
      <c r="I78" s="435"/>
      <c r="J78" s="435"/>
      <c r="K78" s="435"/>
      <c r="L78" s="435"/>
      <c r="M78" s="435"/>
      <c r="N78" s="435"/>
      <c r="O78" s="435"/>
      <c r="P78" s="435"/>
      <c r="Q78" s="436"/>
    </row>
    <row r="79" spans="1:17" ht="15.75" x14ac:dyDescent="0.25">
      <c r="A79" s="135" t="s">
        <v>305</v>
      </c>
      <c r="F79" s="182"/>
      <c r="G79" s="437"/>
      <c r="H79" s="437"/>
      <c r="I79" s="437"/>
      <c r="J79" s="437"/>
      <c r="K79" s="437"/>
      <c r="L79" s="437"/>
      <c r="M79" s="437"/>
      <c r="N79" s="437"/>
      <c r="O79" s="437"/>
      <c r="P79" s="437"/>
      <c r="Q79" s="437"/>
    </row>
    <row r="80" spans="1:17" x14ac:dyDescent="0.2">
      <c r="A80" s="438" t="s">
        <v>303</v>
      </c>
      <c r="B80" s="439"/>
      <c r="C80" s="207"/>
      <c r="D80" s="207"/>
      <c r="E80" s="207"/>
      <c r="F80" s="210" t="s">
        <v>304</v>
      </c>
      <c r="G80" s="434"/>
      <c r="H80" s="435"/>
      <c r="I80" s="435"/>
      <c r="J80" s="435"/>
      <c r="K80" s="435"/>
      <c r="L80" s="435"/>
      <c r="M80" s="435"/>
      <c r="N80" s="435"/>
      <c r="O80" s="435"/>
      <c r="P80" s="435"/>
      <c r="Q80" s="436"/>
    </row>
    <row r="81" spans="1:17" x14ac:dyDescent="0.2">
      <c r="A81" s="438" t="s">
        <v>303</v>
      </c>
      <c r="B81" s="439"/>
      <c r="C81" s="207"/>
      <c r="D81" s="207"/>
      <c r="E81" s="207"/>
      <c r="F81" s="210" t="s">
        <v>304</v>
      </c>
      <c r="G81" s="434"/>
      <c r="H81" s="435"/>
      <c r="I81" s="435"/>
      <c r="J81" s="435"/>
      <c r="K81" s="435"/>
      <c r="L81" s="435"/>
      <c r="M81" s="435"/>
      <c r="N81" s="435"/>
      <c r="O81" s="435"/>
      <c r="P81" s="435"/>
      <c r="Q81" s="436"/>
    </row>
    <row r="82" spans="1:17" x14ac:dyDescent="0.2">
      <c r="A82" s="438" t="s">
        <v>303</v>
      </c>
      <c r="B82" s="439"/>
      <c r="C82" s="207"/>
      <c r="D82" s="207"/>
      <c r="E82" s="207"/>
      <c r="F82" s="210" t="s">
        <v>304</v>
      </c>
      <c r="G82" s="434"/>
      <c r="H82" s="435"/>
      <c r="I82" s="435"/>
      <c r="J82" s="435"/>
      <c r="K82" s="435"/>
      <c r="L82" s="435"/>
      <c r="M82" s="435"/>
      <c r="N82" s="435"/>
      <c r="O82" s="435"/>
      <c r="P82" s="435"/>
      <c r="Q82" s="436"/>
    </row>
    <row r="83" spans="1:17" x14ac:dyDescent="0.2">
      <c r="A83" s="438" t="s">
        <v>303</v>
      </c>
      <c r="B83" s="439"/>
      <c r="C83" s="207"/>
      <c r="D83" s="207"/>
      <c r="E83" s="207"/>
      <c r="F83" s="210" t="s">
        <v>304</v>
      </c>
      <c r="G83" s="434"/>
      <c r="H83" s="435"/>
      <c r="I83" s="435"/>
      <c r="J83" s="435"/>
      <c r="K83" s="435"/>
      <c r="L83" s="435"/>
      <c r="M83" s="435"/>
      <c r="N83" s="435"/>
      <c r="O83" s="435"/>
      <c r="P83" s="435"/>
      <c r="Q83" s="436"/>
    </row>
    <row r="84" spans="1:17" ht="15.75" x14ac:dyDescent="0.25">
      <c r="A84" s="135" t="s">
        <v>306</v>
      </c>
      <c r="F84" s="182"/>
      <c r="G84" s="437"/>
      <c r="H84" s="437"/>
      <c r="I84" s="437"/>
      <c r="J84" s="437"/>
      <c r="K84" s="437"/>
      <c r="L84" s="437"/>
      <c r="M84" s="437"/>
      <c r="N84" s="437"/>
      <c r="O84" s="437"/>
      <c r="P84" s="437"/>
      <c r="Q84" s="437"/>
    </row>
    <row r="85" spans="1:17" x14ac:dyDescent="0.2">
      <c r="A85" s="438" t="s">
        <v>303</v>
      </c>
      <c r="B85" s="439"/>
      <c r="C85" s="207"/>
      <c r="D85" s="207"/>
      <c r="E85" s="207"/>
      <c r="F85" s="210" t="s">
        <v>304</v>
      </c>
      <c r="G85" s="434"/>
      <c r="H85" s="435"/>
      <c r="I85" s="435"/>
      <c r="J85" s="435"/>
      <c r="K85" s="435"/>
      <c r="L85" s="435"/>
      <c r="M85" s="435"/>
      <c r="N85" s="435"/>
      <c r="O85" s="435"/>
      <c r="P85" s="435"/>
      <c r="Q85" s="436"/>
    </row>
    <row r="86" spans="1:17" x14ac:dyDescent="0.2">
      <c r="A86" s="438" t="s">
        <v>303</v>
      </c>
      <c r="B86" s="439"/>
      <c r="C86" s="207"/>
      <c r="D86" s="207"/>
      <c r="E86" s="207"/>
      <c r="F86" s="210" t="s">
        <v>304</v>
      </c>
      <c r="G86" s="434"/>
      <c r="H86" s="435"/>
      <c r="I86" s="435"/>
      <c r="J86" s="435"/>
      <c r="K86" s="435"/>
      <c r="L86" s="435"/>
      <c r="M86" s="435"/>
      <c r="N86" s="435"/>
      <c r="O86" s="435"/>
      <c r="P86" s="435"/>
      <c r="Q86" s="436"/>
    </row>
    <row r="87" spans="1:17" x14ac:dyDescent="0.2">
      <c r="A87" s="438" t="s">
        <v>303</v>
      </c>
      <c r="B87" s="439"/>
      <c r="C87" s="207"/>
      <c r="D87" s="207"/>
      <c r="E87" s="207"/>
      <c r="F87" s="210" t="s">
        <v>304</v>
      </c>
      <c r="G87" s="434"/>
      <c r="H87" s="435"/>
      <c r="I87" s="435"/>
      <c r="J87" s="435"/>
      <c r="K87" s="435"/>
      <c r="L87" s="435"/>
      <c r="M87" s="435"/>
      <c r="N87" s="435"/>
      <c r="O87" s="435"/>
      <c r="P87" s="435"/>
      <c r="Q87" s="436"/>
    </row>
    <row r="88" spans="1:17" x14ac:dyDescent="0.2">
      <c r="A88" s="438" t="s">
        <v>303</v>
      </c>
      <c r="B88" s="439"/>
      <c r="C88" s="207"/>
      <c r="D88" s="207"/>
      <c r="E88" s="207"/>
      <c r="F88" s="210" t="s">
        <v>304</v>
      </c>
      <c r="G88" s="434"/>
      <c r="H88" s="435"/>
      <c r="I88" s="435"/>
      <c r="J88" s="435"/>
      <c r="K88" s="435"/>
      <c r="L88" s="435"/>
      <c r="M88" s="435"/>
      <c r="N88" s="435"/>
      <c r="O88" s="435"/>
      <c r="P88" s="435"/>
      <c r="Q88" s="436"/>
    </row>
    <row r="89" spans="1:17" ht="15.75" x14ac:dyDescent="0.25">
      <c r="A89" s="135" t="s">
        <v>224</v>
      </c>
      <c r="F89" s="182"/>
      <c r="G89" s="437"/>
      <c r="H89" s="437"/>
      <c r="I89" s="437"/>
      <c r="J89" s="437"/>
      <c r="K89" s="437"/>
      <c r="L89" s="437"/>
      <c r="M89" s="437"/>
      <c r="N89" s="437"/>
      <c r="O89" s="437"/>
      <c r="P89" s="437"/>
      <c r="Q89" s="437"/>
    </row>
    <row r="90" spans="1:17" x14ac:dyDescent="0.2">
      <c r="A90" s="438" t="s">
        <v>303</v>
      </c>
      <c r="B90" s="439"/>
      <c r="C90" s="207"/>
      <c r="D90" s="207"/>
      <c r="E90" s="207"/>
      <c r="F90" s="210" t="s">
        <v>304</v>
      </c>
      <c r="G90" s="434"/>
      <c r="H90" s="435"/>
      <c r="I90" s="435"/>
      <c r="J90" s="435"/>
      <c r="K90" s="435"/>
      <c r="L90" s="435"/>
      <c r="M90" s="435"/>
      <c r="N90" s="435"/>
      <c r="O90" s="435"/>
      <c r="P90" s="435"/>
      <c r="Q90" s="436"/>
    </row>
    <row r="91" spans="1:17" x14ac:dyDescent="0.2">
      <c r="A91" s="438" t="s">
        <v>303</v>
      </c>
      <c r="B91" s="439"/>
      <c r="C91" s="207"/>
      <c r="D91" s="207"/>
      <c r="E91" s="207"/>
      <c r="F91" s="210" t="s">
        <v>304</v>
      </c>
      <c r="G91" s="434"/>
      <c r="H91" s="435"/>
      <c r="I91" s="435"/>
      <c r="J91" s="435"/>
      <c r="K91" s="435"/>
      <c r="L91" s="435"/>
      <c r="M91" s="435"/>
      <c r="N91" s="435"/>
      <c r="O91" s="435"/>
      <c r="P91" s="435"/>
      <c r="Q91" s="436"/>
    </row>
    <row r="92" spans="1:17" x14ac:dyDescent="0.2">
      <c r="A92" s="438" t="s">
        <v>303</v>
      </c>
      <c r="B92" s="439"/>
      <c r="C92" s="207"/>
      <c r="D92" s="207"/>
      <c r="E92" s="207"/>
      <c r="F92" s="210" t="s">
        <v>304</v>
      </c>
      <c r="G92" s="434"/>
      <c r="H92" s="435"/>
      <c r="I92" s="435"/>
      <c r="J92" s="435"/>
      <c r="K92" s="435"/>
      <c r="L92" s="435"/>
      <c r="M92" s="435"/>
      <c r="N92" s="435"/>
      <c r="O92" s="435"/>
      <c r="P92" s="435"/>
      <c r="Q92" s="436"/>
    </row>
    <row r="93" spans="1:17" x14ac:dyDescent="0.2">
      <c r="A93" s="438" t="s">
        <v>303</v>
      </c>
      <c r="B93" s="439"/>
      <c r="C93" s="207"/>
      <c r="D93" s="207"/>
      <c r="E93" s="207"/>
      <c r="F93" s="210" t="s">
        <v>304</v>
      </c>
      <c r="G93" s="434"/>
      <c r="H93" s="435"/>
      <c r="I93" s="435"/>
      <c r="J93" s="435"/>
      <c r="K93" s="435"/>
      <c r="L93" s="435"/>
      <c r="M93" s="435"/>
      <c r="N93" s="435"/>
      <c r="O93" s="435"/>
      <c r="P93" s="435"/>
      <c r="Q93" s="436"/>
    </row>
    <row r="95" spans="1:17" ht="15.75" x14ac:dyDescent="0.25">
      <c r="A95" s="135" t="s">
        <v>477</v>
      </c>
    </row>
    <row r="96" spans="1:17" ht="3" customHeight="1" x14ac:dyDescent="0.2">
      <c r="F96" s="426" t="s">
        <v>301</v>
      </c>
      <c r="G96" s="426"/>
      <c r="H96" s="426"/>
      <c r="I96" s="426"/>
      <c r="J96" s="426"/>
      <c r="K96" s="426"/>
      <c r="L96" s="426"/>
      <c r="M96" s="426"/>
      <c r="N96" s="426"/>
      <c r="O96" s="426"/>
      <c r="P96" s="426"/>
      <c r="Q96" s="426"/>
    </row>
    <row r="97" spans="1:17" ht="15.75" x14ac:dyDescent="0.25">
      <c r="C97" s="176" t="str">
        <f>C31</f>
        <v>2026/27</v>
      </c>
      <c r="D97" s="176" t="str">
        <f>D31</f>
        <v>2027/28</v>
      </c>
      <c r="E97" s="176" t="str">
        <f>E31</f>
        <v>2028/29</v>
      </c>
      <c r="F97" s="444"/>
      <c r="G97" s="444"/>
      <c r="H97" s="444"/>
      <c r="I97" s="444"/>
      <c r="J97" s="444"/>
      <c r="K97" s="444"/>
      <c r="L97" s="444"/>
      <c r="M97" s="444"/>
      <c r="N97" s="444"/>
      <c r="O97" s="444"/>
      <c r="P97" s="444"/>
      <c r="Q97" s="444"/>
    </row>
    <row r="98" spans="1:17" ht="3" customHeight="1" x14ac:dyDescent="0.25">
      <c r="C98" s="176"/>
      <c r="D98" s="176"/>
      <c r="E98" s="176"/>
      <c r="F98" s="327"/>
      <c r="G98" s="327"/>
      <c r="H98" s="327"/>
      <c r="I98" s="327"/>
      <c r="J98" s="327"/>
      <c r="K98" s="327"/>
      <c r="L98" s="327"/>
      <c r="M98" s="327"/>
      <c r="N98" s="327"/>
      <c r="O98" s="327"/>
      <c r="P98" s="327"/>
      <c r="Q98" s="327"/>
    </row>
    <row r="99" spans="1:17" ht="15.75" x14ac:dyDescent="0.25">
      <c r="A99" s="135" t="s">
        <v>478</v>
      </c>
      <c r="C99" s="207"/>
      <c r="D99" s="207"/>
      <c r="E99" s="207"/>
      <c r="F99" s="441"/>
      <c r="G99" s="441"/>
      <c r="H99" s="441"/>
      <c r="I99" s="441"/>
      <c r="J99" s="441"/>
      <c r="K99" s="441"/>
      <c r="L99" s="441"/>
      <c r="M99" s="441"/>
      <c r="N99" s="441"/>
      <c r="O99" s="441"/>
      <c r="P99" s="441"/>
      <c r="Q99" s="441"/>
    </row>
    <row r="100" spans="1:17" ht="15.75" x14ac:dyDescent="0.25">
      <c r="A100" s="135" t="s">
        <v>479</v>
      </c>
      <c r="C100" s="207"/>
      <c r="D100" s="207"/>
      <c r="E100" s="207"/>
      <c r="F100" s="441"/>
      <c r="G100" s="441"/>
      <c r="H100" s="441"/>
      <c r="I100" s="441"/>
      <c r="J100" s="441"/>
      <c r="K100" s="441"/>
      <c r="L100" s="441"/>
      <c r="M100" s="441"/>
      <c r="N100" s="441"/>
      <c r="O100" s="441"/>
      <c r="P100" s="441"/>
      <c r="Q100" s="441"/>
    </row>
    <row r="103" spans="1:17" ht="15.75" x14ac:dyDescent="0.25">
      <c r="A103" s="135" t="s">
        <v>480</v>
      </c>
      <c r="B103" s="328"/>
      <c r="C103" s="328"/>
      <c r="D103" s="328"/>
      <c r="E103" s="328"/>
      <c r="F103" s="328"/>
    </row>
    <row r="104" spans="1:17" ht="15" customHeight="1" x14ac:dyDescent="0.2">
      <c r="B104" s="329"/>
      <c r="C104" s="442" t="s">
        <v>670</v>
      </c>
      <c r="D104" s="442"/>
      <c r="E104" s="442"/>
      <c r="F104" s="442"/>
      <c r="G104" s="442"/>
      <c r="H104" s="442"/>
      <c r="I104" s="442"/>
      <c r="J104" s="442"/>
      <c r="K104" s="442"/>
      <c r="L104" s="442"/>
      <c r="M104" s="442"/>
      <c r="N104" s="442"/>
      <c r="O104" s="442"/>
      <c r="P104" s="442"/>
      <c r="Q104" s="442"/>
    </row>
    <row r="105" spans="1:17" ht="27.6" customHeight="1" x14ac:dyDescent="0.2">
      <c r="B105" s="330"/>
      <c r="C105" s="443" t="s">
        <v>481</v>
      </c>
      <c r="D105" s="443"/>
      <c r="E105" s="443"/>
      <c r="F105" s="443"/>
      <c r="G105" s="443"/>
      <c r="H105" s="443"/>
      <c r="I105" s="443"/>
      <c r="J105" s="443"/>
      <c r="K105" s="443"/>
      <c r="L105" s="443"/>
      <c r="M105" s="443"/>
      <c r="N105" s="443"/>
      <c r="O105" s="443"/>
      <c r="P105" s="443"/>
      <c r="Q105" s="443"/>
    </row>
    <row r="106" spans="1:17" ht="15.75" x14ac:dyDescent="0.25">
      <c r="A106" s="163" t="str">
        <f>A7</f>
        <v>2026/27</v>
      </c>
      <c r="C106" s="440"/>
      <c r="D106" s="440"/>
      <c r="E106" s="440"/>
      <c r="F106" s="440"/>
      <c r="G106" s="440"/>
      <c r="H106" s="440"/>
      <c r="I106" s="440"/>
      <c r="J106" s="440"/>
      <c r="K106" s="440"/>
      <c r="L106" s="440"/>
      <c r="M106" s="440"/>
      <c r="N106" s="440"/>
      <c r="O106" s="440"/>
      <c r="P106" s="440"/>
      <c r="Q106" s="440"/>
    </row>
    <row r="107" spans="1:17" ht="15.75" x14ac:dyDescent="0.25">
      <c r="A107" s="163" t="str">
        <f>A8</f>
        <v>2027/28</v>
      </c>
      <c r="C107" s="440"/>
      <c r="D107" s="440"/>
      <c r="E107" s="440"/>
      <c r="F107" s="440"/>
      <c r="G107" s="440"/>
      <c r="H107" s="440"/>
      <c r="I107" s="440"/>
      <c r="J107" s="440"/>
      <c r="K107" s="440"/>
      <c r="L107" s="440"/>
      <c r="M107" s="440"/>
      <c r="N107" s="440"/>
      <c r="O107" s="440"/>
      <c r="P107" s="440"/>
      <c r="Q107" s="440"/>
    </row>
    <row r="108" spans="1:17" ht="15.75" x14ac:dyDescent="0.25">
      <c r="A108" s="163" t="str">
        <f>A9</f>
        <v>2028/29</v>
      </c>
      <c r="C108" s="440"/>
      <c r="D108" s="440"/>
      <c r="E108" s="440"/>
      <c r="F108" s="440"/>
      <c r="G108" s="440"/>
      <c r="H108" s="440"/>
      <c r="I108" s="440"/>
      <c r="J108" s="440"/>
      <c r="K108" s="440"/>
      <c r="L108" s="440"/>
      <c r="M108" s="440"/>
      <c r="N108" s="440"/>
      <c r="O108" s="440"/>
      <c r="P108" s="440"/>
      <c r="Q108" s="440"/>
    </row>
  </sheetData>
  <mergeCells count="83">
    <mergeCell ref="F96:Q97"/>
    <mergeCell ref="A93:B93"/>
    <mergeCell ref="A87:B87"/>
    <mergeCell ref="A88:B88"/>
    <mergeCell ref="A90:B90"/>
    <mergeCell ref="A91:B91"/>
    <mergeCell ref="A92:B92"/>
    <mergeCell ref="G93:Q93"/>
    <mergeCell ref="G90:Q90"/>
    <mergeCell ref="G91:Q91"/>
    <mergeCell ref="G92:Q92"/>
    <mergeCell ref="C106:Q106"/>
    <mergeCell ref="C107:Q107"/>
    <mergeCell ref="C108:Q108"/>
    <mergeCell ref="F99:Q99"/>
    <mergeCell ref="F100:Q100"/>
    <mergeCell ref="C104:Q104"/>
    <mergeCell ref="C105:Q105"/>
    <mergeCell ref="A86:B86"/>
    <mergeCell ref="A75:B75"/>
    <mergeCell ref="A76:B76"/>
    <mergeCell ref="A77:B77"/>
    <mergeCell ref="A78:B78"/>
    <mergeCell ref="A80:B80"/>
    <mergeCell ref="A81:B81"/>
    <mergeCell ref="A82:B82"/>
    <mergeCell ref="A83:B83"/>
    <mergeCell ref="A85:B85"/>
    <mergeCell ref="G76:Q76"/>
    <mergeCell ref="G75:Q75"/>
    <mergeCell ref="G72:Q72"/>
    <mergeCell ref="G89:Q89"/>
    <mergeCell ref="G87:Q87"/>
    <mergeCell ref="G88:Q88"/>
    <mergeCell ref="G81:Q81"/>
    <mergeCell ref="G80:Q80"/>
    <mergeCell ref="G79:Q79"/>
    <mergeCell ref="G78:Q78"/>
    <mergeCell ref="G77:Q77"/>
    <mergeCell ref="G86:Q86"/>
    <mergeCell ref="G85:Q85"/>
    <mergeCell ref="G84:Q84"/>
    <mergeCell ref="G83:Q83"/>
    <mergeCell ref="G82:Q82"/>
    <mergeCell ref="F63:Q63"/>
    <mergeCell ref="A63:B63"/>
    <mergeCell ref="A66:B66"/>
    <mergeCell ref="A54:B54"/>
    <mergeCell ref="A56:B56"/>
    <mergeCell ref="A61:B61"/>
    <mergeCell ref="A62:B62"/>
    <mergeCell ref="A59:B59"/>
    <mergeCell ref="F66:Q66"/>
    <mergeCell ref="A55:B55"/>
    <mergeCell ref="F55:Q55"/>
    <mergeCell ref="F38:Q38"/>
    <mergeCell ref="F59:Q59"/>
    <mergeCell ref="F56:Q56"/>
    <mergeCell ref="F61:Q61"/>
    <mergeCell ref="F62:Q62"/>
    <mergeCell ref="A39:B39"/>
    <mergeCell ref="A40:B40"/>
    <mergeCell ref="F54:Q54"/>
    <mergeCell ref="F51:Q51"/>
    <mergeCell ref="F50:Q50"/>
    <mergeCell ref="F47:Q47"/>
    <mergeCell ref="A46:B46"/>
    <mergeCell ref="A41:B41"/>
    <mergeCell ref="A42:B42"/>
    <mergeCell ref="A51:B51"/>
    <mergeCell ref="B17:R18"/>
    <mergeCell ref="F31:Q33"/>
    <mergeCell ref="B22:C22"/>
    <mergeCell ref="A35:B35"/>
    <mergeCell ref="A50:B50"/>
    <mergeCell ref="A38:B38"/>
    <mergeCell ref="A47:B47"/>
    <mergeCell ref="F35:Q35"/>
    <mergeCell ref="A36:B36"/>
    <mergeCell ref="A37:B37"/>
    <mergeCell ref="A43:B43"/>
    <mergeCell ref="A44:B44"/>
    <mergeCell ref="A45:B45"/>
  </mergeCells>
  <conditionalFormatting sqref="A75:B78">
    <cfRule type="expression" dxfId="41" priority="9">
      <formula>A75="Enter Description here"</formula>
    </cfRule>
  </conditionalFormatting>
  <conditionalFormatting sqref="A80:B83">
    <cfRule type="expression" dxfId="40" priority="8">
      <formula>A80="Enter Description here"</formula>
    </cfRule>
  </conditionalFormatting>
  <conditionalFormatting sqref="A85:B88">
    <cfRule type="expression" dxfId="39" priority="7">
      <formula>A85="Enter Description here"</formula>
    </cfRule>
  </conditionalFormatting>
  <conditionalFormatting sqref="A90:B93">
    <cfRule type="expression" dxfId="38" priority="6">
      <formula>A90="Enter Description here"</formula>
    </cfRule>
  </conditionalFormatting>
  <conditionalFormatting sqref="F75:F78">
    <cfRule type="expression" dxfId="37" priority="4">
      <formula>F75="dd/mm/yy"</formula>
    </cfRule>
  </conditionalFormatting>
  <conditionalFormatting sqref="F80:F83">
    <cfRule type="expression" dxfId="36" priority="3">
      <formula>F80="dd/mm/yy"</formula>
    </cfRule>
  </conditionalFormatting>
  <conditionalFormatting sqref="F85:F88">
    <cfRule type="expression" dxfId="35" priority="2">
      <formula>F85="dd/mm/yy"</formula>
    </cfRule>
  </conditionalFormatting>
  <conditionalFormatting sqref="F90:F93">
    <cfRule type="expression" dxfId="34" priority="1">
      <formula>F90="dd/mm/yy"</formula>
    </cfRule>
  </conditionalFormatting>
  <pageMargins left="0.43307086614173229" right="0.43307086614173229" top="0.35433070866141736" bottom="0.35433070866141736" header="0.31496062992125984" footer="0.31496062992125984"/>
  <pageSetup paperSize="9" scale="57" fitToHeight="0" orientation="landscape" r:id="rId1"/>
  <rowBreaks count="1" manualBreakCount="1">
    <brk id="69" max="1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4" tint="0.39997558519241921"/>
    <pageSetUpPr fitToPage="1"/>
  </sheetPr>
  <dimension ref="A1:F38"/>
  <sheetViews>
    <sheetView workbookViewId="0">
      <selection activeCell="E33" sqref="E33"/>
    </sheetView>
  </sheetViews>
  <sheetFormatPr defaultRowHeight="15" x14ac:dyDescent="0.2"/>
  <cols>
    <col min="1" max="1" width="55.6640625" customWidth="1"/>
    <col min="2" max="2" width="13.6640625" bestFit="1" customWidth="1"/>
    <col min="3" max="3" width="1.77734375" customWidth="1"/>
    <col min="4" max="4" width="9.44140625" bestFit="1" customWidth="1"/>
    <col min="5" max="5" width="1.77734375" customWidth="1"/>
    <col min="6" max="6" width="11.88671875" customWidth="1"/>
  </cols>
  <sheetData>
    <row r="1" spans="1:6" ht="23.25" x14ac:dyDescent="0.35">
      <c r="A1" s="75" t="s">
        <v>307</v>
      </c>
      <c r="F1" s="219" t="e">
        <f>'3YP'!F1</f>
        <v>#N/A</v>
      </c>
    </row>
    <row r="3" spans="1:6" ht="15.75" x14ac:dyDescent="0.25">
      <c r="A3" s="66" t="s">
        <v>30</v>
      </c>
      <c r="B3" s="76" t="str">
        <f>'Add''l Data'!A7</f>
        <v>2026/27</v>
      </c>
      <c r="C3" s="76"/>
      <c r="D3" s="76" t="str">
        <f>'Add''l Data'!A8</f>
        <v>2027/28</v>
      </c>
      <c r="E3" s="76"/>
      <c r="F3" s="76" t="str">
        <f>'Add''l Data'!A9</f>
        <v>2028/29</v>
      </c>
    </row>
    <row r="4" spans="1:6" ht="3" customHeight="1" x14ac:dyDescent="0.2"/>
    <row r="5" spans="1:6" x14ac:dyDescent="0.2">
      <c r="A5" t="s">
        <v>637</v>
      </c>
      <c r="B5" s="79" t="str">
        <f>IFERROR(SUM('3YP'!E$9+'3YP'!E$10+'3YP'!E$11+'3YP'!E$12+'3YP'!E$13)/'3YP'!E$27,"-")</f>
        <v>-</v>
      </c>
      <c r="C5" s="77"/>
      <c r="D5" s="79" t="str">
        <f>IFERROR(SUM('3YP'!G$9+'3YP'!G$10+'3YP'!G$11+'3YP'!G$12+'3YP'!G$13)/'3YP'!G$27,"-")</f>
        <v>-</v>
      </c>
      <c r="E5" s="78"/>
      <c r="F5" s="79" t="str">
        <f>IFERROR(SUM('3YP'!I$9+'3YP'!I$10+'3YP'!I$11+'3YP'!I$12+'3YP'!I$13)/'3YP'!I$27,"-")</f>
        <v>-</v>
      </c>
    </row>
    <row r="6" spans="1:6" x14ac:dyDescent="0.2">
      <c r="A6" t="s">
        <v>638</v>
      </c>
      <c r="B6" s="79" t="str">
        <f>IFERROR('3YP'!E108/-SUM('3YP'!E$9+'3YP'!E$10+'3YP'!E$11+'3YP'!E$12+'3YP'!E$13),"-")</f>
        <v>-</v>
      </c>
      <c r="C6" s="78"/>
      <c r="D6" s="79" t="str">
        <f>IFERROR('3YP'!G108/-SUM('3YP'!G$9+'3YP'!G$10+'3YP'!G$11+'3YP'!G$12+'3YP'!G$13),"-")</f>
        <v>-</v>
      </c>
      <c r="E6" s="78"/>
      <c r="F6" s="79" t="str">
        <f>IFERROR('3YP'!I108/-SUM('3YP'!I$9+'3YP'!I$10+'3YP'!I$11+'3YP'!I$12+'3YP'!I$13),"-")</f>
        <v>-</v>
      </c>
    </row>
    <row r="7" spans="1:6" x14ac:dyDescent="0.2">
      <c r="B7" s="78"/>
      <c r="C7" s="78"/>
      <c r="D7" s="78"/>
      <c r="E7" s="78"/>
      <c r="F7" s="78"/>
    </row>
    <row r="8" spans="1:6" ht="15.75" x14ac:dyDescent="0.25">
      <c r="A8" s="66" t="s">
        <v>94</v>
      </c>
      <c r="B8" s="78"/>
      <c r="C8" s="78"/>
      <c r="D8" s="78"/>
      <c r="E8" s="78"/>
      <c r="F8" s="78"/>
    </row>
    <row r="9" spans="1:6" ht="3" customHeight="1" x14ac:dyDescent="0.2">
      <c r="B9" s="78"/>
      <c r="C9" s="78"/>
      <c r="D9" s="78"/>
      <c r="E9" s="78"/>
      <c r="F9" s="78"/>
    </row>
    <row r="10" spans="1:6" x14ac:dyDescent="0.2">
      <c r="A10" t="s">
        <v>308</v>
      </c>
      <c r="B10" s="79" t="str">
        <f>IFERROR(SUM('3YP'!E30/'3YP'!E70),"-")</f>
        <v>-</v>
      </c>
      <c r="C10" s="78"/>
      <c r="D10" s="79" t="str">
        <f>IFERROR(SUM('3YP'!G30/'3YP'!G70),"-")</f>
        <v>-</v>
      </c>
      <c r="E10" s="78"/>
      <c r="F10" s="79" t="str">
        <f>IFERROR(SUM('3YP'!I30/'3YP'!I70),"-")</f>
        <v>-</v>
      </c>
    </row>
    <row r="11" spans="1:6" x14ac:dyDescent="0.2">
      <c r="A11" t="s">
        <v>309</v>
      </c>
      <c r="B11" s="79" t="str">
        <f>IFERROR(SUM('3YP'!E32/'3YP'!E70),"-")</f>
        <v>-</v>
      </c>
      <c r="C11" s="78"/>
      <c r="D11" s="79" t="str">
        <f>IFERROR(SUM('3YP'!G32/'3YP'!G70),"-")</f>
        <v>-</v>
      </c>
      <c r="E11" s="78"/>
      <c r="F11" s="79" t="str">
        <f>IFERROR(SUM('3YP'!I32/'3YP'!I70),"-")</f>
        <v>-</v>
      </c>
    </row>
    <row r="12" spans="1:6" x14ac:dyDescent="0.2">
      <c r="A12" t="s">
        <v>310</v>
      </c>
      <c r="B12" s="79" t="str">
        <f>IFERROR(SUM('3YP'!E30:E36)/'3YP'!E70,"-")</f>
        <v>-</v>
      </c>
      <c r="C12" s="78"/>
      <c r="D12" s="79" t="str">
        <f>IFERROR(SUM('3YP'!G30:G36)/'3YP'!G70,"-")</f>
        <v>-</v>
      </c>
      <c r="E12" s="78"/>
      <c r="F12" s="79" t="str">
        <f>IFERROR(SUM('3YP'!I30:I36)/'3YP'!I70,"-")</f>
        <v>-</v>
      </c>
    </row>
    <row r="13" spans="1:6" x14ac:dyDescent="0.2">
      <c r="A13" t="s">
        <v>311</v>
      </c>
      <c r="B13" s="79" t="str" cm="1">
        <f t="array" ref="B13">IFERROR(SUM(('3YP'!E41:E45)+'3YP'!E47)/'3YP'!E70,"-")</f>
        <v>-</v>
      </c>
      <c r="C13" s="78"/>
      <c r="D13" s="79" t="str" cm="1">
        <f t="array" ref="D13">IFERROR(SUM(('3YP'!G41:G45)+'3YP'!G47)/'3YP'!G70,"-")</f>
        <v>-</v>
      </c>
      <c r="E13" s="78"/>
      <c r="F13" s="79" t="str" cm="1">
        <f t="array" ref="F13">IFERROR(SUM(('3YP'!I41:I45)+'3YP'!I47)/'3YP'!I70,"-")</f>
        <v>-</v>
      </c>
    </row>
    <row r="14" spans="1:6" x14ac:dyDescent="0.2">
      <c r="A14" t="s">
        <v>312</v>
      </c>
      <c r="B14" s="79" t="str">
        <f>IFERROR(SUM('3YP'!E48+'3YP'!E62)/'3YP'!E70,"-")</f>
        <v>-</v>
      </c>
      <c r="C14" s="78"/>
      <c r="D14" s="79" t="str">
        <f>IFERROR(SUM('3YP'!G48+'3YP'!G62)/'3YP'!G70,"-")</f>
        <v>-</v>
      </c>
      <c r="E14" s="78"/>
      <c r="F14" s="79" t="str">
        <f>IFERROR(SUM('3YP'!I48+'3YP'!I62)/'3YP'!I70,"-")</f>
        <v>-</v>
      </c>
    </row>
    <row r="15" spans="1:6" x14ac:dyDescent="0.2">
      <c r="A15" t="s">
        <v>482</v>
      </c>
      <c r="B15" s="79" t="str">
        <f>IFERROR(SUM('3YP'!E49:E55)/'3YP'!E70,"-")</f>
        <v>-</v>
      </c>
      <c r="C15" s="78"/>
      <c r="D15" s="79" t="str">
        <f>IFERROR(SUM('3YP'!G49:G55)/'3YP'!G70,"-")</f>
        <v>-</v>
      </c>
      <c r="E15" s="78"/>
      <c r="F15" s="79" t="str">
        <f>IFERROR(SUM('3YP'!I49:I55)/'3YP'!I70,"-")</f>
        <v>-</v>
      </c>
    </row>
    <row r="16" spans="1:6" x14ac:dyDescent="0.2">
      <c r="A16" t="s">
        <v>313</v>
      </c>
      <c r="B16" s="79" t="str">
        <f>IFERROR(SUM(1-B10-B11-B13-B14),"-")</f>
        <v>-</v>
      </c>
      <c r="C16" s="78"/>
      <c r="D16" s="79" t="str">
        <f>IFERROR(SUM(1-D10-D11-D13-D14),"-")</f>
        <v>-</v>
      </c>
      <c r="E16" s="78"/>
      <c r="F16" s="79" t="str">
        <f>IFERROR(SUM(1-F10-F11-F13-F14),"-")</f>
        <v>-</v>
      </c>
    </row>
    <row r="17" spans="1:6" x14ac:dyDescent="0.2">
      <c r="A17" t="s">
        <v>314</v>
      </c>
      <c r="B17" s="79" t="str">
        <f>IFERROR(SUM('3YP'!E70/-'3YP'!E27),"-")</f>
        <v>-</v>
      </c>
      <c r="C17" s="78"/>
      <c r="D17" s="79" t="str">
        <f>IFERROR(SUM('3YP'!G70/-'3YP'!G27),"-")</f>
        <v>-</v>
      </c>
      <c r="E17" s="78"/>
      <c r="F17" s="79" t="str">
        <f>IFERROR(SUM('3YP'!I70/-'3YP'!I27),"-")</f>
        <v>-</v>
      </c>
    </row>
    <row r="18" spans="1:6" x14ac:dyDescent="0.2">
      <c r="B18" s="79"/>
      <c r="C18" s="78"/>
      <c r="D18" s="78"/>
      <c r="E18" s="78"/>
      <c r="F18" s="78"/>
    </row>
    <row r="19" spans="1:6" ht="15.75" x14ac:dyDescent="0.25">
      <c r="A19" s="66" t="s">
        <v>315</v>
      </c>
      <c r="B19" s="79"/>
      <c r="C19" s="78"/>
      <c r="D19" s="78"/>
      <c r="E19" s="78"/>
      <c r="F19" s="78"/>
    </row>
    <row r="20" spans="1:6" ht="3" customHeight="1" x14ac:dyDescent="0.2">
      <c r="B20" s="79"/>
      <c r="C20" s="78"/>
      <c r="D20" s="78"/>
      <c r="E20" s="78"/>
      <c r="F20" s="78"/>
    </row>
    <row r="21" spans="1:6" x14ac:dyDescent="0.2">
      <c r="A21" t="s">
        <v>316</v>
      </c>
      <c r="B21" s="81" t="str">
        <f>IFERROR(SUM('3YP'!E30/'Add''l Data'!B25),"-")</f>
        <v>-</v>
      </c>
      <c r="C21" s="78"/>
      <c r="D21" s="81" t="str">
        <f>IFERROR(SUM('3YP'!G30/'Add''l Data'!B26),"-")</f>
        <v>-</v>
      </c>
      <c r="E21" s="78"/>
      <c r="F21" s="81" t="str">
        <f>IFERROR(SUM('3YP'!I30/'Add''l Data'!B27),"-")</f>
        <v>-</v>
      </c>
    </row>
    <row r="22" spans="1:6" x14ac:dyDescent="0.2">
      <c r="A22" t="s">
        <v>317</v>
      </c>
      <c r="B22" s="79" t="str">
        <f>IFERROR(SUM('Add''l Data'!C25/'Add''l Data'!B25),"-")</f>
        <v>-</v>
      </c>
      <c r="C22" s="78"/>
      <c r="D22" s="79" t="str">
        <f>IFERROR(SUM('Add''l Data'!C26/'Add''l Data'!B26),"-")</f>
        <v>-</v>
      </c>
      <c r="E22" s="78"/>
      <c r="F22" s="79" t="str">
        <f>IFERROR(SUM('Add''l Data'!C27/'Add''l Data'!B27),"-")</f>
        <v>-</v>
      </c>
    </row>
    <row r="23" spans="1:6" x14ac:dyDescent="0.2">
      <c r="A23" t="s">
        <v>318</v>
      </c>
      <c r="B23" s="78" t="str">
        <f>IFERROR(CONCATENATE(ROUND('Add''l Data'!R7/'Add''l Data'!B25,1),":1"),"-")</f>
        <v>-</v>
      </c>
      <c r="C23" s="78"/>
      <c r="D23" s="81" t="str">
        <f>IFERROR(CONCATENATE(ROUND('Add''l Data'!R8/'Add''l Data'!B26,1),":1"),"-")</f>
        <v>-</v>
      </c>
      <c r="E23" s="78"/>
      <c r="F23" s="81" t="str">
        <f>IFERROR(CONCATENATE(ROUND('Add''l Data'!R9/'Add''l Data'!B27,1),":1"),"-")</f>
        <v>-</v>
      </c>
    </row>
    <row r="24" spans="1:6" x14ac:dyDescent="0.2">
      <c r="C24" s="78"/>
      <c r="D24" s="78"/>
      <c r="E24" s="78"/>
      <c r="F24" s="78"/>
    </row>
    <row r="25" spans="1:6" ht="15.75" x14ac:dyDescent="0.25">
      <c r="A25" s="66" t="s">
        <v>319</v>
      </c>
      <c r="C25" s="78"/>
      <c r="D25" s="78"/>
      <c r="E25" s="78"/>
      <c r="F25" s="78"/>
    </row>
    <row r="26" spans="1:6" ht="3" customHeight="1" x14ac:dyDescent="0.2">
      <c r="B26" s="361"/>
      <c r="C26" s="78"/>
      <c r="D26" s="78"/>
      <c r="E26" s="78"/>
      <c r="F26" s="78"/>
    </row>
    <row r="27" spans="1:6" x14ac:dyDescent="0.2">
      <c r="A27" t="s">
        <v>320</v>
      </c>
      <c r="B27" s="81" t="e">
        <f>'3YP'!E108</f>
        <v>#N/A</v>
      </c>
      <c r="C27" s="78"/>
      <c r="D27" s="81" t="e">
        <f>'3YP'!G108</f>
        <v>#N/A</v>
      </c>
      <c r="E27" s="78"/>
      <c r="F27" s="81" t="e">
        <f>'3YP'!I108</f>
        <v>#N/A</v>
      </c>
    </row>
    <row r="28" spans="1:6" x14ac:dyDescent="0.2">
      <c r="A28" t="s">
        <v>321</v>
      </c>
      <c r="B28" s="81"/>
      <c r="C28" s="78"/>
      <c r="D28" s="79" t="str">
        <f>IFERROR(SUM(D27-B27)/B27,"-")</f>
        <v>-</v>
      </c>
      <c r="E28" s="78"/>
      <c r="F28" s="79" t="str">
        <f>IFERROR(SUM(F27-D27)/D27,"-")</f>
        <v>-</v>
      </c>
    </row>
    <row r="29" spans="1:6" ht="3" customHeight="1" x14ac:dyDescent="0.2">
      <c r="B29" s="81"/>
      <c r="C29" s="78"/>
      <c r="D29" s="81"/>
      <c r="E29" s="78"/>
      <c r="F29" s="81"/>
    </row>
    <row r="30" spans="1:6" x14ac:dyDescent="0.2">
      <c r="A30" t="s">
        <v>322</v>
      </c>
      <c r="B30" s="81" t="e">
        <f>'3YP'!E112</f>
        <v>#N/A</v>
      </c>
      <c r="C30" s="78"/>
      <c r="D30" s="81" t="e">
        <f>'3YP'!G112</f>
        <v>#N/A</v>
      </c>
      <c r="E30" s="78"/>
      <c r="F30" s="81" t="e">
        <f>'3YP'!I112</f>
        <v>#N/A</v>
      </c>
    </row>
    <row r="31" spans="1:6" x14ac:dyDescent="0.2">
      <c r="A31" t="s">
        <v>321</v>
      </c>
      <c r="B31" s="81"/>
      <c r="C31" s="78"/>
      <c r="D31" s="79" t="str">
        <f>IFERROR(SUM(D30-B30)/B30,"-")</f>
        <v>-</v>
      </c>
      <c r="E31" s="78"/>
      <c r="F31" s="79" t="str">
        <f>IFERROR(SUM(F30-D30)/D30,"-")</f>
        <v>-</v>
      </c>
    </row>
    <row r="32" spans="1:6" ht="3" customHeight="1" x14ac:dyDescent="0.2">
      <c r="B32" s="79"/>
      <c r="C32" s="78"/>
      <c r="D32" s="78"/>
      <c r="E32" s="78"/>
      <c r="F32" s="78"/>
    </row>
    <row r="33" spans="1:6" x14ac:dyDescent="0.2">
      <c r="A33" t="s">
        <v>323</v>
      </c>
      <c r="B33" s="81" t="e">
        <f>'3YP'!E108+'3YP'!E96</f>
        <v>#N/A</v>
      </c>
      <c r="C33" s="78"/>
      <c r="D33" s="81" t="e">
        <f>'3YP'!G108+'3YP'!G96</f>
        <v>#N/A</v>
      </c>
      <c r="E33" s="78"/>
      <c r="F33" s="81" t="e">
        <f>'3YP'!I108+'3YP'!I96</f>
        <v>#N/A</v>
      </c>
    </row>
    <row r="34" spans="1:6" x14ac:dyDescent="0.2">
      <c r="B34" s="79"/>
    </row>
    <row r="35" spans="1:6" x14ac:dyDescent="0.2">
      <c r="B35" s="79"/>
    </row>
    <row r="36" spans="1:6" x14ac:dyDescent="0.2">
      <c r="B36" s="79"/>
    </row>
    <row r="37" spans="1:6" x14ac:dyDescent="0.2">
      <c r="B37" s="79"/>
    </row>
    <row r="38" spans="1:6" x14ac:dyDescent="0.2">
      <c r="B38" s="79"/>
    </row>
  </sheetData>
  <sheetProtection algorithmName="SHA-512" hashValue="mhtmHvyI2BgGEU+G/6hCdW/O3y4qv3RbkIFK/9M5sqpgxYrVWkQIO1o7wWXx5gdMKvSC8BaZvnDEL1WYUX3JeQ==" saltValue="dQoiJwMVkiQvG5VExeDagg==" spinCount="100000" sheet="1" objects="1" scenarios="1"/>
  <conditionalFormatting sqref="D5:D6">
    <cfRule type="expression" dxfId="33" priority="91">
      <formula>D5&lt;$B5</formula>
    </cfRule>
    <cfRule type="expression" dxfId="32" priority="92">
      <formula>D5&gt;$B5</formula>
    </cfRule>
  </conditionalFormatting>
  <conditionalFormatting sqref="D10:D14 D16:D17">
    <cfRule type="expression" dxfId="31" priority="83">
      <formula>D10&lt;$B10</formula>
    </cfRule>
    <cfRule type="expression" dxfId="30" priority="84">
      <formula>D10&gt;$B10</formula>
    </cfRule>
  </conditionalFormatting>
  <conditionalFormatting sqref="D21:D23">
    <cfRule type="expression" dxfId="29" priority="71">
      <formula>D21&lt;$B21</formula>
    </cfRule>
    <cfRule type="expression" dxfId="28" priority="72">
      <formula>D21&gt;$B21</formula>
    </cfRule>
  </conditionalFormatting>
  <conditionalFormatting sqref="D27">
    <cfRule type="expression" dxfId="27" priority="15">
      <formula>D27&gt;$B27</formula>
    </cfRule>
    <cfRule type="expression" dxfId="26" priority="16">
      <formula>D27&lt;$B27</formula>
    </cfRule>
  </conditionalFormatting>
  <conditionalFormatting sqref="D30">
    <cfRule type="expression" dxfId="25" priority="7">
      <formula>D30&gt;$B30</formula>
    </cfRule>
    <cfRule type="expression" dxfId="24" priority="8">
      <formula>D30&lt;$B30</formula>
    </cfRule>
  </conditionalFormatting>
  <conditionalFormatting sqref="D33">
    <cfRule type="expression" dxfId="23" priority="3">
      <formula>D33&gt;$B33</formula>
    </cfRule>
    <cfRule type="expression" dxfId="22" priority="4">
      <formula>D33&lt;$B33</formula>
    </cfRule>
  </conditionalFormatting>
  <conditionalFormatting sqref="F5">
    <cfRule type="expression" dxfId="21" priority="81">
      <formula>F5&lt;$D$5</formula>
    </cfRule>
    <cfRule type="expression" dxfId="20" priority="82">
      <formula>F5&gt;$D$5</formula>
    </cfRule>
  </conditionalFormatting>
  <conditionalFormatting sqref="F6">
    <cfRule type="expression" dxfId="19" priority="79">
      <formula>F6&lt;$B$6</formula>
    </cfRule>
    <cfRule type="expression" dxfId="18" priority="80">
      <formula>F6&gt;$B$6</formula>
    </cfRule>
  </conditionalFormatting>
  <conditionalFormatting sqref="F10:F14 F16:F17">
    <cfRule type="expression" dxfId="17" priority="77">
      <formula>F10&lt;$D10</formula>
    </cfRule>
    <cfRule type="expression" dxfId="16" priority="78">
      <formula>F10&gt;$D10</formula>
    </cfRule>
  </conditionalFormatting>
  <conditionalFormatting sqref="F21:F23">
    <cfRule type="expression" dxfId="15" priority="69">
      <formula>F21&lt;$D21</formula>
    </cfRule>
    <cfRule type="expression" dxfId="14" priority="70">
      <formula>F21&gt;$D21</formula>
    </cfRule>
  </conditionalFormatting>
  <conditionalFormatting sqref="F27">
    <cfRule type="expression" dxfId="13" priority="13">
      <formula>F27&gt;$D27</formula>
    </cfRule>
    <cfRule type="expression" dxfId="12" priority="14">
      <formula>F27&lt;$D27</formula>
    </cfRule>
  </conditionalFormatting>
  <conditionalFormatting sqref="F30">
    <cfRule type="expression" dxfId="11" priority="5">
      <formula>F30&gt;$D30</formula>
    </cfRule>
    <cfRule type="expression" dxfId="10" priority="6">
      <formula>F30&lt;$D30</formula>
    </cfRule>
  </conditionalFormatting>
  <conditionalFormatting sqref="F33">
    <cfRule type="expression" dxfId="9" priority="1">
      <formula>F33&gt;$D33</formula>
    </cfRule>
    <cfRule type="expression" dxfId="8" priority="2">
      <formula>F33&lt;$D33</formula>
    </cfRule>
  </conditionalFormatting>
  <pageMargins left="0.7" right="0.7" top="0.75" bottom="0.75" header="0.3" footer="0.3"/>
  <pageSetup paperSize="9" orientation="landscape" r:id="rId1"/>
  <ignoredErrors>
    <ignoredError sqref="B12:F12"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theme="4" tint="0.39997558519241921"/>
    <pageSetUpPr fitToPage="1"/>
  </sheetPr>
  <dimension ref="A1:I1"/>
  <sheetViews>
    <sheetView topLeftCell="A36" workbookViewId="0">
      <selection activeCell="J63" sqref="J63"/>
    </sheetView>
  </sheetViews>
  <sheetFormatPr defaultRowHeight="15" x14ac:dyDescent="0.2"/>
  <cols>
    <col min="3" max="3" width="10.5546875" customWidth="1"/>
    <col min="5" max="5" width="2" customWidth="1"/>
    <col min="8" max="8" width="10.5546875" customWidth="1"/>
  </cols>
  <sheetData>
    <row r="1" spans="1:9" ht="23.25" x14ac:dyDescent="0.35">
      <c r="A1" s="75" t="s">
        <v>324</v>
      </c>
      <c r="I1" s="219" t="e">
        <f>'3YP'!F1</f>
        <v>#N/A</v>
      </c>
    </row>
  </sheetData>
  <sheetProtection algorithmName="SHA-512" hashValue="ODgTEVjA7f9SjMGC0+Lqm9fKqZfhM7Nad3+C26TYDTB5UyAISNlJavwWmZgmiIxRxMOOM9R2b0u0ft2HwfVlBw==" saltValue="rthjGgtPKmp/dLsU/eHHvQ==" spinCount="100000" sheet="1" objects="1" scenarios="1"/>
  <pageMargins left="0.51181102362204722" right="0.51181102362204722" top="0.55118110236220474" bottom="0.55118110236220474"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FFFF00"/>
  </sheetPr>
  <dimension ref="A1:N61"/>
  <sheetViews>
    <sheetView topLeftCell="A36" workbookViewId="0">
      <selection activeCell="M61" sqref="M61"/>
    </sheetView>
  </sheetViews>
  <sheetFormatPr defaultRowHeight="15" x14ac:dyDescent="0.2"/>
  <cols>
    <col min="1" max="1" width="35.77734375" bestFit="1" customWidth="1"/>
    <col min="4" max="4" width="9.77734375" customWidth="1"/>
    <col min="5" max="5" width="12.6640625" bestFit="1" customWidth="1"/>
    <col min="6" max="7" width="9.88671875" bestFit="1" customWidth="1"/>
    <col min="9" max="9" width="11.88671875" bestFit="1" customWidth="1"/>
    <col min="11" max="11" width="9.88671875" bestFit="1" customWidth="1"/>
    <col min="14" max="14" width="32.77734375" bestFit="1" customWidth="1"/>
  </cols>
  <sheetData>
    <row r="1" spans="1:14" ht="15.75" x14ac:dyDescent="0.25">
      <c r="A1" t="s">
        <v>54</v>
      </c>
      <c r="B1" t="s">
        <v>197</v>
      </c>
      <c r="D1" s="90" t="s">
        <v>198</v>
      </c>
      <c r="M1" s="66" t="s">
        <v>572</v>
      </c>
    </row>
    <row r="2" spans="1:14" x14ac:dyDescent="0.2">
      <c r="A2" s="214" t="s">
        <v>501</v>
      </c>
      <c r="B2" t="s">
        <v>199</v>
      </c>
      <c r="D2" t="s">
        <v>197</v>
      </c>
      <c r="E2" t="s">
        <v>200</v>
      </c>
      <c r="M2" t="s">
        <v>576</v>
      </c>
      <c r="N2" s="214" t="s">
        <v>501</v>
      </c>
    </row>
    <row r="3" spans="1:14" x14ac:dyDescent="0.2">
      <c r="A3" s="214" t="s">
        <v>503</v>
      </c>
      <c r="B3" t="s">
        <v>201</v>
      </c>
      <c r="D3" s="80" t="str">
        <f>'KPI''s'!$B$3</f>
        <v>2026/27</v>
      </c>
      <c r="E3" s="80" t="e">
        <f>'KPI''s'!B27</f>
        <v>#N/A</v>
      </c>
      <c r="M3" t="s">
        <v>577</v>
      </c>
      <c r="N3" s="214" t="s">
        <v>503</v>
      </c>
    </row>
    <row r="4" spans="1:14" x14ac:dyDescent="0.2">
      <c r="A4" s="214" t="s">
        <v>504</v>
      </c>
      <c r="B4" t="s">
        <v>202</v>
      </c>
      <c r="D4" s="80" t="str">
        <f>'KPI''s'!$D$3</f>
        <v>2027/28</v>
      </c>
      <c r="E4" s="80" t="e">
        <f>'KPI''s'!D27</f>
        <v>#N/A</v>
      </c>
      <c r="M4" t="s">
        <v>578</v>
      </c>
      <c r="N4" s="214" t="s">
        <v>504</v>
      </c>
    </row>
    <row r="5" spans="1:14" x14ac:dyDescent="0.2">
      <c r="A5" s="214" t="s">
        <v>505</v>
      </c>
      <c r="B5" t="s">
        <v>203</v>
      </c>
      <c r="D5" s="80" t="str">
        <f>'KPI''s'!$F$3</f>
        <v>2028/29</v>
      </c>
      <c r="E5" s="80" t="e">
        <f>'KPI''s'!F27</f>
        <v>#N/A</v>
      </c>
      <c r="M5" t="s">
        <v>579</v>
      </c>
      <c r="N5" s="214" t="s">
        <v>505</v>
      </c>
    </row>
    <row r="6" spans="1:14" x14ac:dyDescent="0.2">
      <c r="A6" s="214" t="s">
        <v>506</v>
      </c>
      <c r="B6" t="s">
        <v>204</v>
      </c>
      <c r="E6" t="s">
        <v>205</v>
      </c>
      <c r="M6" t="s">
        <v>580</v>
      </c>
      <c r="N6" s="214" t="s">
        <v>506</v>
      </c>
    </row>
    <row r="7" spans="1:14" x14ac:dyDescent="0.2">
      <c r="A7" s="214" t="s">
        <v>507</v>
      </c>
      <c r="B7" t="s">
        <v>206</v>
      </c>
      <c r="D7" s="80" t="str">
        <f>'KPI''s'!$B$3</f>
        <v>2026/27</v>
      </c>
      <c r="E7" s="80" t="e">
        <f>'KPI''s'!B30</f>
        <v>#N/A</v>
      </c>
      <c r="M7" t="s">
        <v>581</v>
      </c>
      <c r="N7" s="214" t="s">
        <v>507</v>
      </c>
    </row>
    <row r="8" spans="1:14" x14ac:dyDescent="0.2">
      <c r="A8" s="214" t="s">
        <v>508</v>
      </c>
      <c r="B8" t="s">
        <v>207</v>
      </c>
      <c r="D8" s="80" t="str">
        <f>'KPI''s'!$D$3</f>
        <v>2027/28</v>
      </c>
      <c r="E8" s="80" t="e">
        <f>'KPI''s'!D30</f>
        <v>#N/A</v>
      </c>
      <c r="M8" t="s">
        <v>582</v>
      </c>
      <c r="N8" s="214" t="s">
        <v>508</v>
      </c>
    </row>
    <row r="9" spans="1:14" x14ac:dyDescent="0.2">
      <c r="A9" s="214" t="s">
        <v>509</v>
      </c>
      <c r="B9" t="s">
        <v>208</v>
      </c>
      <c r="D9" s="80" t="str">
        <f>'KPI''s'!$F$3</f>
        <v>2028/29</v>
      </c>
      <c r="E9" s="80" t="e">
        <f>'KPI''s'!F30</f>
        <v>#N/A</v>
      </c>
      <c r="M9" t="s">
        <v>583</v>
      </c>
      <c r="N9" s="214" t="s">
        <v>509</v>
      </c>
    </row>
    <row r="10" spans="1:14" x14ac:dyDescent="0.2">
      <c r="A10" s="214" t="s">
        <v>510</v>
      </c>
      <c r="B10" t="s">
        <v>211</v>
      </c>
      <c r="E10" t="s">
        <v>209</v>
      </c>
      <c r="F10" t="s">
        <v>210</v>
      </c>
      <c r="M10" t="s">
        <v>584</v>
      </c>
      <c r="N10" s="214" t="s">
        <v>510</v>
      </c>
    </row>
    <row r="11" spans="1:14" x14ac:dyDescent="0.2">
      <c r="A11" s="214" t="s">
        <v>511</v>
      </c>
      <c r="B11" t="s">
        <v>212</v>
      </c>
      <c r="D11" s="80" t="str">
        <f>'KPI''s'!$B$3</f>
        <v>2026/27</v>
      </c>
      <c r="E11" s="91" t="str">
        <f>'KPI''s'!B5</f>
        <v>-</v>
      </c>
      <c r="F11" s="91" t="str">
        <f>'KPI''s'!B6</f>
        <v>-</v>
      </c>
      <c r="M11" t="s">
        <v>585</v>
      </c>
      <c r="N11" s="214" t="s">
        <v>511</v>
      </c>
    </row>
    <row r="12" spans="1:14" x14ac:dyDescent="0.2">
      <c r="A12" s="214" t="s">
        <v>512</v>
      </c>
      <c r="B12" t="s">
        <v>213</v>
      </c>
      <c r="D12" s="80" t="str">
        <f>'KPI''s'!$D$3</f>
        <v>2027/28</v>
      </c>
      <c r="E12" s="91" t="str">
        <f>'KPI''s'!D5</f>
        <v>-</v>
      </c>
      <c r="F12" s="91" t="str">
        <f>'KPI''s'!D6</f>
        <v>-</v>
      </c>
      <c r="M12" t="s">
        <v>586</v>
      </c>
      <c r="N12" s="214" t="s">
        <v>512</v>
      </c>
    </row>
    <row r="13" spans="1:14" x14ac:dyDescent="0.2">
      <c r="A13" s="214" t="s">
        <v>513</v>
      </c>
      <c r="B13" t="s">
        <v>214</v>
      </c>
      <c r="D13" s="80" t="str">
        <f>'KPI''s'!$F$3</f>
        <v>2028/29</v>
      </c>
      <c r="E13" s="91" t="str">
        <f>'KPI''s'!F5</f>
        <v>-</v>
      </c>
      <c r="F13" s="91" t="str">
        <f>'KPI''s'!F6</f>
        <v>-</v>
      </c>
      <c r="M13" t="s">
        <v>587</v>
      </c>
      <c r="N13" s="214" t="s">
        <v>513</v>
      </c>
    </row>
    <row r="14" spans="1:14" x14ac:dyDescent="0.2">
      <c r="A14" s="214" t="s">
        <v>514</v>
      </c>
      <c r="B14" t="s">
        <v>216</v>
      </c>
      <c r="E14" t="s">
        <v>215</v>
      </c>
      <c r="M14" t="s">
        <v>588</v>
      </c>
      <c r="N14" s="214" t="s">
        <v>514</v>
      </c>
    </row>
    <row r="15" spans="1:14" x14ac:dyDescent="0.2">
      <c r="A15" s="214" t="s">
        <v>515</v>
      </c>
      <c r="B15" t="s">
        <v>217</v>
      </c>
      <c r="D15" s="80" t="str">
        <f>'KPI''s'!$B$3</f>
        <v>2026/27</v>
      </c>
      <c r="E15" s="91" t="str">
        <f>'KPI''s'!B6</f>
        <v>-</v>
      </c>
      <c r="M15" t="s">
        <v>589</v>
      </c>
      <c r="N15" s="214" t="s">
        <v>515</v>
      </c>
    </row>
    <row r="16" spans="1:14" x14ac:dyDescent="0.2">
      <c r="A16" s="214" t="s">
        <v>516</v>
      </c>
      <c r="B16" t="s">
        <v>225</v>
      </c>
      <c r="D16" s="80" t="str">
        <f>'KPI''s'!$D$3</f>
        <v>2027/28</v>
      </c>
      <c r="E16" s="91" t="str">
        <f>'KPI''s'!D6</f>
        <v>-</v>
      </c>
      <c r="M16" t="s">
        <v>590</v>
      </c>
      <c r="N16" s="214" t="s">
        <v>516</v>
      </c>
    </row>
    <row r="17" spans="1:14" x14ac:dyDescent="0.2">
      <c r="A17" s="214" t="s">
        <v>517</v>
      </c>
      <c r="B17" t="s">
        <v>226</v>
      </c>
      <c r="D17" s="80" t="str">
        <f>'KPI''s'!$F$3</f>
        <v>2028/29</v>
      </c>
      <c r="E17" s="91" t="str">
        <f>'KPI''s'!F6</f>
        <v>-</v>
      </c>
      <c r="M17" t="s">
        <v>591</v>
      </c>
      <c r="N17" s="214" t="s">
        <v>517</v>
      </c>
    </row>
    <row r="18" spans="1:14" x14ac:dyDescent="0.2">
      <c r="A18" s="214" t="s">
        <v>518</v>
      </c>
      <c r="B18" t="s">
        <v>227</v>
      </c>
      <c r="E18" s="78" t="s">
        <v>218</v>
      </c>
      <c r="F18" s="78" t="s">
        <v>219</v>
      </c>
      <c r="G18" s="78" t="s">
        <v>220</v>
      </c>
      <c r="H18" s="78" t="s">
        <v>221</v>
      </c>
      <c r="I18" s="78" t="s">
        <v>222</v>
      </c>
      <c r="J18" s="78" t="s">
        <v>223</v>
      </c>
      <c r="K18" s="78" t="s">
        <v>224</v>
      </c>
      <c r="M18" t="s">
        <v>592</v>
      </c>
      <c r="N18" s="214" t="s">
        <v>518</v>
      </c>
    </row>
    <row r="19" spans="1:14" x14ac:dyDescent="0.2">
      <c r="A19" s="214" t="s">
        <v>519</v>
      </c>
      <c r="B19" t="s">
        <v>228</v>
      </c>
      <c r="D19" s="80" t="str">
        <f>'KPI''s'!$B$3</f>
        <v>2026/27</v>
      </c>
      <c r="E19" s="81">
        <f>SUM('3YP'!E30:E30)</f>
        <v>0</v>
      </c>
      <c r="F19" s="81">
        <f>SUM('3YP'!E32)</f>
        <v>0</v>
      </c>
      <c r="G19" s="81">
        <f>SUM('3YP'!E33:E36)</f>
        <v>0</v>
      </c>
      <c r="H19" s="80">
        <f>SUM('3YP'!E41:E47)</f>
        <v>0</v>
      </c>
      <c r="I19" s="80">
        <f>SUM('3YP'!E48:E56)+'3YP'!E60+'3YP'!E62</f>
        <v>0</v>
      </c>
      <c r="J19" s="92">
        <f>SUM('3YP'!E67:E68)</f>
        <v>0</v>
      </c>
      <c r="K19" s="92">
        <f>'3YP'!E70-SUM('School Data'!E19:J19)</f>
        <v>0</v>
      </c>
      <c r="M19" t="s">
        <v>593</v>
      </c>
      <c r="N19" s="214" t="s">
        <v>519</v>
      </c>
    </row>
    <row r="20" spans="1:14" x14ac:dyDescent="0.2">
      <c r="A20" s="214" t="s">
        <v>520</v>
      </c>
      <c r="B20" t="s">
        <v>230</v>
      </c>
      <c r="D20" s="80" t="str">
        <f>'KPI''s'!$D$3</f>
        <v>2027/28</v>
      </c>
      <c r="E20" s="81">
        <f>SUM('3YP'!G30:G30)</f>
        <v>0</v>
      </c>
      <c r="F20" s="81">
        <f>SUM('3YP'!G32)</f>
        <v>0</v>
      </c>
      <c r="G20" s="81">
        <f>SUM('3YP'!G33:G36)</f>
        <v>0</v>
      </c>
      <c r="H20" s="80">
        <f>SUM('3YP'!G41:G47)</f>
        <v>0</v>
      </c>
      <c r="I20" s="80">
        <f>SUM('3YP'!G48:G56)+'3YP'!G60+'3YP'!G62</f>
        <v>0</v>
      </c>
      <c r="J20" s="92">
        <f>SUM('3YP'!G67:G68)</f>
        <v>0</v>
      </c>
      <c r="K20" s="92">
        <f>'3YP'!G70-SUM('School Data'!E20:J20)</f>
        <v>0</v>
      </c>
      <c r="M20" t="s">
        <v>594</v>
      </c>
      <c r="N20" s="214" t="s">
        <v>520</v>
      </c>
    </row>
    <row r="21" spans="1:14" x14ac:dyDescent="0.2">
      <c r="A21" s="214" t="s">
        <v>521</v>
      </c>
      <c r="B21" t="s">
        <v>231</v>
      </c>
      <c r="D21" s="80" t="str">
        <f>'KPI''s'!$F$3</f>
        <v>2028/29</v>
      </c>
      <c r="E21" s="80">
        <f>SUM('3YP'!I30:I30)</f>
        <v>0</v>
      </c>
      <c r="F21" s="80">
        <f>SUM('3YP'!I32)</f>
        <v>0</v>
      </c>
      <c r="G21" s="81">
        <f>SUM('3YP'!I33:I36)</f>
        <v>0</v>
      </c>
      <c r="H21" s="80">
        <f>SUM('3YP'!I41:I47)</f>
        <v>0</v>
      </c>
      <c r="I21" s="80">
        <f>SUM('3YP'!I48:I56)+'3YP'!I60+'3YP'!I62</f>
        <v>0</v>
      </c>
      <c r="J21" s="92">
        <f>SUM('3YP'!I67:I68)</f>
        <v>0</v>
      </c>
      <c r="K21" s="92">
        <f>'3YP'!I70-SUM('School Data'!E21:J21)</f>
        <v>0</v>
      </c>
      <c r="M21" t="s">
        <v>595</v>
      </c>
      <c r="N21" s="214" t="s">
        <v>521</v>
      </c>
    </row>
    <row r="22" spans="1:14" x14ac:dyDescent="0.2">
      <c r="A22" s="214" t="s">
        <v>522</v>
      </c>
      <c r="B22" t="s">
        <v>232</v>
      </c>
      <c r="E22" t="s">
        <v>229</v>
      </c>
      <c r="F22" t="s">
        <v>218</v>
      </c>
      <c r="G22" s="81" t="s">
        <v>220</v>
      </c>
      <c r="M22" t="s">
        <v>596</v>
      </c>
      <c r="N22" s="214" t="s">
        <v>522</v>
      </c>
    </row>
    <row r="23" spans="1:14" x14ac:dyDescent="0.2">
      <c r="A23" s="214" t="s">
        <v>573</v>
      </c>
      <c r="B23" t="s">
        <v>233</v>
      </c>
      <c r="D23" s="80" t="str">
        <f>'KPI''s'!$B$3</f>
        <v>2026/27</v>
      </c>
      <c r="E23">
        <f>'Add''l Data'!R7</f>
        <v>0</v>
      </c>
      <c r="F23">
        <f>SUM('Add''l Data'!B25+'Add''l Data'!E25)</f>
        <v>0</v>
      </c>
      <c r="G23">
        <f>'Add''l Data'!J25-'School Data'!F23</f>
        <v>0</v>
      </c>
      <c r="M23" t="s">
        <v>597</v>
      </c>
      <c r="N23" s="214" t="s">
        <v>573</v>
      </c>
    </row>
    <row r="24" spans="1:14" x14ac:dyDescent="0.2">
      <c r="A24" s="214" t="s">
        <v>524</v>
      </c>
      <c r="B24" t="s">
        <v>234</v>
      </c>
      <c r="D24" s="80" t="str">
        <f>'KPI''s'!$D$3</f>
        <v>2027/28</v>
      </c>
      <c r="E24">
        <f>'Add''l Data'!R8</f>
        <v>0</v>
      </c>
      <c r="F24">
        <f>'Add''l Data'!B26+'Add''l Data'!E26</f>
        <v>0</v>
      </c>
      <c r="G24">
        <f>'Add''l Data'!J26-'School Data'!F24</f>
        <v>0</v>
      </c>
      <c r="M24" t="s">
        <v>598</v>
      </c>
      <c r="N24" s="214" t="s">
        <v>524</v>
      </c>
    </row>
    <row r="25" spans="1:14" x14ac:dyDescent="0.2">
      <c r="A25" s="214" t="s">
        <v>525</v>
      </c>
      <c r="B25" t="s">
        <v>235</v>
      </c>
      <c r="D25" s="80" t="str">
        <f>'KPI''s'!$F$3</f>
        <v>2028/29</v>
      </c>
      <c r="E25">
        <f>'Add''l Data'!R9</f>
        <v>0</v>
      </c>
      <c r="F25">
        <f>'Add''l Data'!B27+'Add''l Data'!E27</f>
        <v>0</v>
      </c>
      <c r="G25">
        <f>'Add''l Data'!J27-'School Data'!F25</f>
        <v>0</v>
      </c>
      <c r="M25" t="s">
        <v>599</v>
      </c>
      <c r="N25" s="214" t="s">
        <v>525</v>
      </c>
    </row>
    <row r="26" spans="1:14" x14ac:dyDescent="0.2">
      <c r="A26" s="214" t="s">
        <v>526</v>
      </c>
      <c r="B26" t="s">
        <v>236</v>
      </c>
      <c r="M26" t="s">
        <v>600</v>
      </c>
      <c r="N26" s="214" t="s">
        <v>526</v>
      </c>
    </row>
    <row r="27" spans="1:14" x14ac:dyDescent="0.2">
      <c r="A27" s="214" t="s">
        <v>527</v>
      </c>
      <c r="B27" t="s">
        <v>237</v>
      </c>
      <c r="M27" t="s">
        <v>601</v>
      </c>
      <c r="N27" s="214" t="s">
        <v>527</v>
      </c>
    </row>
    <row r="28" spans="1:14" x14ac:dyDescent="0.2">
      <c r="A28" s="214" t="s">
        <v>566</v>
      </c>
      <c r="B28" t="s">
        <v>238</v>
      </c>
      <c r="M28" t="s">
        <v>602</v>
      </c>
      <c r="N28" s="214" t="s">
        <v>566</v>
      </c>
    </row>
    <row r="29" spans="1:14" x14ac:dyDescent="0.2">
      <c r="A29" s="214" t="s">
        <v>528</v>
      </c>
      <c r="B29" t="s">
        <v>239</v>
      </c>
      <c r="M29" t="s">
        <v>603</v>
      </c>
      <c r="N29" s="214" t="s">
        <v>528</v>
      </c>
    </row>
    <row r="30" spans="1:14" x14ac:dyDescent="0.2">
      <c r="A30" s="214" t="s">
        <v>529</v>
      </c>
      <c r="B30" t="s">
        <v>240</v>
      </c>
      <c r="M30" t="s">
        <v>604</v>
      </c>
      <c r="N30" s="214" t="s">
        <v>529</v>
      </c>
    </row>
    <row r="31" spans="1:14" x14ac:dyDescent="0.2">
      <c r="A31" s="214" t="s">
        <v>606</v>
      </c>
      <c r="B31" t="s">
        <v>241</v>
      </c>
      <c r="M31" t="s">
        <v>605</v>
      </c>
      <c r="N31" s="214" t="s">
        <v>606</v>
      </c>
    </row>
    <row r="32" spans="1:14" x14ac:dyDescent="0.2">
      <c r="A32" s="214" t="s">
        <v>530</v>
      </c>
      <c r="B32" t="s">
        <v>242</v>
      </c>
      <c r="M32" t="s">
        <v>607</v>
      </c>
      <c r="N32" s="214" t="s">
        <v>530</v>
      </c>
    </row>
    <row r="33" spans="1:14" x14ac:dyDescent="0.2">
      <c r="A33" s="214" t="s">
        <v>531</v>
      </c>
      <c r="B33" t="s">
        <v>243</v>
      </c>
      <c r="M33" t="s">
        <v>608</v>
      </c>
      <c r="N33" s="214" t="s">
        <v>531</v>
      </c>
    </row>
    <row r="34" spans="1:14" x14ac:dyDescent="0.2">
      <c r="A34" s="214" t="s">
        <v>532</v>
      </c>
      <c r="B34" t="s">
        <v>244</v>
      </c>
      <c r="M34" t="s">
        <v>609</v>
      </c>
      <c r="N34" s="214" t="s">
        <v>532</v>
      </c>
    </row>
    <row r="35" spans="1:14" x14ac:dyDescent="0.2">
      <c r="A35" s="214" t="s">
        <v>533</v>
      </c>
      <c r="B35" t="s">
        <v>245</v>
      </c>
      <c r="M35" t="s">
        <v>610</v>
      </c>
      <c r="N35" s="214" t="s">
        <v>533</v>
      </c>
    </row>
    <row r="36" spans="1:14" x14ac:dyDescent="0.2">
      <c r="A36" s="214" t="s">
        <v>534</v>
      </c>
      <c r="B36" t="s">
        <v>246</v>
      </c>
      <c r="M36" t="s">
        <v>611</v>
      </c>
      <c r="N36" s="214" t="s">
        <v>534</v>
      </c>
    </row>
    <row r="37" spans="1:14" x14ac:dyDescent="0.2">
      <c r="A37" s="214" t="s">
        <v>535</v>
      </c>
      <c r="B37" t="s">
        <v>247</v>
      </c>
      <c r="M37" t="s">
        <v>612</v>
      </c>
      <c r="N37" s="214" t="s">
        <v>535</v>
      </c>
    </row>
    <row r="38" spans="1:14" x14ac:dyDescent="0.2">
      <c r="A38" s="214" t="s">
        <v>536</v>
      </c>
      <c r="B38" t="s">
        <v>248</v>
      </c>
      <c r="M38" t="s">
        <v>613</v>
      </c>
      <c r="N38" s="214" t="s">
        <v>536</v>
      </c>
    </row>
    <row r="39" spans="1:14" x14ac:dyDescent="0.2">
      <c r="A39" s="214" t="s">
        <v>553</v>
      </c>
      <c r="B39" t="s">
        <v>249</v>
      </c>
      <c r="M39" t="s">
        <v>614</v>
      </c>
      <c r="N39" s="214" t="s">
        <v>553</v>
      </c>
    </row>
    <row r="40" spans="1:14" x14ac:dyDescent="0.2">
      <c r="A40" s="214" t="s">
        <v>558</v>
      </c>
      <c r="B40" t="s">
        <v>250</v>
      </c>
      <c r="M40" t="s">
        <v>615</v>
      </c>
      <c r="N40" s="214" t="s">
        <v>558</v>
      </c>
    </row>
    <row r="41" spans="1:14" x14ac:dyDescent="0.2">
      <c r="A41" s="214" t="s">
        <v>559</v>
      </c>
      <c r="B41" t="s">
        <v>251</v>
      </c>
      <c r="M41" t="s">
        <v>616</v>
      </c>
      <c r="N41" s="214" t="s">
        <v>559</v>
      </c>
    </row>
    <row r="42" spans="1:14" x14ac:dyDescent="0.2">
      <c r="A42" s="214" t="s">
        <v>537</v>
      </c>
      <c r="B42" t="s">
        <v>252</v>
      </c>
      <c r="M42" t="s">
        <v>617</v>
      </c>
      <c r="N42" s="214" t="s">
        <v>537</v>
      </c>
    </row>
    <row r="43" spans="1:14" x14ac:dyDescent="0.2">
      <c r="A43" s="214" t="s">
        <v>538</v>
      </c>
      <c r="B43" t="s">
        <v>253</v>
      </c>
      <c r="M43" t="s">
        <v>618</v>
      </c>
      <c r="N43" s="214" t="s">
        <v>538</v>
      </c>
    </row>
    <row r="44" spans="1:14" x14ac:dyDescent="0.2">
      <c r="A44" s="214" t="s">
        <v>560</v>
      </c>
      <c r="B44" t="s">
        <v>254</v>
      </c>
      <c r="M44" t="s">
        <v>619</v>
      </c>
      <c r="N44" s="214" t="s">
        <v>560</v>
      </c>
    </row>
    <row r="45" spans="1:14" x14ac:dyDescent="0.2">
      <c r="A45" s="214" t="s">
        <v>539</v>
      </c>
      <c r="B45" t="s">
        <v>255</v>
      </c>
      <c r="M45" t="s">
        <v>620</v>
      </c>
      <c r="N45" s="214" t="s">
        <v>539</v>
      </c>
    </row>
    <row r="46" spans="1:14" x14ac:dyDescent="0.2">
      <c r="A46" s="214" t="s">
        <v>540</v>
      </c>
      <c r="B46" t="s">
        <v>256</v>
      </c>
      <c r="M46" t="s">
        <v>621</v>
      </c>
      <c r="N46" s="214" t="s">
        <v>540</v>
      </c>
    </row>
    <row r="47" spans="1:14" x14ac:dyDescent="0.2">
      <c r="A47" s="214" t="s">
        <v>541</v>
      </c>
      <c r="B47" t="s">
        <v>257</v>
      </c>
      <c r="M47" t="s">
        <v>622</v>
      </c>
      <c r="N47" s="214" t="s">
        <v>541</v>
      </c>
    </row>
    <row r="48" spans="1:14" x14ac:dyDescent="0.2">
      <c r="A48" s="214" t="s">
        <v>542</v>
      </c>
      <c r="B48" t="s">
        <v>258</v>
      </c>
      <c r="M48" t="s">
        <v>623</v>
      </c>
      <c r="N48" s="214" t="s">
        <v>542</v>
      </c>
    </row>
    <row r="49" spans="1:14" x14ac:dyDescent="0.2">
      <c r="A49" s="214" t="s">
        <v>259</v>
      </c>
      <c r="B49" t="s">
        <v>260</v>
      </c>
      <c r="M49" t="s">
        <v>624</v>
      </c>
      <c r="N49" s="214" t="s">
        <v>259</v>
      </c>
    </row>
    <row r="50" spans="1:14" x14ac:dyDescent="0.2">
      <c r="A50" s="214" t="s">
        <v>543</v>
      </c>
      <c r="B50" t="s">
        <v>261</v>
      </c>
      <c r="M50" t="s">
        <v>625</v>
      </c>
      <c r="N50" s="214" t="s">
        <v>543</v>
      </c>
    </row>
    <row r="51" spans="1:14" x14ac:dyDescent="0.2">
      <c r="A51" s="214" t="s">
        <v>554</v>
      </c>
      <c r="B51" t="s">
        <v>262</v>
      </c>
      <c r="M51" t="s">
        <v>626</v>
      </c>
      <c r="N51" s="214" t="s">
        <v>554</v>
      </c>
    </row>
    <row r="52" spans="1:14" x14ac:dyDescent="0.2">
      <c r="A52" s="214" t="s">
        <v>544</v>
      </c>
      <c r="B52" t="s">
        <v>263</v>
      </c>
      <c r="M52" t="s">
        <v>627</v>
      </c>
      <c r="N52" s="214" t="s">
        <v>544</v>
      </c>
    </row>
    <row r="53" spans="1:14" x14ac:dyDescent="0.2">
      <c r="A53" s="214" t="s">
        <v>264</v>
      </c>
      <c r="B53" t="s">
        <v>265</v>
      </c>
      <c r="M53" t="s">
        <v>628</v>
      </c>
      <c r="N53" s="214" t="s">
        <v>264</v>
      </c>
    </row>
    <row r="54" spans="1:14" x14ac:dyDescent="0.2">
      <c r="A54" s="214" t="s">
        <v>545</v>
      </c>
      <c r="B54" t="s">
        <v>266</v>
      </c>
      <c r="M54" t="s">
        <v>629</v>
      </c>
      <c r="N54" s="214" t="s">
        <v>545</v>
      </c>
    </row>
    <row r="55" spans="1:14" x14ac:dyDescent="0.2">
      <c r="A55" s="214" t="s">
        <v>546</v>
      </c>
      <c r="B55" t="s">
        <v>267</v>
      </c>
      <c r="M55" t="s">
        <v>630</v>
      </c>
      <c r="N55" s="214" t="s">
        <v>546</v>
      </c>
    </row>
    <row r="56" spans="1:14" x14ac:dyDescent="0.2">
      <c r="A56" s="214" t="s">
        <v>547</v>
      </c>
      <c r="B56" t="s">
        <v>269</v>
      </c>
      <c r="M56" t="s">
        <v>631</v>
      </c>
      <c r="N56" s="214" t="s">
        <v>547</v>
      </c>
    </row>
    <row r="57" spans="1:14" x14ac:dyDescent="0.2">
      <c r="A57" s="214" t="s">
        <v>562</v>
      </c>
      <c r="B57" t="s">
        <v>270</v>
      </c>
      <c r="M57" t="s">
        <v>632</v>
      </c>
      <c r="N57" s="214" t="s">
        <v>562</v>
      </c>
    </row>
    <row r="58" spans="1:14" x14ac:dyDescent="0.2">
      <c r="A58" s="214" t="s">
        <v>548</v>
      </c>
      <c r="B58" t="s">
        <v>271</v>
      </c>
      <c r="M58" t="s">
        <v>633</v>
      </c>
      <c r="N58" s="214" t="s">
        <v>548</v>
      </c>
    </row>
    <row r="59" spans="1:14" x14ac:dyDescent="0.2">
      <c r="A59" s="214" t="s">
        <v>549</v>
      </c>
      <c r="B59" t="s">
        <v>272</v>
      </c>
      <c r="M59" t="s">
        <v>634</v>
      </c>
      <c r="N59" s="214" t="s">
        <v>549</v>
      </c>
    </row>
    <row r="60" spans="1:14" x14ac:dyDescent="0.2">
      <c r="A60" s="214" t="s">
        <v>574</v>
      </c>
      <c r="B60" t="s">
        <v>268</v>
      </c>
      <c r="M60" t="s">
        <v>635</v>
      </c>
      <c r="N60" s="214" t="s">
        <v>574</v>
      </c>
    </row>
    <row r="61" spans="1:14" x14ac:dyDescent="0.2">
      <c r="A61" s="214" t="s">
        <v>550</v>
      </c>
      <c r="B61" t="s">
        <v>273</v>
      </c>
      <c r="M61" t="s">
        <v>636</v>
      </c>
      <c r="N61" s="214" t="s">
        <v>550</v>
      </c>
    </row>
  </sheetData>
  <sheetProtection algorithmName="SHA-512" hashValue="JYc4dDBju3xdSJjgjtZcKZGkm1ITjC6NNRSBL1aVop+02GR/QSMyWEC4x079nHzqsjkWhnanUKMxtWb28qHGSg==" saltValue="c9FiocJ4lHoif8YhLu7k/A=="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CDFF8-A255-493C-8378-2B32674EAC59}">
  <sheetPr>
    <tabColor rgb="FFFFFF00"/>
  </sheetPr>
  <dimension ref="A1:U89"/>
  <sheetViews>
    <sheetView workbookViewId="0">
      <pane xSplit="3" ySplit="3" topLeftCell="D12" activePane="bottomRight" state="frozen"/>
      <selection pane="topRight" activeCell="D1" sqref="D1"/>
      <selection pane="bottomLeft" activeCell="A4" sqref="A4"/>
      <selection pane="bottomRight" activeCell="F32" sqref="F32"/>
    </sheetView>
  </sheetViews>
  <sheetFormatPr defaultColWidth="7.109375" defaultRowHeight="15" x14ac:dyDescent="0.25"/>
  <cols>
    <col min="1" max="1" width="7.109375" style="335"/>
    <col min="2" max="2" width="28.21875" style="335" bestFit="1" customWidth="1"/>
    <col min="3" max="3" width="5.88671875" style="335" bestFit="1" customWidth="1"/>
    <col min="4" max="4" width="15.33203125" style="335" customWidth="1"/>
    <col min="5" max="5" width="17.77734375" style="335" customWidth="1"/>
    <col min="6" max="6" width="17.88671875" style="335" customWidth="1"/>
    <col min="7" max="8" width="15.77734375" style="335" customWidth="1"/>
    <col min="9" max="9" width="15.5546875" style="336" customWidth="1"/>
    <col min="10" max="11" width="1.5546875" style="335" customWidth="1"/>
    <col min="12" max="12" width="7.109375" style="337"/>
    <col min="13" max="13" width="11.109375" style="338" bestFit="1" customWidth="1"/>
    <col min="14" max="14" width="10.109375" style="338" bestFit="1" customWidth="1"/>
    <col min="15" max="16" width="7.109375" style="335"/>
    <col min="17" max="17" width="10.5546875" style="335" bestFit="1" customWidth="1"/>
    <col min="18" max="18" width="9" style="335" bestFit="1" customWidth="1"/>
    <col min="19" max="19" width="7.109375" style="335"/>
    <col min="20" max="20" width="10.44140625" style="335" bestFit="1" customWidth="1"/>
    <col min="21" max="21" width="8.33203125" style="335" bestFit="1" customWidth="1"/>
    <col min="22" max="16384" width="7.109375" style="335"/>
  </cols>
  <sheetData>
    <row r="1" spans="1:21" ht="15.75" x14ac:dyDescent="0.25">
      <c r="B1" s="336" t="s">
        <v>660</v>
      </c>
      <c r="T1" s="445" t="s">
        <v>661</v>
      </c>
      <c r="U1" s="446"/>
    </row>
    <row r="2" spans="1:21" s="339" customFormat="1" ht="60" x14ac:dyDescent="0.25">
      <c r="B2" s="340" t="s">
        <v>490</v>
      </c>
      <c r="C2" s="341" t="s">
        <v>491</v>
      </c>
      <c r="D2" s="341" t="s">
        <v>492</v>
      </c>
      <c r="E2" s="341" t="s">
        <v>493</v>
      </c>
      <c r="F2" s="341" t="s">
        <v>494</v>
      </c>
      <c r="G2" s="341" t="s">
        <v>495</v>
      </c>
      <c r="H2" s="341" t="s">
        <v>496</v>
      </c>
      <c r="I2" s="340" t="s">
        <v>497</v>
      </c>
      <c r="J2" s="335"/>
      <c r="K2" s="335"/>
      <c r="M2" s="342" t="s">
        <v>498</v>
      </c>
      <c r="N2" s="342" t="s">
        <v>499</v>
      </c>
      <c r="T2" s="342" t="s">
        <v>498</v>
      </c>
      <c r="U2" s="342" t="s">
        <v>499</v>
      </c>
    </row>
    <row r="3" spans="1:21" ht="15.75" thickBot="1" x14ac:dyDescent="0.3">
      <c r="B3" s="343" t="s">
        <v>500</v>
      </c>
      <c r="C3" s="340"/>
      <c r="D3" s="344"/>
      <c r="E3" s="344"/>
      <c r="F3" s="344"/>
      <c r="G3" s="344"/>
      <c r="H3" s="344"/>
      <c r="I3" s="345"/>
    </row>
    <row r="4" spans="1:21" ht="15.75" customHeight="1" thickBot="1" x14ac:dyDescent="0.3">
      <c r="A4" s="335" t="s">
        <v>199</v>
      </c>
      <c r="B4" s="346" t="s">
        <v>501</v>
      </c>
      <c r="C4" s="347" t="s">
        <v>199</v>
      </c>
      <c r="D4" s="348">
        <v>-114385.39</v>
      </c>
      <c r="E4" s="348">
        <v>-1.3096723705530167E-10</v>
      </c>
      <c r="F4" s="348">
        <v>0</v>
      </c>
      <c r="G4" s="348">
        <v>0</v>
      </c>
      <c r="H4" s="349">
        <v>0</v>
      </c>
      <c r="I4" s="345">
        <v>-114385.39000000013</v>
      </c>
      <c r="L4" s="337" t="s">
        <v>502</v>
      </c>
      <c r="M4" s="338">
        <v>-114385.39000000013</v>
      </c>
      <c r="N4" s="338">
        <v>0</v>
      </c>
      <c r="Q4" s="335">
        <v>-114385.39</v>
      </c>
      <c r="R4" s="335">
        <v>-1.3096723705530167E-10</v>
      </c>
      <c r="T4" s="335">
        <v>-114385.39</v>
      </c>
      <c r="U4" s="335">
        <v>0</v>
      </c>
    </row>
    <row r="5" spans="1:21" ht="15.75" customHeight="1" thickBot="1" x14ac:dyDescent="0.3">
      <c r="A5" s="335" t="s">
        <v>201</v>
      </c>
      <c r="B5" s="346" t="s">
        <v>503</v>
      </c>
      <c r="C5" s="347" t="s">
        <v>201</v>
      </c>
      <c r="D5" s="348">
        <v>0</v>
      </c>
      <c r="E5" s="348">
        <v>30880.85999999987</v>
      </c>
      <c r="F5" s="348">
        <v>0</v>
      </c>
      <c r="G5" s="348">
        <v>5148.6900000000005</v>
      </c>
      <c r="H5" s="349">
        <v>0</v>
      </c>
      <c r="I5" s="345">
        <v>36029.549999999872</v>
      </c>
      <c r="L5" s="337" t="s">
        <v>502</v>
      </c>
      <c r="M5" s="338">
        <v>30880.85999999987</v>
      </c>
      <c r="N5" s="338">
        <v>5148.6900000000005</v>
      </c>
      <c r="Q5" s="335">
        <v>36029.550000000003</v>
      </c>
      <c r="R5" s="335">
        <v>-1.3096723705530167E-10</v>
      </c>
      <c r="T5" s="335">
        <v>30880.86</v>
      </c>
      <c r="U5" s="335">
        <v>5148.6899999999996</v>
      </c>
    </row>
    <row r="6" spans="1:21" ht="15.75" customHeight="1" thickBot="1" x14ac:dyDescent="0.3">
      <c r="A6" s="335" t="s">
        <v>202</v>
      </c>
      <c r="B6" s="346" t="s">
        <v>504</v>
      </c>
      <c r="C6" s="347" t="s">
        <v>202</v>
      </c>
      <c r="D6" s="348">
        <v>0</v>
      </c>
      <c r="E6" s="348">
        <v>285483.04000000004</v>
      </c>
      <c r="F6" s="348">
        <v>422.19000000000233</v>
      </c>
      <c r="G6" s="348">
        <v>0</v>
      </c>
      <c r="H6" s="349">
        <v>0</v>
      </c>
      <c r="I6" s="345">
        <v>285905.23000000004</v>
      </c>
      <c r="L6" s="337" t="s">
        <v>502</v>
      </c>
      <c r="M6" s="338">
        <v>285483.04000000004</v>
      </c>
      <c r="N6" s="338">
        <v>422.19000000000233</v>
      </c>
      <c r="Q6" s="335">
        <v>285905.23</v>
      </c>
      <c r="R6" s="335">
        <v>0</v>
      </c>
      <c r="T6" s="335">
        <v>285483.03999999998</v>
      </c>
      <c r="U6" s="335">
        <v>422.19</v>
      </c>
    </row>
    <row r="7" spans="1:21" ht="15.75" customHeight="1" thickBot="1" x14ac:dyDescent="0.3">
      <c r="A7" s="335" t="s">
        <v>203</v>
      </c>
      <c r="B7" s="346" t="s">
        <v>505</v>
      </c>
      <c r="C7" s="347" t="s">
        <v>203</v>
      </c>
      <c r="D7" s="348">
        <v>0</v>
      </c>
      <c r="E7" s="348">
        <v>65168.930000000051</v>
      </c>
      <c r="F7" s="348">
        <v>0</v>
      </c>
      <c r="G7" s="348">
        <v>0</v>
      </c>
      <c r="H7" s="348">
        <v>0</v>
      </c>
      <c r="I7" s="345">
        <v>65168.930000000051</v>
      </c>
      <c r="L7" s="337" t="s">
        <v>502</v>
      </c>
      <c r="M7" s="338">
        <v>65168.930000000051</v>
      </c>
      <c r="N7" s="338">
        <v>0</v>
      </c>
      <c r="Q7" s="335">
        <v>65168.93</v>
      </c>
      <c r="R7" s="335">
        <v>0</v>
      </c>
      <c r="T7" s="335">
        <v>65168.93</v>
      </c>
      <c r="U7" s="335">
        <v>0</v>
      </c>
    </row>
    <row r="8" spans="1:21" ht="15.75" customHeight="1" thickBot="1" x14ac:dyDescent="0.3">
      <c r="A8" s="335" t="s">
        <v>204</v>
      </c>
      <c r="B8" s="346" t="s">
        <v>506</v>
      </c>
      <c r="C8" s="347" t="s">
        <v>204</v>
      </c>
      <c r="D8" s="348">
        <v>0</v>
      </c>
      <c r="E8" s="348">
        <v>532577.22</v>
      </c>
      <c r="F8" s="348">
        <v>14726.230000000003</v>
      </c>
      <c r="G8" s="348">
        <v>0</v>
      </c>
      <c r="H8" s="349">
        <v>0</v>
      </c>
      <c r="I8" s="345">
        <v>547303.44999999995</v>
      </c>
      <c r="L8" s="337" t="s">
        <v>502</v>
      </c>
      <c r="M8" s="338">
        <v>532577.22</v>
      </c>
      <c r="N8" s="338">
        <v>14726.230000000003</v>
      </c>
      <c r="Q8" s="335">
        <v>547303.44999999995</v>
      </c>
      <c r="R8" s="335">
        <v>0</v>
      </c>
      <c r="T8" s="335">
        <v>532577.22</v>
      </c>
      <c r="U8" s="335">
        <v>14726.23</v>
      </c>
    </row>
    <row r="9" spans="1:21" ht="15.75" customHeight="1" thickBot="1" x14ac:dyDescent="0.3">
      <c r="A9" s="335" t="s">
        <v>662</v>
      </c>
      <c r="B9" s="346" t="s">
        <v>507</v>
      </c>
      <c r="C9" s="347" t="s">
        <v>206</v>
      </c>
      <c r="D9" s="348">
        <v>0</v>
      </c>
      <c r="E9" s="348">
        <v>154146.22999999998</v>
      </c>
      <c r="F9" s="348">
        <v>23723.87000000001</v>
      </c>
      <c r="G9" s="348">
        <v>20041.440000000002</v>
      </c>
      <c r="H9" s="349">
        <v>0</v>
      </c>
      <c r="I9" s="345">
        <v>197911.53999999998</v>
      </c>
      <c r="L9" s="337" t="s">
        <v>502</v>
      </c>
      <c r="M9" s="338">
        <v>154146.22999999998</v>
      </c>
      <c r="N9" s="338">
        <v>43765.310000000012</v>
      </c>
      <c r="Q9" s="335">
        <v>197911.54</v>
      </c>
      <c r="R9" s="335">
        <v>0</v>
      </c>
      <c r="T9" s="335">
        <v>154146.23000000001</v>
      </c>
      <c r="U9" s="335">
        <v>43765.31</v>
      </c>
    </row>
    <row r="10" spans="1:21" ht="15.75" customHeight="1" thickBot="1" x14ac:dyDescent="0.3">
      <c r="A10" s="335" t="s">
        <v>207</v>
      </c>
      <c r="B10" s="346" t="s">
        <v>508</v>
      </c>
      <c r="C10" s="347" t="s">
        <v>207</v>
      </c>
      <c r="D10" s="348">
        <v>7738.22</v>
      </c>
      <c r="E10" s="348">
        <v>174687.32000000004</v>
      </c>
      <c r="F10" s="348">
        <v>0</v>
      </c>
      <c r="G10" s="348">
        <v>0</v>
      </c>
      <c r="H10" s="349">
        <v>0</v>
      </c>
      <c r="I10" s="345">
        <v>182425.54000000004</v>
      </c>
      <c r="L10" s="337" t="s">
        <v>502</v>
      </c>
      <c r="M10" s="338">
        <v>182425.54000000004</v>
      </c>
      <c r="N10" s="338">
        <v>0</v>
      </c>
      <c r="Q10" s="335">
        <v>182425.54</v>
      </c>
      <c r="R10" s="335">
        <v>0</v>
      </c>
      <c r="T10" s="335">
        <v>182425.54</v>
      </c>
      <c r="U10" s="335">
        <v>0</v>
      </c>
    </row>
    <row r="11" spans="1:21" ht="15.75" customHeight="1" thickBot="1" x14ac:dyDescent="0.3">
      <c r="A11" s="335" t="s">
        <v>208</v>
      </c>
      <c r="B11" s="346" t="s">
        <v>509</v>
      </c>
      <c r="C11" s="347" t="s">
        <v>208</v>
      </c>
      <c r="D11" s="348">
        <v>0</v>
      </c>
      <c r="E11" s="348">
        <v>161982.2200000002</v>
      </c>
      <c r="F11" s="348">
        <v>0</v>
      </c>
      <c r="G11" s="348">
        <v>0</v>
      </c>
      <c r="H11" s="349">
        <v>0</v>
      </c>
      <c r="I11" s="345">
        <v>161982.2200000002</v>
      </c>
      <c r="L11" s="337" t="s">
        <v>502</v>
      </c>
      <c r="M11" s="338">
        <v>161982.2200000002</v>
      </c>
      <c r="N11" s="338">
        <v>0</v>
      </c>
      <c r="Q11" s="335">
        <v>161982.22</v>
      </c>
      <c r="R11" s="335">
        <v>0</v>
      </c>
      <c r="T11" s="335">
        <v>161982.22</v>
      </c>
      <c r="U11" s="335">
        <v>0</v>
      </c>
    </row>
    <row r="12" spans="1:21" ht="15.75" customHeight="1" thickBot="1" x14ac:dyDescent="0.3">
      <c r="A12" s="335" t="s">
        <v>211</v>
      </c>
      <c r="B12" s="346" t="s">
        <v>510</v>
      </c>
      <c r="C12" s="347" t="s">
        <v>211</v>
      </c>
      <c r="D12" s="348">
        <v>0</v>
      </c>
      <c r="E12" s="348">
        <v>312549.9700000002</v>
      </c>
      <c r="F12" s="348">
        <v>0</v>
      </c>
      <c r="G12" s="348">
        <v>0</v>
      </c>
      <c r="H12" s="349">
        <v>76405.170000000013</v>
      </c>
      <c r="I12" s="345">
        <v>388955.14000000025</v>
      </c>
      <c r="L12" s="337" t="s">
        <v>502</v>
      </c>
      <c r="M12" s="338">
        <v>388955.14000000025</v>
      </c>
      <c r="N12" s="338">
        <v>0</v>
      </c>
      <c r="Q12" s="335">
        <v>388955.14</v>
      </c>
      <c r="R12" s="335">
        <v>0</v>
      </c>
      <c r="T12" s="335">
        <v>388955.14</v>
      </c>
      <c r="U12" s="335">
        <v>0</v>
      </c>
    </row>
    <row r="13" spans="1:21" ht="15.75" customHeight="1" thickBot="1" x14ac:dyDescent="0.3">
      <c r="A13" s="335" t="s">
        <v>212</v>
      </c>
      <c r="B13" s="346" t="s">
        <v>511</v>
      </c>
      <c r="C13" s="347" t="s">
        <v>212</v>
      </c>
      <c r="D13" s="348">
        <v>-821.64000000001397</v>
      </c>
      <c r="E13" s="348">
        <v>0</v>
      </c>
      <c r="F13" s="348">
        <v>56011.649999999994</v>
      </c>
      <c r="G13" s="348">
        <v>0</v>
      </c>
      <c r="H13" s="349">
        <v>0</v>
      </c>
      <c r="I13" s="345">
        <v>55190.00999999998</v>
      </c>
      <c r="L13" s="337" t="s">
        <v>502</v>
      </c>
      <c r="M13" s="338">
        <v>-821.64000000001397</v>
      </c>
      <c r="N13" s="338">
        <v>56011.649999999994</v>
      </c>
      <c r="Q13" s="335">
        <v>55190.01</v>
      </c>
      <c r="R13" s="335">
        <v>0</v>
      </c>
      <c r="T13" s="335">
        <v>-821.64</v>
      </c>
      <c r="U13" s="335">
        <v>56011.65</v>
      </c>
    </row>
    <row r="14" spans="1:21" ht="15.75" customHeight="1" thickBot="1" x14ac:dyDescent="0.3">
      <c r="A14" s="335" t="s">
        <v>213</v>
      </c>
      <c r="B14" s="346" t="s">
        <v>512</v>
      </c>
      <c r="C14" s="347" t="s">
        <v>213</v>
      </c>
      <c r="D14" s="348">
        <v>0</v>
      </c>
      <c r="E14" s="348">
        <v>4787.8100000000559</v>
      </c>
      <c r="F14" s="348">
        <v>286.71999999999935</v>
      </c>
      <c r="G14" s="348">
        <v>3528.2099999999991</v>
      </c>
      <c r="H14" s="349">
        <v>0</v>
      </c>
      <c r="I14" s="345">
        <v>8602.7400000000544</v>
      </c>
      <c r="L14" s="337" t="s">
        <v>502</v>
      </c>
      <c r="M14" s="338">
        <v>4787.8100000000559</v>
      </c>
      <c r="N14" s="338">
        <v>3814.9299999999985</v>
      </c>
      <c r="Q14" s="335">
        <v>8602.74</v>
      </c>
      <c r="R14" s="335">
        <v>5.4569682106375694E-11</v>
      </c>
      <c r="T14" s="335">
        <v>4787.8100000000004</v>
      </c>
      <c r="U14" s="335">
        <v>3814.93</v>
      </c>
    </row>
    <row r="15" spans="1:21" ht="15.75" customHeight="1" thickBot="1" x14ac:dyDescent="0.3">
      <c r="A15" s="335" t="s">
        <v>214</v>
      </c>
      <c r="B15" s="346" t="s">
        <v>513</v>
      </c>
      <c r="C15" s="347" t="s">
        <v>214</v>
      </c>
      <c r="D15" s="348">
        <v>0</v>
      </c>
      <c r="E15" s="348">
        <v>149077.97999999998</v>
      </c>
      <c r="F15" s="348">
        <v>0.78999999999996362</v>
      </c>
      <c r="G15" s="348">
        <v>0</v>
      </c>
      <c r="H15" s="349">
        <v>0</v>
      </c>
      <c r="I15" s="345">
        <v>149078.76999999999</v>
      </c>
      <c r="L15" s="337" t="s">
        <v>502</v>
      </c>
      <c r="M15" s="338">
        <v>149077.97999999998</v>
      </c>
      <c r="N15" s="338">
        <v>0.78999999999996362</v>
      </c>
      <c r="Q15" s="335">
        <v>149078.76999999999</v>
      </c>
      <c r="R15" s="335">
        <v>0</v>
      </c>
      <c r="T15" s="335">
        <v>149077.98000000001</v>
      </c>
      <c r="U15" s="335">
        <v>0.79</v>
      </c>
    </row>
    <row r="16" spans="1:21" ht="15.75" customHeight="1" thickBot="1" x14ac:dyDescent="0.3">
      <c r="A16" s="335" t="s">
        <v>216</v>
      </c>
      <c r="B16" s="346" t="s">
        <v>514</v>
      </c>
      <c r="C16" s="347" t="s">
        <v>216</v>
      </c>
      <c r="D16" s="348">
        <v>0</v>
      </c>
      <c r="E16" s="348">
        <v>73259.690000000061</v>
      </c>
      <c r="F16" s="348">
        <v>3772.369999999999</v>
      </c>
      <c r="G16" s="348">
        <v>0</v>
      </c>
      <c r="H16" s="349">
        <v>0</v>
      </c>
      <c r="I16" s="345">
        <v>77032.060000000056</v>
      </c>
      <c r="L16" s="337" t="s">
        <v>502</v>
      </c>
      <c r="M16" s="338">
        <v>73259.690000000061</v>
      </c>
      <c r="N16" s="338">
        <v>3772.369999999999</v>
      </c>
      <c r="Q16" s="335">
        <v>77032.06</v>
      </c>
      <c r="R16" s="335">
        <v>0</v>
      </c>
      <c r="T16" s="335">
        <v>73259.69</v>
      </c>
      <c r="U16" s="335">
        <v>3772.37</v>
      </c>
    </row>
    <row r="17" spans="1:21" ht="15.75" customHeight="1" thickBot="1" x14ac:dyDescent="0.3">
      <c r="A17" s="335" t="s">
        <v>217</v>
      </c>
      <c r="B17" s="346" t="s">
        <v>515</v>
      </c>
      <c r="C17" s="347" t="s">
        <v>217</v>
      </c>
      <c r="D17" s="348">
        <v>0</v>
      </c>
      <c r="E17" s="348">
        <v>188891.57</v>
      </c>
      <c r="F17" s="348">
        <v>0</v>
      </c>
      <c r="G17" s="348">
        <v>14013.86</v>
      </c>
      <c r="H17" s="349">
        <v>0</v>
      </c>
      <c r="I17" s="345">
        <v>202905.43</v>
      </c>
      <c r="L17" s="337" t="s">
        <v>502</v>
      </c>
      <c r="M17" s="338">
        <v>188891.57</v>
      </c>
      <c r="N17" s="338">
        <v>14013.86</v>
      </c>
      <c r="Q17" s="335">
        <v>202905.43</v>
      </c>
      <c r="R17" s="335">
        <v>0</v>
      </c>
      <c r="T17" s="335">
        <v>188891.57</v>
      </c>
      <c r="U17" s="335">
        <v>14013.86</v>
      </c>
    </row>
    <row r="18" spans="1:21" ht="15.75" customHeight="1" thickBot="1" x14ac:dyDescent="0.3">
      <c r="A18" s="335" t="s">
        <v>225</v>
      </c>
      <c r="B18" s="346" t="s">
        <v>516</v>
      </c>
      <c r="C18" s="347" t="s">
        <v>225</v>
      </c>
      <c r="D18" s="348">
        <v>0</v>
      </c>
      <c r="E18" s="348">
        <v>95705.969999999972</v>
      </c>
      <c r="F18" s="348">
        <v>6937.56</v>
      </c>
      <c r="G18" s="348">
        <v>0</v>
      </c>
      <c r="H18" s="349">
        <v>0</v>
      </c>
      <c r="I18" s="345">
        <v>102643.52999999997</v>
      </c>
      <c r="L18" s="337" t="s">
        <v>502</v>
      </c>
      <c r="M18" s="338">
        <v>95705.969999999972</v>
      </c>
      <c r="N18" s="338">
        <v>6937.56</v>
      </c>
      <c r="Q18" s="335">
        <v>102643.53</v>
      </c>
      <c r="R18" s="335">
        <v>0</v>
      </c>
      <c r="T18" s="335">
        <v>95705.97</v>
      </c>
      <c r="U18" s="335">
        <v>6937.56</v>
      </c>
    </row>
    <row r="19" spans="1:21" ht="15.75" customHeight="1" thickBot="1" x14ac:dyDescent="0.3">
      <c r="A19" s="335" t="s">
        <v>226</v>
      </c>
      <c r="B19" s="346" t="s">
        <v>517</v>
      </c>
      <c r="C19" s="347" t="s">
        <v>226</v>
      </c>
      <c r="D19" s="348">
        <v>0</v>
      </c>
      <c r="E19" s="348">
        <v>167014.20000000019</v>
      </c>
      <c r="F19" s="348">
        <v>2450.7600000000002</v>
      </c>
      <c r="G19" s="348">
        <v>0</v>
      </c>
      <c r="H19" s="349">
        <v>0</v>
      </c>
      <c r="I19" s="345">
        <v>169464.9600000002</v>
      </c>
      <c r="L19" s="337" t="s">
        <v>502</v>
      </c>
      <c r="M19" s="338">
        <v>167014.20000000019</v>
      </c>
      <c r="N19" s="338">
        <v>2450.7600000000002</v>
      </c>
      <c r="Q19" s="335">
        <v>169464.95999999999</v>
      </c>
      <c r="R19" s="335">
        <v>0</v>
      </c>
      <c r="T19" s="335">
        <v>167014.20000000001</v>
      </c>
      <c r="U19" s="335">
        <v>2450.7600000000002</v>
      </c>
    </row>
    <row r="20" spans="1:21" ht="15.75" customHeight="1" thickBot="1" x14ac:dyDescent="0.3">
      <c r="A20" s="335" t="s">
        <v>227</v>
      </c>
      <c r="B20" s="346" t="s">
        <v>518</v>
      </c>
      <c r="C20" s="347" t="s">
        <v>227</v>
      </c>
      <c r="D20" s="348">
        <v>0</v>
      </c>
      <c r="E20" s="348">
        <v>-23818.01</v>
      </c>
      <c r="F20" s="348">
        <v>14120.14</v>
      </c>
      <c r="G20" s="348">
        <v>0</v>
      </c>
      <c r="H20" s="349">
        <v>0</v>
      </c>
      <c r="I20" s="345">
        <v>-9697.869999999999</v>
      </c>
      <c r="L20" s="337" t="s">
        <v>502</v>
      </c>
      <c r="M20" s="338">
        <v>-23818.01</v>
      </c>
      <c r="N20" s="338">
        <v>14120.14</v>
      </c>
      <c r="Q20" s="335">
        <v>-9697.8700000000008</v>
      </c>
      <c r="R20" s="335">
        <v>0</v>
      </c>
      <c r="T20" s="335">
        <v>-23818.01</v>
      </c>
      <c r="U20" s="335">
        <v>14120.14</v>
      </c>
    </row>
    <row r="21" spans="1:21" ht="15.75" customHeight="1" thickBot="1" x14ac:dyDescent="0.3">
      <c r="A21" s="335" t="s">
        <v>228</v>
      </c>
      <c r="B21" s="346" t="s">
        <v>519</v>
      </c>
      <c r="C21" s="347" t="s">
        <v>228</v>
      </c>
      <c r="D21" s="348">
        <v>-345274.68</v>
      </c>
      <c r="E21" s="348">
        <v>0</v>
      </c>
      <c r="F21" s="348">
        <v>11479.900000000001</v>
      </c>
      <c r="G21" s="348">
        <v>0</v>
      </c>
      <c r="H21" s="349">
        <v>0</v>
      </c>
      <c r="I21" s="345">
        <v>-333794.77999999997</v>
      </c>
      <c r="L21" s="337" t="s">
        <v>502</v>
      </c>
      <c r="M21" s="338">
        <v>-345274.68</v>
      </c>
      <c r="N21" s="338">
        <v>11479.900000000001</v>
      </c>
      <c r="Q21" s="335">
        <v>-333794.78000000003</v>
      </c>
      <c r="R21" s="335">
        <v>0</v>
      </c>
      <c r="T21" s="335">
        <v>-345274.68</v>
      </c>
      <c r="U21" s="335">
        <v>11479.9</v>
      </c>
    </row>
    <row r="22" spans="1:21" ht="15.75" customHeight="1" thickBot="1" x14ac:dyDescent="0.3">
      <c r="A22" s="335" t="s">
        <v>230</v>
      </c>
      <c r="B22" s="346" t="s">
        <v>520</v>
      </c>
      <c r="C22" s="347" t="s">
        <v>230</v>
      </c>
      <c r="D22" s="348">
        <v>0</v>
      </c>
      <c r="E22" s="348">
        <v>104452.64000000013</v>
      </c>
      <c r="F22" s="348">
        <v>0</v>
      </c>
      <c r="G22" s="348">
        <v>0</v>
      </c>
      <c r="H22" s="349">
        <v>0</v>
      </c>
      <c r="I22" s="345">
        <v>104452.64000000013</v>
      </c>
      <c r="L22" s="337" t="s">
        <v>502</v>
      </c>
      <c r="M22" s="338">
        <v>104452.64000000013</v>
      </c>
      <c r="N22" s="338">
        <v>0</v>
      </c>
      <c r="Q22" s="335">
        <v>104452.64</v>
      </c>
      <c r="R22" s="335">
        <v>1.3096723705530167E-10</v>
      </c>
      <c r="T22" s="335">
        <v>104452.64</v>
      </c>
      <c r="U22" s="335">
        <v>0</v>
      </c>
    </row>
    <row r="23" spans="1:21" ht="15.75" customHeight="1" thickBot="1" x14ac:dyDescent="0.3">
      <c r="A23" s="335" t="s">
        <v>231</v>
      </c>
      <c r="B23" s="346" t="s">
        <v>521</v>
      </c>
      <c r="C23" s="347" t="s">
        <v>231</v>
      </c>
      <c r="D23" s="348">
        <v>58032.38</v>
      </c>
      <c r="E23" s="348">
        <v>82699.670000000042</v>
      </c>
      <c r="F23" s="348">
        <v>10307.83</v>
      </c>
      <c r="G23" s="348">
        <v>0</v>
      </c>
      <c r="H23" s="349">
        <v>0</v>
      </c>
      <c r="I23" s="345">
        <v>151039.88000000003</v>
      </c>
      <c r="L23" s="337" t="s">
        <v>502</v>
      </c>
      <c r="M23" s="338">
        <v>140732.05000000005</v>
      </c>
      <c r="N23" s="338">
        <v>10307.83</v>
      </c>
      <c r="Q23" s="335">
        <v>151039.88</v>
      </c>
      <c r="R23" s="335">
        <v>0</v>
      </c>
      <c r="T23" s="335">
        <v>140732.04999999999</v>
      </c>
      <c r="U23" s="335">
        <v>10307.83</v>
      </c>
    </row>
    <row r="24" spans="1:21" ht="15.75" customHeight="1" thickBot="1" x14ac:dyDescent="0.3">
      <c r="A24" s="335" t="s">
        <v>232</v>
      </c>
      <c r="B24" s="346" t="s">
        <v>522</v>
      </c>
      <c r="C24" s="347" t="s">
        <v>232</v>
      </c>
      <c r="D24" s="348">
        <v>0</v>
      </c>
      <c r="E24" s="348">
        <v>66030.12</v>
      </c>
      <c r="F24" s="348">
        <v>1663.1699999999996</v>
      </c>
      <c r="G24" s="348">
        <v>0</v>
      </c>
      <c r="H24" s="349">
        <v>0</v>
      </c>
      <c r="I24" s="345">
        <v>67693.289999999994</v>
      </c>
      <c r="L24" s="337" t="s">
        <v>502</v>
      </c>
      <c r="M24" s="338">
        <v>66030.12</v>
      </c>
      <c r="N24" s="338">
        <v>1663.1699999999996</v>
      </c>
      <c r="Q24" s="335">
        <v>67693.289999999994</v>
      </c>
      <c r="R24" s="335">
        <v>0</v>
      </c>
      <c r="T24" s="335">
        <v>66030.12</v>
      </c>
      <c r="U24" s="335">
        <v>1663.17</v>
      </c>
    </row>
    <row r="25" spans="1:21" ht="15.75" customHeight="1" thickBot="1" x14ac:dyDescent="0.3">
      <c r="A25" s="335" t="s">
        <v>233</v>
      </c>
      <c r="B25" s="346" t="s">
        <v>523</v>
      </c>
      <c r="C25" s="350" t="s">
        <v>233</v>
      </c>
      <c r="D25" s="348">
        <v>0</v>
      </c>
      <c r="E25" s="348">
        <v>169840.35999999987</v>
      </c>
      <c r="F25" s="348">
        <v>1110.0500000000002</v>
      </c>
      <c r="G25" s="348">
        <v>0</v>
      </c>
      <c r="H25" s="349">
        <v>0</v>
      </c>
      <c r="I25" s="345">
        <v>170950.40999999986</v>
      </c>
      <c r="L25" s="337" t="s">
        <v>502</v>
      </c>
      <c r="M25" s="338">
        <v>169840.35999999987</v>
      </c>
      <c r="N25" s="338">
        <v>1110.0500000000002</v>
      </c>
      <c r="Q25" s="335">
        <v>170950.41</v>
      </c>
      <c r="R25" s="335">
        <v>0</v>
      </c>
      <c r="T25" s="335">
        <v>169840.36</v>
      </c>
      <c r="U25" s="335">
        <v>1110.05</v>
      </c>
    </row>
    <row r="26" spans="1:21" ht="15.75" customHeight="1" thickBot="1" x14ac:dyDescent="0.3">
      <c r="A26" s="335" t="s">
        <v>234</v>
      </c>
      <c r="B26" s="346" t="s">
        <v>524</v>
      </c>
      <c r="C26" s="246" t="s">
        <v>234</v>
      </c>
      <c r="D26" s="348">
        <v>-95957.39</v>
      </c>
      <c r="E26" s="348">
        <v>-1.3096723705530167E-10</v>
      </c>
      <c r="F26" s="348">
        <v>10102.109999999999</v>
      </c>
      <c r="G26" s="348">
        <v>0</v>
      </c>
      <c r="H26" s="349">
        <v>0</v>
      </c>
      <c r="I26" s="345">
        <v>-85855.28000000013</v>
      </c>
      <c r="L26" s="337" t="s">
        <v>502</v>
      </c>
      <c r="M26" s="338">
        <v>-95957.39000000013</v>
      </c>
      <c r="N26" s="338">
        <v>10102.109999999999</v>
      </c>
      <c r="Q26" s="335">
        <v>-85855.28</v>
      </c>
      <c r="R26" s="335">
        <v>-1.3096723705530167E-10</v>
      </c>
      <c r="T26" s="335">
        <v>-95957.39</v>
      </c>
      <c r="U26" s="335">
        <v>10102.11</v>
      </c>
    </row>
    <row r="27" spans="1:21" ht="15.75" customHeight="1" thickBot="1" x14ac:dyDescent="0.3">
      <c r="A27" s="335" t="s">
        <v>235</v>
      </c>
      <c r="B27" s="346" t="s">
        <v>525</v>
      </c>
      <c r="C27" s="347" t="s">
        <v>235</v>
      </c>
      <c r="D27" s="348">
        <v>0</v>
      </c>
      <c r="E27" s="348">
        <v>34407.319999999832</v>
      </c>
      <c r="F27" s="348">
        <v>11050.83</v>
      </c>
      <c r="G27" s="348">
        <v>0</v>
      </c>
      <c r="H27" s="349">
        <v>0</v>
      </c>
      <c r="I27" s="345">
        <v>45458.149999999834</v>
      </c>
      <c r="L27" s="337" t="s">
        <v>502</v>
      </c>
      <c r="M27" s="338">
        <v>34407.319999999832</v>
      </c>
      <c r="N27" s="338">
        <v>11050.83</v>
      </c>
      <c r="Q27" s="335">
        <v>45458.15</v>
      </c>
      <c r="R27" s="335">
        <v>-1.673470251262188E-10</v>
      </c>
      <c r="T27" s="335">
        <v>34407.32</v>
      </c>
      <c r="U27" s="335">
        <v>11050.83</v>
      </c>
    </row>
    <row r="28" spans="1:21" ht="15.75" customHeight="1" thickBot="1" x14ac:dyDescent="0.3">
      <c r="A28" s="335" t="s">
        <v>236</v>
      </c>
      <c r="B28" s="346" t="s">
        <v>526</v>
      </c>
      <c r="C28" s="347" t="s">
        <v>236</v>
      </c>
      <c r="D28" s="348">
        <v>0</v>
      </c>
      <c r="E28" s="348">
        <v>49793.680000000051</v>
      </c>
      <c r="F28" s="348">
        <v>0</v>
      </c>
      <c r="G28" s="348">
        <v>1751.8300000000017</v>
      </c>
      <c r="H28" s="349">
        <v>0</v>
      </c>
      <c r="I28" s="345">
        <v>51545.510000000053</v>
      </c>
      <c r="L28" s="337" t="s">
        <v>502</v>
      </c>
      <c r="M28" s="338">
        <v>49793.680000000051</v>
      </c>
      <c r="N28" s="338">
        <v>1751.8300000000017</v>
      </c>
      <c r="Q28" s="335">
        <v>51545.51</v>
      </c>
      <c r="R28" s="335">
        <v>0</v>
      </c>
      <c r="T28" s="335">
        <v>49793.68</v>
      </c>
      <c r="U28" s="335">
        <v>1751.83</v>
      </c>
    </row>
    <row r="29" spans="1:21" ht="15.75" customHeight="1" thickBot="1" x14ac:dyDescent="0.3">
      <c r="A29" s="335" t="s">
        <v>237</v>
      </c>
      <c r="B29" s="346" t="s">
        <v>527</v>
      </c>
      <c r="C29" s="347" t="s">
        <v>237</v>
      </c>
      <c r="D29" s="348">
        <v>-6652.32</v>
      </c>
      <c r="E29" s="348">
        <v>-6.5483618527650833E-11</v>
      </c>
      <c r="F29" s="348">
        <v>5865.3900000000031</v>
      </c>
      <c r="G29" s="348">
        <v>0</v>
      </c>
      <c r="H29" s="349">
        <v>0</v>
      </c>
      <c r="I29" s="345">
        <v>-786.93000000006214</v>
      </c>
      <c r="L29" s="337" t="s">
        <v>502</v>
      </c>
      <c r="M29" s="338">
        <v>-6652.3200000000652</v>
      </c>
      <c r="N29" s="338">
        <v>5865.3900000000031</v>
      </c>
      <c r="Q29" s="335">
        <v>-786.93</v>
      </c>
      <c r="R29" s="335">
        <v>-6.2186700233723968E-11</v>
      </c>
      <c r="T29" s="335">
        <v>-6652.32</v>
      </c>
      <c r="U29" s="335">
        <v>5865.39</v>
      </c>
    </row>
    <row r="30" spans="1:21" ht="15.75" customHeight="1" thickBot="1" x14ac:dyDescent="0.3">
      <c r="A30" s="335" t="s">
        <v>239</v>
      </c>
      <c r="B30" s="346" t="s">
        <v>528</v>
      </c>
      <c r="C30" s="347" t="s">
        <v>239</v>
      </c>
      <c r="D30" s="348">
        <v>-110.61</v>
      </c>
      <c r="E30" s="348">
        <v>1.3038459201197838E-10</v>
      </c>
      <c r="F30" s="348">
        <v>0</v>
      </c>
      <c r="G30" s="348">
        <v>0.2000000000007276</v>
      </c>
      <c r="H30" s="349">
        <v>0</v>
      </c>
      <c r="I30" s="345">
        <v>-110.40999999986889</v>
      </c>
      <c r="L30" s="337" t="s">
        <v>502</v>
      </c>
      <c r="M30" s="338">
        <v>-110.60999999986961</v>
      </c>
      <c r="N30" s="338">
        <v>0.2000000000007276</v>
      </c>
      <c r="Q30" s="335">
        <v>-110.41</v>
      </c>
      <c r="R30" s="335">
        <v>1.3110934560245369E-10</v>
      </c>
      <c r="T30" s="335">
        <v>-110.61</v>
      </c>
      <c r="U30" s="335">
        <v>0.2</v>
      </c>
    </row>
    <row r="31" spans="1:21" ht="15.75" customHeight="1" thickBot="1" x14ac:dyDescent="0.3">
      <c r="A31" s="335" t="s">
        <v>240</v>
      </c>
      <c r="B31" s="346" t="s">
        <v>529</v>
      </c>
      <c r="C31" s="347" t="s">
        <v>240</v>
      </c>
      <c r="D31" s="348">
        <v>0</v>
      </c>
      <c r="E31" s="348">
        <v>64702.139999999898</v>
      </c>
      <c r="F31" s="348">
        <v>0.76000000000021828</v>
      </c>
      <c r="G31" s="348">
        <v>0</v>
      </c>
      <c r="H31" s="349">
        <v>0</v>
      </c>
      <c r="I31" s="345">
        <v>64702.8999999999</v>
      </c>
      <c r="L31" s="337" t="s">
        <v>502</v>
      </c>
      <c r="M31" s="338">
        <v>64702.139999999898</v>
      </c>
      <c r="N31" s="338">
        <v>0.76000000000021828</v>
      </c>
      <c r="Q31" s="335">
        <v>64702.9</v>
      </c>
      <c r="R31" s="335">
        <v>-1.0186340659856796E-10</v>
      </c>
      <c r="T31" s="335">
        <v>64702.14</v>
      </c>
      <c r="U31" s="335">
        <v>0.76</v>
      </c>
    </row>
    <row r="32" spans="1:21" ht="15.75" customHeight="1" thickBot="1" x14ac:dyDescent="0.3">
      <c r="A32" s="335" t="s">
        <v>242</v>
      </c>
      <c r="B32" s="346" t="s">
        <v>530</v>
      </c>
      <c r="C32" s="347" t="s">
        <v>242</v>
      </c>
      <c r="D32" s="348">
        <v>0</v>
      </c>
      <c r="E32" s="348">
        <v>22951.890000000014</v>
      </c>
      <c r="F32" s="348">
        <v>31635.84</v>
      </c>
      <c r="G32" s="348">
        <v>0</v>
      </c>
      <c r="H32" s="349">
        <v>73270.429999999993</v>
      </c>
      <c r="I32" s="345">
        <v>127858.16</v>
      </c>
      <c r="L32" s="337" t="s">
        <v>502</v>
      </c>
      <c r="M32" s="338">
        <v>96222.32</v>
      </c>
      <c r="N32" s="338">
        <v>31635.84</v>
      </c>
      <c r="Q32" s="335">
        <v>127858.16</v>
      </c>
      <c r="R32" s="335">
        <v>0</v>
      </c>
      <c r="T32" s="335">
        <v>96222.32</v>
      </c>
      <c r="U32" s="335">
        <v>31635.84</v>
      </c>
    </row>
    <row r="33" spans="1:21" ht="15.75" customHeight="1" thickBot="1" x14ac:dyDescent="0.3">
      <c r="A33" s="335" t="s">
        <v>243</v>
      </c>
      <c r="B33" s="346" t="s">
        <v>531</v>
      </c>
      <c r="C33" s="347" t="s">
        <v>243</v>
      </c>
      <c r="D33" s="348">
        <v>0</v>
      </c>
      <c r="E33" s="348">
        <v>533342.59000000032</v>
      </c>
      <c r="F33" s="348">
        <v>0</v>
      </c>
      <c r="G33" s="348">
        <v>103574.69</v>
      </c>
      <c r="H33" s="349">
        <v>0</v>
      </c>
      <c r="I33" s="345">
        <v>636917.28000000026</v>
      </c>
      <c r="L33" s="337" t="s">
        <v>502</v>
      </c>
      <c r="M33" s="338">
        <v>533342.59000000032</v>
      </c>
      <c r="N33" s="338">
        <v>103574.69</v>
      </c>
      <c r="Q33" s="335">
        <v>636917.28</v>
      </c>
      <c r="R33" s="335">
        <v>0</v>
      </c>
      <c r="T33" s="335">
        <v>533342.59</v>
      </c>
      <c r="U33" s="335">
        <v>103574.69</v>
      </c>
    </row>
    <row r="34" spans="1:21" ht="15.75" customHeight="1" thickBot="1" x14ac:dyDescent="0.3">
      <c r="A34" s="335" t="s">
        <v>244</v>
      </c>
      <c r="B34" s="346" t="s">
        <v>532</v>
      </c>
      <c r="C34" s="347" t="s">
        <v>244</v>
      </c>
      <c r="D34" s="348">
        <v>-77767.759999999951</v>
      </c>
      <c r="E34" s="348">
        <v>0</v>
      </c>
      <c r="F34" s="348">
        <v>20690.759999999998</v>
      </c>
      <c r="G34" s="348">
        <v>2016.5600000000013</v>
      </c>
      <c r="H34" s="349">
        <v>0</v>
      </c>
      <c r="I34" s="345">
        <v>-55060.439999999959</v>
      </c>
      <c r="L34" s="337" t="s">
        <v>502</v>
      </c>
      <c r="M34" s="338">
        <v>-77767.759999999951</v>
      </c>
      <c r="N34" s="338">
        <v>22707.32</v>
      </c>
      <c r="Q34" s="335">
        <v>-55060.44</v>
      </c>
      <c r="R34" s="335">
        <v>0</v>
      </c>
      <c r="T34" s="335">
        <v>-77767.759999999995</v>
      </c>
      <c r="U34" s="335">
        <v>22707.32</v>
      </c>
    </row>
    <row r="35" spans="1:21" ht="15.75" customHeight="1" thickBot="1" x14ac:dyDescent="0.3">
      <c r="A35" s="335" t="s">
        <v>245</v>
      </c>
      <c r="B35" s="346" t="s">
        <v>533</v>
      </c>
      <c r="C35" s="347" t="s">
        <v>245</v>
      </c>
      <c r="D35" s="348">
        <v>0</v>
      </c>
      <c r="E35" s="348">
        <v>219311.44000000018</v>
      </c>
      <c r="F35" s="348">
        <v>0</v>
      </c>
      <c r="G35" s="348">
        <v>0</v>
      </c>
      <c r="H35" s="349">
        <v>0</v>
      </c>
      <c r="I35" s="345">
        <v>219311.44000000018</v>
      </c>
      <c r="L35" s="337" t="s">
        <v>502</v>
      </c>
      <c r="M35" s="338">
        <v>219311.44000000018</v>
      </c>
      <c r="N35" s="338">
        <v>0</v>
      </c>
      <c r="Q35" s="335">
        <v>219311.44</v>
      </c>
      <c r="R35" s="335">
        <v>0</v>
      </c>
      <c r="T35" s="335">
        <v>219311.44</v>
      </c>
      <c r="U35" s="335">
        <v>0</v>
      </c>
    </row>
    <row r="36" spans="1:21" ht="15.75" customHeight="1" thickBot="1" x14ac:dyDescent="0.3">
      <c r="A36" s="335" t="s">
        <v>246</v>
      </c>
      <c r="B36" s="346" t="s">
        <v>534</v>
      </c>
      <c r="C36" s="347" t="s">
        <v>246</v>
      </c>
      <c r="D36" s="348">
        <v>5000</v>
      </c>
      <c r="E36" s="348">
        <v>89974.800000000163</v>
      </c>
      <c r="F36" s="348">
        <v>0</v>
      </c>
      <c r="G36" s="348">
        <v>5429.880000000001</v>
      </c>
      <c r="H36" s="349">
        <v>0</v>
      </c>
      <c r="I36" s="345">
        <v>100404.68000000017</v>
      </c>
      <c r="L36" s="337" t="s">
        <v>502</v>
      </c>
      <c r="M36" s="338">
        <v>94974.800000000163</v>
      </c>
      <c r="N36" s="338">
        <v>5429.880000000001</v>
      </c>
      <c r="Q36" s="335">
        <v>100404.68</v>
      </c>
      <c r="R36" s="335">
        <v>1.7462298274040222E-10</v>
      </c>
      <c r="T36" s="335">
        <v>94974.8</v>
      </c>
      <c r="U36" s="335">
        <v>5429.88</v>
      </c>
    </row>
    <row r="37" spans="1:21" ht="15.75" customHeight="1" thickBot="1" x14ac:dyDescent="0.3">
      <c r="A37" s="335" t="s">
        <v>247</v>
      </c>
      <c r="B37" s="346" t="s">
        <v>535</v>
      </c>
      <c r="C37" s="347" t="s">
        <v>247</v>
      </c>
      <c r="D37" s="348">
        <v>9257.94</v>
      </c>
      <c r="E37" s="348">
        <v>163561.18999999989</v>
      </c>
      <c r="F37" s="348">
        <v>10885</v>
      </c>
      <c r="G37" s="348">
        <v>0</v>
      </c>
      <c r="H37" s="349">
        <v>0</v>
      </c>
      <c r="I37" s="345">
        <v>183704.12999999989</v>
      </c>
      <c r="L37" s="337" t="s">
        <v>502</v>
      </c>
      <c r="M37" s="338">
        <v>172819.12999999989</v>
      </c>
      <c r="N37" s="338">
        <v>10885</v>
      </c>
      <c r="Q37" s="335">
        <v>183704.13</v>
      </c>
      <c r="R37" s="335">
        <v>0</v>
      </c>
      <c r="T37" s="335">
        <v>172819.13</v>
      </c>
      <c r="U37" s="335">
        <v>10885</v>
      </c>
    </row>
    <row r="38" spans="1:21" ht="15.75" customHeight="1" thickBot="1" x14ac:dyDescent="0.3">
      <c r="A38" s="335" t="s">
        <v>248</v>
      </c>
      <c r="B38" s="346" t="s">
        <v>536</v>
      </c>
      <c r="C38" s="347" t="s">
        <v>248</v>
      </c>
      <c r="D38" s="348">
        <v>0</v>
      </c>
      <c r="E38" s="348">
        <v>230492.19000000006</v>
      </c>
      <c r="F38" s="348">
        <v>64064.030000000006</v>
      </c>
      <c r="G38" s="348">
        <v>0</v>
      </c>
      <c r="H38" s="349">
        <v>0</v>
      </c>
      <c r="I38" s="345">
        <v>294556.22000000009</v>
      </c>
      <c r="L38" s="337" t="s">
        <v>502</v>
      </c>
      <c r="M38" s="338">
        <v>230492.19000000006</v>
      </c>
      <c r="N38" s="338">
        <v>64064.030000000006</v>
      </c>
      <c r="Q38" s="335">
        <v>294556.21999999997</v>
      </c>
      <c r="R38" s="335">
        <v>0</v>
      </c>
      <c r="T38" s="335">
        <v>230492.19</v>
      </c>
      <c r="U38" s="335">
        <v>64064.03</v>
      </c>
    </row>
    <row r="39" spans="1:21" ht="15.75" customHeight="1" thickBot="1" x14ac:dyDescent="0.3">
      <c r="A39" s="335" t="s">
        <v>252</v>
      </c>
      <c r="B39" s="346" t="s">
        <v>537</v>
      </c>
      <c r="C39" s="347" t="s">
        <v>252</v>
      </c>
      <c r="D39" s="348">
        <v>-65095.060000000056</v>
      </c>
      <c r="E39" s="348">
        <v>0</v>
      </c>
      <c r="F39" s="348">
        <v>0</v>
      </c>
      <c r="G39" s="348">
        <v>0</v>
      </c>
      <c r="H39" s="349">
        <v>0</v>
      </c>
      <c r="I39" s="345">
        <v>-65095.060000000056</v>
      </c>
      <c r="L39" s="337" t="s">
        <v>502</v>
      </c>
      <c r="M39" s="338">
        <v>-65095.060000000056</v>
      </c>
      <c r="N39" s="338">
        <v>0</v>
      </c>
      <c r="Q39" s="335">
        <v>-65095.06</v>
      </c>
      <c r="R39" s="335">
        <v>-5.8207660913467407E-11</v>
      </c>
      <c r="T39" s="335">
        <v>-65095.06</v>
      </c>
      <c r="U39" s="335">
        <v>0</v>
      </c>
    </row>
    <row r="40" spans="1:21" ht="15.75" customHeight="1" thickBot="1" x14ac:dyDescent="0.3">
      <c r="A40" s="335" t="s">
        <v>253</v>
      </c>
      <c r="B40" s="346" t="s">
        <v>538</v>
      </c>
      <c r="C40" s="347" t="s">
        <v>253</v>
      </c>
      <c r="D40" s="348">
        <v>-494.97000000003027</v>
      </c>
      <c r="E40" s="348">
        <v>0</v>
      </c>
      <c r="F40" s="348">
        <v>16167.990000000002</v>
      </c>
      <c r="G40" s="348">
        <v>0</v>
      </c>
      <c r="H40" s="349">
        <v>0</v>
      </c>
      <c r="I40" s="345">
        <v>15673.019999999971</v>
      </c>
      <c r="L40" s="337" t="s">
        <v>502</v>
      </c>
      <c r="M40" s="338">
        <v>-494.97000000003027</v>
      </c>
      <c r="N40" s="338">
        <v>16167.990000000002</v>
      </c>
      <c r="Q40" s="335">
        <v>15673.02</v>
      </c>
      <c r="R40" s="335">
        <v>-2.9103830456733704E-11</v>
      </c>
      <c r="T40" s="335">
        <v>-494.97</v>
      </c>
      <c r="U40" s="335">
        <v>16167.99</v>
      </c>
    </row>
    <row r="41" spans="1:21" ht="15.75" customHeight="1" thickBot="1" x14ac:dyDescent="0.3">
      <c r="A41" s="335" t="s">
        <v>255</v>
      </c>
      <c r="B41" s="346" t="s">
        <v>539</v>
      </c>
      <c r="C41" s="347" t="s">
        <v>255</v>
      </c>
      <c r="D41" s="348">
        <v>0</v>
      </c>
      <c r="E41" s="348">
        <v>331446.59000000008</v>
      </c>
      <c r="F41" s="348">
        <v>16576.21</v>
      </c>
      <c r="G41" s="348">
        <v>6794</v>
      </c>
      <c r="H41" s="349">
        <v>0</v>
      </c>
      <c r="I41" s="345">
        <v>354816.8000000001</v>
      </c>
      <c r="L41" s="337" t="s">
        <v>502</v>
      </c>
      <c r="M41" s="338">
        <v>331446.59000000008</v>
      </c>
      <c r="N41" s="338">
        <v>23370.21</v>
      </c>
      <c r="Q41" s="335">
        <v>354816.8</v>
      </c>
      <c r="R41" s="335">
        <v>0</v>
      </c>
      <c r="T41" s="335">
        <v>331446.59000000003</v>
      </c>
      <c r="U41" s="335">
        <v>23370.21</v>
      </c>
    </row>
    <row r="42" spans="1:21" ht="15.75" customHeight="1" thickBot="1" x14ac:dyDescent="0.3">
      <c r="A42" s="335" t="s">
        <v>256</v>
      </c>
      <c r="B42" s="346" t="s">
        <v>540</v>
      </c>
      <c r="C42" s="347" t="s">
        <v>256</v>
      </c>
      <c r="D42" s="348">
        <v>0</v>
      </c>
      <c r="E42" s="348">
        <v>0</v>
      </c>
      <c r="F42" s="348">
        <v>0</v>
      </c>
      <c r="G42" s="348">
        <v>0</v>
      </c>
      <c r="H42" s="349">
        <v>0</v>
      </c>
      <c r="I42" s="345">
        <v>0</v>
      </c>
      <c r="L42" s="337" t="s">
        <v>557</v>
      </c>
      <c r="M42" s="338">
        <v>0</v>
      </c>
      <c r="N42" s="338">
        <v>0</v>
      </c>
      <c r="Q42" s="335">
        <v>-27246.16</v>
      </c>
      <c r="R42" s="335">
        <v>27246.16</v>
      </c>
      <c r="T42" s="335">
        <v>-56358.38</v>
      </c>
      <c r="U42" s="335">
        <v>29112.22</v>
      </c>
    </row>
    <row r="43" spans="1:21" ht="15.75" customHeight="1" thickBot="1" x14ac:dyDescent="0.3">
      <c r="A43" s="335" t="s">
        <v>257</v>
      </c>
      <c r="B43" s="346" t="s">
        <v>541</v>
      </c>
      <c r="C43" s="347" t="s">
        <v>257</v>
      </c>
      <c r="D43" s="348">
        <v>0</v>
      </c>
      <c r="E43" s="348">
        <v>171252.45</v>
      </c>
      <c r="F43" s="348">
        <v>0</v>
      </c>
      <c r="G43" s="348">
        <v>0</v>
      </c>
      <c r="H43" s="349">
        <v>0</v>
      </c>
      <c r="I43" s="345">
        <v>171252.45</v>
      </c>
      <c r="L43" s="337" t="s">
        <v>502</v>
      </c>
      <c r="M43" s="338">
        <v>171252.45</v>
      </c>
      <c r="N43" s="338">
        <v>0</v>
      </c>
      <c r="Q43" s="335">
        <v>171252.45</v>
      </c>
      <c r="R43" s="335">
        <v>0</v>
      </c>
      <c r="T43" s="335">
        <v>171252.45</v>
      </c>
      <c r="U43" s="335">
        <v>0</v>
      </c>
    </row>
    <row r="44" spans="1:21" ht="15.75" customHeight="1" thickBot="1" x14ac:dyDescent="0.3">
      <c r="A44" s="335" t="s">
        <v>258</v>
      </c>
      <c r="B44" s="346" t="s">
        <v>542</v>
      </c>
      <c r="C44" s="347" t="s">
        <v>258</v>
      </c>
      <c r="D44" s="348">
        <v>0</v>
      </c>
      <c r="E44" s="348">
        <v>146686.81000000006</v>
      </c>
      <c r="F44" s="348">
        <v>0</v>
      </c>
      <c r="G44" s="348">
        <v>0</v>
      </c>
      <c r="H44" s="349">
        <v>0</v>
      </c>
      <c r="I44" s="345">
        <v>146686.81000000006</v>
      </c>
      <c r="L44" s="337" t="s">
        <v>502</v>
      </c>
      <c r="M44" s="338">
        <v>146686.81000000006</v>
      </c>
      <c r="N44" s="338">
        <v>0</v>
      </c>
      <c r="Q44" s="335">
        <v>146686.81</v>
      </c>
      <c r="R44" s="335">
        <v>0</v>
      </c>
      <c r="T44" s="335">
        <v>146686.81</v>
      </c>
      <c r="U44" s="335">
        <v>0</v>
      </c>
    </row>
    <row r="45" spans="1:21" ht="15.75" customHeight="1" thickBot="1" x14ac:dyDescent="0.3">
      <c r="A45" s="335" t="s">
        <v>261</v>
      </c>
      <c r="B45" s="346" t="s">
        <v>543</v>
      </c>
      <c r="C45" s="347" t="s">
        <v>261</v>
      </c>
      <c r="D45" s="348">
        <v>23826.639999999999</v>
      </c>
      <c r="E45" s="348">
        <v>451102.07999999973</v>
      </c>
      <c r="F45" s="348">
        <v>0</v>
      </c>
      <c r="G45" s="348">
        <v>0</v>
      </c>
      <c r="H45" s="349">
        <v>300</v>
      </c>
      <c r="I45" s="345">
        <v>475228.71999999974</v>
      </c>
      <c r="L45" s="337" t="s">
        <v>502</v>
      </c>
      <c r="M45" s="338">
        <v>475228.71999999974</v>
      </c>
      <c r="N45" s="338">
        <v>0</v>
      </c>
      <c r="Q45" s="335">
        <v>475228.72</v>
      </c>
      <c r="R45" s="335">
        <v>0</v>
      </c>
      <c r="T45" s="335">
        <v>475228.72</v>
      </c>
      <c r="U45" s="335">
        <v>0</v>
      </c>
    </row>
    <row r="46" spans="1:21" ht="15.75" customHeight="1" thickBot="1" x14ac:dyDescent="0.3">
      <c r="A46" s="335" t="s">
        <v>263</v>
      </c>
      <c r="B46" s="346" t="s">
        <v>544</v>
      </c>
      <c r="C46" s="347" t="s">
        <v>263</v>
      </c>
      <c r="D46" s="348">
        <v>0</v>
      </c>
      <c r="E46" s="348">
        <v>356161.6399999999</v>
      </c>
      <c r="F46" s="348">
        <v>0</v>
      </c>
      <c r="G46" s="348">
        <v>0</v>
      </c>
      <c r="H46" s="349">
        <v>0</v>
      </c>
      <c r="I46" s="345">
        <v>356161.6399999999</v>
      </c>
      <c r="L46" s="337" t="s">
        <v>502</v>
      </c>
      <c r="M46" s="338">
        <v>356161.6399999999</v>
      </c>
      <c r="N46" s="338">
        <v>0</v>
      </c>
      <c r="Q46" s="335">
        <v>356161.64</v>
      </c>
      <c r="R46" s="335">
        <v>0</v>
      </c>
      <c r="T46" s="335">
        <v>356161.64</v>
      </c>
      <c r="U46" s="335">
        <v>0</v>
      </c>
    </row>
    <row r="47" spans="1:21" ht="15.75" customHeight="1" thickBot="1" x14ac:dyDescent="0.3">
      <c r="A47" s="335" t="s">
        <v>265</v>
      </c>
      <c r="B47" s="346" t="s">
        <v>264</v>
      </c>
      <c r="C47" s="347" t="s">
        <v>265</v>
      </c>
      <c r="D47" s="348">
        <v>71000</v>
      </c>
      <c r="E47" s="348">
        <v>128319.97999999998</v>
      </c>
      <c r="F47" s="348">
        <v>0</v>
      </c>
      <c r="G47" s="348">
        <v>0</v>
      </c>
      <c r="H47" s="349">
        <v>0</v>
      </c>
      <c r="I47" s="345">
        <v>199319.97999999998</v>
      </c>
      <c r="L47" s="337" t="s">
        <v>502</v>
      </c>
      <c r="M47" s="338">
        <v>199319.97999999998</v>
      </c>
      <c r="N47" s="338">
        <v>0</v>
      </c>
      <c r="Q47" s="335">
        <v>199319.98</v>
      </c>
      <c r="R47" s="335">
        <v>0</v>
      </c>
      <c r="T47" s="335">
        <v>199319.98</v>
      </c>
      <c r="U47" s="335">
        <v>0</v>
      </c>
    </row>
    <row r="48" spans="1:21" ht="15.75" customHeight="1" thickBot="1" x14ac:dyDescent="0.3">
      <c r="A48" s="335" t="s">
        <v>266</v>
      </c>
      <c r="B48" s="346" t="s">
        <v>545</v>
      </c>
      <c r="C48" s="347" t="s">
        <v>266</v>
      </c>
      <c r="D48" s="348">
        <v>0</v>
      </c>
      <c r="E48" s="348">
        <v>56087.059999999939</v>
      </c>
      <c r="F48" s="348">
        <v>34402.619999999995</v>
      </c>
      <c r="G48" s="348">
        <v>2926.760000000002</v>
      </c>
      <c r="H48" s="349">
        <v>0</v>
      </c>
      <c r="I48" s="345">
        <v>93416.439999999944</v>
      </c>
      <c r="L48" s="337" t="s">
        <v>502</v>
      </c>
      <c r="M48" s="338">
        <v>56087.059999999939</v>
      </c>
      <c r="N48" s="338">
        <v>37329.379999999997</v>
      </c>
      <c r="Q48" s="335">
        <v>93416.44</v>
      </c>
      <c r="R48" s="335">
        <v>0</v>
      </c>
      <c r="T48" s="335">
        <v>56087.06</v>
      </c>
      <c r="U48" s="335">
        <v>37329.379999999997</v>
      </c>
    </row>
    <row r="49" spans="1:21" ht="15.75" customHeight="1" thickBot="1" x14ac:dyDescent="0.3">
      <c r="A49" s="335" t="s">
        <v>267</v>
      </c>
      <c r="B49" s="346" t="s">
        <v>546</v>
      </c>
      <c r="C49" s="347" t="s">
        <v>267</v>
      </c>
      <c r="D49" s="348">
        <v>0</v>
      </c>
      <c r="E49" s="348">
        <v>77254.569999999832</v>
      </c>
      <c r="F49" s="348">
        <v>0</v>
      </c>
      <c r="G49" s="348">
        <v>0</v>
      </c>
      <c r="H49" s="349">
        <v>0</v>
      </c>
      <c r="I49" s="345">
        <v>77254.569999999832</v>
      </c>
      <c r="L49" s="337" t="s">
        <v>502</v>
      </c>
      <c r="M49" s="338">
        <v>77254.569999999832</v>
      </c>
      <c r="N49" s="338">
        <v>0</v>
      </c>
      <c r="Q49" s="335">
        <v>77254.570000000007</v>
      </c>
      <c r="R49" s="335">
        <v>-1.7462298274040222E-10</v>
      </c>
      <c r="T49" s="335">
        <v>77254.570000000007</v>
      </c>
      <c r="U49" s="335">
        <v>0</v>
      </c>
    </row>
    <row r="50" spans="1:21" ht="15.75" customHeight="1" thickBot="1" x14ac:dyDescent="0.3">
      <c r="A50" s="335" t="s">
        <v>269</v>
      </c>
      <c r="B50" s="346" t="s">
        <v>547</v>
      </c>
      <c r="C50" s="347" t="s">
        <v>269</v>
      </c>
      <c r="D50" s="348">
        <v>0</v>
      </c>
      <c r="E50" s="348">
        <v>133644.90999999968</v>
      </c>
      <c r="F50" s="348">
        <v>0.25</v>
      </c>
      <c r="G50" s="348">
        <v>0</v>
      </c>
      <c r="H50" s="349">
        <v>0</v>
      </c>
      <c r="I50" s="345">
        <v>133645.15999999968</v>
      </c>
      <c r="L50" s="337" t="s">
        <v>502</v>
      </c>
      <c r="M50" s="338">
        <v>133644.90999999968</v>
      </c>
      <c r="N50" s="338">
        <v>0.25</v>
      </c>
      <c r="Q50" s="335">
        <v>133645.16</v>
      </c>
      <c r="R50" s="335">
        <v>-3.2014213502407074E-10</v>
      </c>
      <c r="T50" s="335">
        <v>133644.91</v>
      </c>
      <c r="U50" s="335">
        <v>0.25</v>
      </c>
    </row>
    <row r="51" spans="1:21" ht="15.75" customHeight="1" thickBot="1" x14ac:dyDescent="0.3">
      <c r="A51" s="335" t="s">
        <v>271</v>
      </c>
      <c r="B51" s="346" t="s">
        <v>548</v>
      </c>
      <c r="C51" s="347" t="s">
        <v>271</v>
      </c>
      <c r="D51" s="348">
        <v>-13049.32</v>
      </c>
      <c r="E51" s="348">
        <v>-49081.919999999758</v>
      </c>
      <c r="F51" s="348">
        <v>15677.550000000001</v>
      </c>
      <c r="G51" s="348">
        <v>0</v>
      </c>
      <c r="H51" s="349">
        <v>0</v>
      </c>
      <c r="I51" s="345">
        <v>-46453.689999999755</v>
      </c>
      <c r="L51" s="337" t="s">
        <v>502</v>
      </c>
      <c r="M51" s="338">
        <v>-62131.239999999758</v>
      </c>
      <c r="N51" s="338">
        <v>15677.550000000001</v>
      </c>
      <c r="Q51" s="335">
        <v>-46453.69</v>
      </c>
      <c r="R51" s="335">
        <v>2.4738255888223648E-10</v>
      </c>
      <c r="T51" s="335">
        <v>-62131.24</v>
      </c>
      <c r="U51" s="335">
        <v>15677.55</v>
      </c>
    </row>
    <row r="52" spans="1:21" ht="15.75" customHeight="1" thickBot="1" x14ac:dyDescent="0.3">
      <c r="A52" s="335" t="s">
        <v>272</v>
      </c>
      <c r="B52" s="346" t="s">
        <v>549</v>
      </c>
      <c r="C52" s="347" t="s">
        <v>272</v>
      </c>
      <c r="D52" s="348">
        <v>0</v>
      </c>
      <c r="E52" s="348">
        <v>-75609.620000000112</v>
      </c>
      <c r="F52" s="348">
        <v>36414.5</v>
      </c>
      <c r="G52" s="348">
        <v>3535.2100000000064</v>
      </c>
      <c r="H52" s="349">
        <v>817.69</v>
      </c>
      <c r="I52" s="345">
        <v>-34842.220000000103</v>
      </c>
      <c r="L52" s="337" t="s">
        <v>502</v>
      </c>
      <c r="M52" s="338">
        <v>-74791.930000000109</v>
      </c>
      <c r="N52" s="338">
        <v>39949.710000000006</v>
      </c>
      <c r="Q52" s="335">
        <v>-34842.22</v>
      </c>
      <c r="R52" s="335">
        <v>-1.0186340659856796E-10</v>
      </c>
      <c r="T52" s="335">
        <v>-74791.929999999993</v>
      </c>
      <c r="U52" s="335">
        <v>39949.71</v>
      </c>
    </row>
    <row r="53" spans="1:21" ht="15.75" customHeight="1" thickBot="1" x14ac:dyDescent="0.3">
      <c r="A53" s="335" t="s">
        <v>273</v>
      </c>
      <c r="B53" s="346" t="s">
        <v>550</v>
      </c>
      <c r="C53" s="347" t="s">
        <v>273</v>
      </c>
      <c r="D53" s="348">
        <v>0</v>
      </c>
      <c r="E53" s="348">
        <v>134753.28000000026</v>
      </c>
      <c r="F53" s="348">
        <v>0</v>
      </c>
      <c r="G53" s="348">
        <v>0</v>
      </c>
      <c r="H53" s="349">
        <v>0</v>
      </c>
      <c r="I53" s="345">
        <v>134753.28000000026</v>
      </c>
      <c r="L53" s="337" t="s">
        <v>502</v>
      </c>
      <c r="M53" s="338">
        <v>134753.28000000026</v>
      </c>
      <c r="N53" s="338">
        <v>0</v>
      </c>
      <c r="Q53" s="335">
        <v>134753.28</v>
      </c>
      <c r="R53" s="335">
        <v>2.6193447411060333E-10</v>
      </c>
      <c r="T53" s="335">
        <v>134753.28</v>
      </c>
      <c r="U53" s="335">
        <v>0</v>
      </c>
    </row>
    <row r="54" spans="1:21" ht="15.75" customHeight="1" x14ac:dyDescent="0.25">
      <c r="B54" s="351" t="s">
        <v>551</v>
      </c>
      <c r="C54" s="352"/>
      <c r="D54" s="353">
        <v>-544753.96</v>
      </c>
      <c r="E54" s="353">
        <v>6065972.8600000013</v>
      </c>
      <c r="F54" s="353">
        <v>420547.07</v>
      </c>
      <c r="G54" s="353">
        <v>168761.33000000002</v>
      </c>
      <c r="H54" s="353">
        <v>150793.29</v>
      </c>
      <c r="I54" s="345">
        <v>6261320.5900000017</v>
      </c>
      <c r="T54" s="335">
        <v>0</v>
      </c>
      <c r="U54" s="335">
        <v>0</v>
      </c>
    </row>
    <row r="55" spans="1:21" ht="15.75" customHeight="1" thickBot="1" x14ac:dyDescent="0.3">
      <c r="B55" s="354" t="s">
        <v>552</v>
      </c>
      <c r="C55" s="352"/>
      <c r="D55" s="355"/>
      <c r="E55" s="355"/>
      <c r="F55" s="355"/>
      <c r="G55" s="355"/>
      <c r="H55" s="355"/>
      <c r="I55" s="345"/>
      <c r="M55" s="338">
        <v>0</v>
      </c>
      <c r="N55" s="338">
        <v>0</v>
      </c>
      <c r="T55" s="335">
        <v>0</v>
      </c>
      <c r="U55" s="335">
        <v>0</v>
      </c>
    </row>
    <row r="56" spans="1:21" ht="15.75" customHeight="1" thickBot="1" x14ac:dyDescent="0.3">
      <c r="A56" s="335" t="s">
        <v>249</v>
      </c>
      <c r="B56" s="345" t="s">
        <v>553</v>
      </c>
      <c r="C56" s="344" t="s">
        <v>249</v>
      </c>
      <c r="D56" s="348">
        <v>0</v>
      </c>
      <c r="E56" s="348">
        <v>370609.46</v>
      </c>
      <c r="F56" s="348">
        <v>0</v>
      </c>
      <c r="G56" s="348">
        <v>0</v>
      </c>
      <c r="H56" s="349">
        <v>0</v>
      </c>
      <c r="I56" s="345">
        <v>370609.46</v>
      </c>
      <c r="L56" s="337" t="s">
        <v>502</v>
      </c>
      <c r="M56" s="338">
        <v>370609.46</v>
      </c>
      <c r="N56" s="338">
        <v>0</v>
      </c>
      <c r="Q56" s="335">
        <v>370609.46</v>
      </c>
      <c r="R56" s="335">
        <v>0</v>
      </c>
      <c r="T56" s="335">
        <v>370609.46</v>
      </c>
      <c r="U56" s="335">
        <v>0</v>
      </c>
    </row>
    <row r="57" spans="1:21" ht="15.75" customHeight="1" thickBot="1" x14ac:dyDescent="0.3">
      <c r="A57" s="335" t="s">
        <v>262</v>
      </c>
      <c r="B57" s="345" t="s">
        <v>554</v>
      </c>
      <c r="C57" s="344" t="s">
        <v>262</v>
      </c>
      <c r="D57" s="348">
        <v>1245575.7</v>
      </c>
      <c r="E57" s="348">
        <v>638120.94999999856</v>
      </c>
      <c r="F57" s="348">
        <v>0</v>
      </c>
      <c r="G57" s="348">
        <v>22741.200000000012</v>
      </c>
      <c r="H57" s="349">
        <v>118127.30000000005</v>
      </c>
      <c r="I57" s="345">
        <v>2024565.1499999985</v>
      </c>
      <c r="L57" s="337" t="s">
        <v>502</v>
      </c>
      <c r="M57" s="338">
        <v>2001823.9499999986</v>
      </c>
      <c r="N57" s="338">
        <v>22741.200000000012</v>
      </c>
      <c r="Q57" s="335">
        <v>2024565.15</v>
      </c>
      <c r="R57" s="335">
        <v>0</v>
      </c>
      <c r="T57" s="335">
        <v>2001823.95</v>
      </c>
      <c r="U57" s="335">
        <v>22741.200000000001</v>
      </c>
    </row>
    <row r="58" spans="1:21" ht="15.75" customHeight="1" x14ac:dyDescent="0.25">
      <c r="B58" s="351" t="s">
        <v>555</v>
      </c>
      <c r="C58" s="356"/>
      <c r="D58" s="353">
        <v>1245575.7</v>
      </c>
      <c r="E58" s="353">
        <v>1008730.4099999985</v>
      </c>
      <c r="F58" s="353">
        <v>0</v>
      </c>
      <c r="G58" s="353">
        <v>22741.200000000012</v>
      </c>
      <c r="H58" s="353">
        <v>118127.30000000005</v>
      </c>
      <c r="I58" s="345">
        <v>2395174.6099999985</v>
      </c>
      <c r="L58" s="337" t="s">
        <v>502</v>
      </c>
      <c r="T58" s="335">
        <v>0</v>
      </c>
      <c r="U58" s="335">
        <v>0</v>
      </c>
    </row>
    <row r="59" spans="1:21" ht="15.75" customHeight="1" thickBot="1" x14ac:dyDescent="0.3">
      <c r="B59" s="354" t="s">
        <v>556</v>
      </c>
      <c r="C59" s="352"/>
      <c r="D59" s="357"/>
      <c r="E59" s="357"/>
      <c r="F59" s="357"/>
      <c r="G59" s="357"/>
      <c r="H59" s="357"/>
      <c r="I59" s="345"/>
      <c r="L59" s="337" t="s">
        <v>557</v>
      </c>
      <c r="M59" s="338">
        <v>0</v>
      </c>
      <c r="N59" s="338">
        <v>0</v>
      </c>
      <c r="T59" s="335">
        <v>0</v>
      </c>
      <c r="U59" s="335">
        <v>0</v>
      </c>
    </row>
    <row r="60" spans="1:21" ht="15.75" customHeight="1" thickBot="1" x14ac:dyDescent="0.3">
      <c r="A60" s="335" t="s">
        <v>250</v>
      </c>
      <c r="B60" s="345" t="s">
        <v>558</v>
      </c>
      <c r="C60" s="344" t="s">
        <v>250</v>
      </c>
      <c r="D60" s="348">
        <v>70000</v>
      </c>
      <c r="E60" s="348">
        <v>359428.43000000063</v>
      </c>
      <c r="F60" s="348">
        <v>1854.2900000000009</v>
      </c>
      <c r="G60" s="348">
        <v>20351.450000000004</v>
      </c>
      <c r="H60" s="349">
        <v>195</v>
      </c>
      <c r="I60" s="345">
        <v>451829.17000000062</v>
      </c>
      <c r="L60" s="337" t="s">
        <v>502</v>
      </c>
      <c r="M60" s="338">
        <v>429623.43000000063</v>
      </c>
      <c r="N60" s="338">
        <v>22205.740000000005</v>
      </c>
      <c r="Q60" s="335">
        <v>451829.17</v>
      </c>
      <c r="R60" s="335">
        <v>6.4028427004814148E-10</v>
      </c>
      <c r="T60" s="335">
        <v>429623.43</v>
      </c>
      <c r="U60" s="335">
        <v>22205.74</v>
      </c>
    </row>
    <row r="61" spans="1:21" ht="15.75" customHeight="1" thickBot="1" x14ac:dyDescent="0.3">
      <c r="A61" s="335" t="s">
        <v>251</v>
      </c>
      <c r="B61" s="345" t="s">
        <v>559</v>
      </c>
      <c r="C61" s="344" t="s">
        <v>251</v>
      </c>
      <c r="D61" s="348">
        <v>0</v>
      </c>
      <c r="E61" s="348">
        <v>1098391.3599999999</v>
      </c>
      <c r="F61" s="348">
        <v>7366.5599999999977</v>
      </c>
      <c r="G61" s="348">
        <v>0</v>
      </c>
      <c r="H61" s="349">
        <v>0</v>
      </c>
      <c r="I61" s="345">
        <v>1105757.92</v>
      </c>
      <c r="L61" s="337" t="s">
        <v>502</v>
      </c>
      <c r="M61" s="338">
        <v>1098391.3599999999</v>
      </c>
      <c r="N61" s="338">
        <v>7366.5599999999977</v>
      </c>
      <c r="Q61" s="335">
        <v>1105757.92</v>
      </c>
      <c r="R61" s="335">
        <v>0</v>
      </c>
      <c r="T61" s="335">
        <v>1098391.3600000001</v>
      </c>
      <c r="U61" s="335">
        <v>7366.56</v>
      </c>
    </row>
    <row r="62" spans="1:21" ht="15.75" customHeight="1" thickBot="1" x14ac:dyDescent="0.3">
      <c r="A62" s="335" t="s">
        <v>254</v>
      </c>
      <c r="B62" s="345" t="s">
        <v>560</v>
      </c>
      <c r="C62" s="344" t="s">
        <v>254</v>
      </c>
      <c r="D62" s="348">
        <v>0</v>
      </c>
      <c r="E62" s="348">
        <v>738178.91000000015</v>
      </c>
      <c r="F62" s="348">
        <v>0</v>
      </c>
      <c r="G62" s="348">
        <v>0</v>
      </c>
      <c r="H62" s="349">
        <v>0</v>
      </c>
      <c r="I62" s="345">
        <v>738178.91000000015</v>
      </c>
      <c r="L62" s="337" t="s">
        <v>502</v>
      </c>
      <c r="M62" s="338">
        <v>738178.91000000015</v>
      </c>
      <c r="N62" s="338">
        <v>0</v>
      </c>
      <c r="Q62" s="335">
        <v>738178.91</v>
      </c>
      <c r="R62" s="335">
        <v>0</v>
      </c>
      <c r="T62" s="335">
        <v>738178.91</v>
      </c>
      <c r="U62" s="335">
        <v>0</v>
      </c>
    </row>
    <row r="63" spans="1:21" ht="15.75" customHeight="1" thickBot="1" x14ac:dyDescent="0.3">
      <c r="A63" s="335" t="s">
        <v>268</v>
      </c>
      <c r="B63" s="345" t="s">
        <v>561</v>
      </c>
      <c r="C63" s="344" t="s">
        <v>268</v>
      </c>
      <c r="D63" s="348">
        <v>0</v>
      </c>
      <c r="E63" s="348">
        <v>918178.41999999993</v>
      </c>
      <c r="F63" s="348">
        <v>0</v>
      </c>
      <c r="G63" s="348">
        <v>0</v>
      </c>
      <c r="H63" s="349">
        <v>0</v>
      </c>
      <c r="I63" s="345">
        <v>918178.41999999993</v>
      </c>
      <c r="L63" s="337" t="s">
        <v>502</v>
      </c>
      <c r="M63" s="338">
        <v>918178.41999999993</v>
      </c>
      <c r="N63" s="338">
        <v>0</v>
      </c>
      <c r="Q63" s="335">
        <v>918178.42</v>
      </c>
      <c r="R63" s="335">
        <v>0</v>
      </c>
      <c r="T63" s="335">
        <v>918178.42</v>
      </c>
      <c r="U63" s="335">
        <v>0</v>
      </c>
    </row>
    <row r="64" spans="1:21" ht="15.75" customHeight="1" thickBot="1" x14ac:dyDescent="0.3">
      <c r="A64" s="335" t="s">
        <v>270</v>
      </c>
      <c r="B64" s="345" t="s">
        <v>562</v>
      </c>
      <c r="C64" s="335" t="s">
        <v>270</v>
      </c>
      <c r="D64" s="348">
        <v>306349.43</v>
      </c>
      <c r="E64" s="348">
        <v>827081.56000000029</v>
      </c>
      <c r="F64" s="348">
        <v>0</v>
      </c>
      <c r="G64" s="348">
        <v>0</v>
      </c>
      <c r="H64" s="349">
        <v>0</v>
      </c>
      <c r="I64" s="345">
        <v>1133430.9900000002</v>
      </c>
      <c r="L64" s="337" t="s">
        <v>502</v>
      </c>
      <c r="M64" s="338">
        <v>1133430.9900000002</v>
      </c>
      <c r="N64" s="338">
        <v>0</v>
      </c>
      <c r="Q64" s="335">
        <v>1133430.99</v>
      </c>
      <c r="R64" s="335">
        <v>0</v>
      </c>
      <c r="T64" s="335">
        <v>1133430.99</v>
      </c>
      <c r="U64" s="335">
        <v>0</v>
      </c>
    </row>
    <row r="65" spans="1:21" ht="15.75" customHeight="1" x14ac:dyDescent="0.25">
      <c r="B65" s="358" t="s">
        <v>563</v>
      </c>
      <c r="D65" s="353">
        <v>376349.43</v>
      </c>
      <c r="E65" s="353">
        <v>3941258.6800000006</v>
      </c>
      <c r="F65" s="353">
        <v>9220.8499999999985</v>
      </c>
      <c r="G65" s="353">
        <v>20351.450000000004</v>
      </c>
      <c r="H65" s="353">
        <v>195</v>
      </c>
      <c r="I65" s="345">
        <v>4347375.4100000011</v>
      </c>
      <c r="L65" s="337" t="s">
        <v>502</v>
      </c>
      <c r="T65" s="335">
        <v>0</v>
      </c>
      <c r="U65" s="335">
        <v>0</v>
      </c>
    </row>
    <row r="66" spans="1:21" x14ac:dyDescent="0.25">
      <c r="B66" s="344"/>
      <c r="C66" s="344"/>
      <c r="D66" s="355"/>
      <c r="E66" s="355"/>
      <c r="F66" s="355"/>
      <c r="G66" s="355"/>
      <c r="H66" s="355"/>
      <c r="I66" s="345"/>
      <c r="L66" s="337" t="s">
        <v>557</v>
      </c>
      <c r="M66" s="338">
        <v>0</v>
      </c>
      <c r="N66" s="338">
        <v>0</v>
      </c>
      <c r="T66" s="335">
        <v>0</v>
      </c>
      <c r="U66" s="335">
        <v>0</v>
      </c>
    </row>
    <row r="67" spans="1:21" x14ac:dyDescent="0.25">
      <c r="B67" s="358" t="s">
        <v>564</v>
      </c>
      <c r="C67" s="344"/>
      <c r="D67" s="353">
        <v>1077171.17</v>
      </c>
      <c r="E67" s="353">
        <v>11015961.949999999</v>
      </c>
      <c r="F67" s="353">
        <v>429767.92</v>
      </c>
      <c r="G67" s="353">
        <v>211853.98000000004</v>
      </c>
      <c r="H67" s="353">
        <v>269115.59000000008</v>
      </c>
      <c r="I67" s="345">
        <v>13003870.609999999</v>
      </c>
      <c r="L67" s="337" t="s">
        <v>502</v>
      </c>
      <c r="T67" s="335">
        <v>0</v>
      </c>
      <c r="U67" s="335">
        <v>0</v>
      </c>
    </row>
    <row r="68" spans="1:21" ht="15.75" thickBot="1" x14ac:dyDescent="0.3">
      <c r="B68" s="359" t="s">
        <v>565</v>
      </c>
      <c r="C68" s="344"/>
      <c r="D68" s="344"/>
      <c r="E68" s="344"/>
      <c r="F68" s="344"/>
      <c r="G68" s="344"/>
      <c r="H68" s="344"/>
      <c r="I68" s="345"/>
      <c r="L68" s="337" t="s">
        <v>557</v>
      </c>
      <c r="M68" s="338">
        <v>0</v>
      </c>
      <c r="N68" s="338">
        <v>0</v>
      </c>
      <c r="T68" s="335">
        <v>0</v>
      </c>
      <c r="U68" s="335">
        <v>0</v>
      </c>
    </row>
    <row r="69" spans="1:21" ht="15.75" thickBot="1" x14ac:dyDescent="0.3">
      <c r="A69" s="335" t="s">
        <v>238</v>
      </c>
      <c r="B69" s="345" t="s">
        <v>566</v>
      </c>
      <c r="C69" s="344" t="s">
        <v>238</v>
      </c>
      <c r="D69" s="348">
        <v>0</v>
      </c>
      <c r="E69" s="348">
        <v>107123.15000000002</v>
      </c>
      <c r="F69" s="348">
        <v>0</v>
      </c>
      <c r="G69" s="348">
        <v>0</v>
      </c>
      <c r="H69" s="349">
        <v>0.4500000000007276</v>
      </c>
      <c r="I69" s="345">
        <v>107123.60000000002</v>
      </c>
      <c r="L69" s="337" t="s">
        <v>502</v>
      </c>
      <c r="M69" s="338">
        <v>107123.60000000002</v>
      </c>
      <c r="N69" s="338">
        <v>0</v>
      </c>
      <c r="Q69" s="335">
        <v>107123.6</v>
      </c>
      <c r="R69" s="335">
        <v>0</v>
      </c>
      <c r="T69" s="335">
        <v>107123.6</v>
      </c>
      <c r="U69" s="335">
        <v>0</v>
      </c>
    </row>
    <row r="70" spans="1:21" ht="15.75" thickBot="1" x14ac:dyDescent="0.3">
      <c r="A70" s="335" t="s">
        <v>241</v>
      </c>
      <c r="B70" s="345" t="s">
        <v>567</v>
      </c>
      <c r="C70" s="344" t="s">
        <v>241</v>
      </c>
      <c r="D70" s="348">
        <v>-13180.56</v>
      </c>
      <c r="E70" s="348">
        <v>6.0026650317013264E-11</v>
      </c>
      <c r="F70" s="348">
        <v>4037.130000000001</v>
      </c>
      <c r="G70" s="348">
        <v>0</v>
      </c>
      <c r="H70" s="349">
        <v>0</v>
      </c>
      <c r="I70" s="345">
        <v>-9143.4299999999384</v>
      </c>
      <c r="L70" s="337" t="s">
        <v>502</v>
      </c>
      <c r="M70" s="338">
        <v>-13180.559999999939</v>
      </c>
      <c r="N70" s="338">
        <v>4037.130000000001</v>
      </c>
      <c r="Q70" s="335">
        <v>-9143.43</v>
      </c>
      <c r="R70" s="335">
        <v>6.184563972055912E-11</v>
      </c>
      <c r="T70" s="335">
        <v>-13180.56</v>
      </c>
      <c r="U70" s="335">
        <v>4037.13</v>
      </c>
    </row>
    <row r="71" spans="1:21" x14ac:dyDescent="0.25">
      <c r="B71" s="358" t="s">
        <v>568</v>
      </c>
      <c r="C71" s="356"/>
      <c r="D71" s="345">
        <v>-13180.56</v>
      </c>
      <c r="E71" s="345">
        <v>107123.15000000008</v>
      </c>
      <c r="F71" s="345">
        <v>4037.130000000001</v>
      </c>
      <c r="G71" s="345">
        <v>0</v>
      </c>
      <c r="H71" s="345">
        <v>0.4500000000007276</v>
      </c>
      <c r="I71" s="345">
        <v>97980.170000000086</v>
      </c>
      <c r="L71" s="337" t="s">
        <v>502</v>
      </c>
      <c r="R71" s="335">
        <v>27246.160000000295</v>
      </c>
      <c r="T71" s="335">
        <v>0</v>
      </c>
      <c r="U71" s="335">
        <v>0</v>
      </c>
    </row>
    <row r="73" spans="1:21" x14ac:dyDescent="0.25">
      <c r="B73" s="360" t="s">
        <v>569</v>
      </c>
      <c r="D73" s="336">
        <v>1063990.6099999999</v>
      </c>
      <c r="E73" s="336">
        <v>11123085.1</v>
      </c>
      <c r="F73" s="336">
        <v>433805.05</v>
      </c>
      <c r="G73" s="336">
        <v>211853.98000000004</v>
      </c>
      <c r="H73" s="336">
        <v>269116.0400000001</v>
      </c>
      <c r="I73" s="336">
        <v>13101850.779999999</v>
      </c>
      <c r="M73" s="335">
        <v>12456191.749999998</v>
      </c>
      <c r="N73" s="335">
        <v>645659.03000000014</v>
      </c>
      <c r="T73" s="335">
        <v>12399833.369999999</v>
      </c>
      <c r="U73" s="335">
        <v>674771.25</v>
      </c>
    </row>
    <row r="75" spans="1:21" x14ac:dyDescent="0.25">
      <c r="I75" s="335"/>
    </row>
    <row r="76" spans="1:21" x14ac:dyDescent="0.25">
      <c r="I76" s="335"/>
    </row>
    <row r="77" spans="1:21" x14ac:dyDescent="0.25">
      <c r="H77" s="335" t="s">
        <v>570</v>
      </c>
      <c r="I77" s="335">
        <v>13101850.779999999</v>
      </c>
    </row>
    <row r="79" spans="1:21" x14ac:dyDescent="0.25">
      <c r="H79" s="335" t="s">
        <v>571</v>
      </c>
      <c r="I79" s="336">
        <v>0</v>
      </c>
      <c r="L79" s="364" t="s">
        <v>663</v>
      </c>
    </row>
    <row r="83" spans="2:9" x14ac:dyDescent="0.25">
      <c r="B83" s="335" t="s">
        <v>664</v>
      </c>
    </row>
    <row r="84" spans="2:9" x14ac:dyDescent="0.25">
      <c r="B84" s="335" t="s">
        <v>665</v>
      </c>
      <c r="D84" s="335">
        <v>0</v>
      </c>
      <c r="E84" s="335">
        <v>-154146.22999999998</v>
      </c>
      <c r="F84" s="335">
        <v>-23723.87000000001</v>
      </c>
      <c r="G84" s="335">
        <v>-20041.440000000002</v>
      </c>
      <c r="H84" s="335">
        <v>0</v>
      </c>
      <c r="I84" s="335">
        <v>-197911.53999999998</v>
      </c>
    </row>
    <row r="85" spans="2:9" x14ac:dyDescent="0.25">
      <c r="B85" s="335" t="s">
        <v>666</v>
      </c>
      <c r="D85" s="335">
        <v>0</v>
      </c>
      <c r="E85" s="335">
        <v>0</v>
      </c>
      <c r="F85" s="335">
        <v>0</v>
      </c>
      <c r="G85" s="335">
        <v>0</v>
      </c>
      <c r="H85" s="335">
        <v>0</v>
      </c>
      <c r="I85" s="335">
        <v>0</v>
      </c>
    </row>
    <row r="87" spans="2:9" x14ac:dyDescent="0.25">
      <c r="D87" s="335">
        <v>1063990.6099999999</v>
      </c>
      <c r="E87" s="335">
        <v>10968938.869999999</v>
      </c>
      <c r="F87" s="335">
        <v>410081.18</v>
      </c>
      <c r="G87" s="335">
        <v>191812.54000000004</v>
      </c>
      <c r="H87" s="335">
        <v>269116.0400000001</v>
      </c>
      <c r="I87" s="335">
        <v>12903939.24</v>
      </c>
    </row>
    <row r="89" spans="2:9" x14ac:dyDescent="0.25">
      <c r="I89" s="336">
        <v>-540271.04999999888</v>
      </c>
    </row>
  </sheetData>
  <sheetProtection algorithmName="SHA-512" hashValue="jw8+jnzQgz0r9TDKkLj7dk61dKWipWyu5lfJVrIKddE+mXf2tWFMBJfK1pXTTWiqlD7Mykqp6QGIZYH/SLD20A==" saltValue="Lzepo85StkcngaPFFE8XoQ==" spinCount="100000" sheet="1" objects="1" scenarios="1"/>
  <mergeCells count="1">
    <mergeCell ref="T1:U1"/>
  </mergeCells>
  <conditionalFormatting sqref="A4:A53 A56:A58 A60:A65 A67 A69:A71">
    <cfRule type="expression" dxfId="7" priority="2">
      <formula>L4=""</formula>
    </cfRule>
  </conditionalFormatting>
  <conditionalFormatting sqref="I4:I71">
    <cfRule type="cellIs" dxfId="6" priority="1" operator="lessThan">
      <formula>0</formula>
    </cfRule>
  </conditionalFormatting>
  <dataValidations disablePrompts="1" count="1">
    <dataValidation type="decimal" allowBlank="1" showInputMessage="1" showErrorMessage="1" errorTitle="Error" error="Cell value should be a number" sqref="D1" xr:uid="{E437A342-97A0-49AE-8FF9-F0E9ACED475E}">
      <formula1>-100000</formula1>
      <formula2>1000000</formula2>
    </dataValidation>
  </dataValidation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SharedContentType xmlns="Microsoft.SharePoint.Taxonomy.ContentTypeSync" SourceId="ee73f336-9c49-41ab-9427-d263034a0100" ContentTypeId="0x01010054A39C6B0182D84CB6645B035BA02E08" PreviousValue="false" LastSyncTimeStamp="2021-10-01T14:39:30.94Z"/>
</file>

<file path=customXml/item3.xml><?xml version="1.0" encoding="utf-8"?>
<ct:contentTypeSchema xmlns:ct="http://schemas.microsoft.com/office/2006/metadata/contentType" xmlns:ma="http://schemas.microsoft.com/office/2006/metadata/properties/metaAttributes" ct:_="" ma:_="" ma:contentTypeName="MKC Spreadsheet" ma:contentTypeID="0x01010054A39C6B0182D84CB6645B035BA02E08004D5776253E965C418A13D9DE6F8B1B07" ma:contentTypeVersion="2" ma:contentTypeDescription="MKC Branded Excel Template Document" ma:contentTypeScope="" ma:versionID="d83a7e09b3c96d5d52c8648dba5c236f">
  <xsd:schema xmlns:xsd="http://www.w3.org/2001/XMLSchema" xmlns:xs="http://www.w3.org/2001/XMLSchema" xmlns:p="http://schemas.microsoft.com/office/2006/metadata/properties" targetNamespace="http://schemas.microsoft.com/office/2006/metadata/properties" ma:root="true" ma:fieldsID="c05078f6377a1acaa6732c3e8203dbf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6D86AA1-FBC1-4966-8AFB-5C1FCAF1B91C}">
  <ds:schemaRefs>
    <ds:schemaRef ds:uri="http://schemas.microsoft.com/office/2006/documentManagement/types"/>
    <ds:schemaRef ds:uri="http://purl.org/dc/elements/1.1/"/>
    <ds:schemaRef ds:uri="http://schemas.microsoft.com/office/infopath/2007/PartnerControls"/>
    <ds:schemaRef ds:uri="http://purl.org/dc/terms/"/>
    <ds:schemaRef ds:uri="http://purl.org/dc/dcmitype/"/>
    <ds:schemaRef ds:uri="http://schemas.microsoft.com/office/2006/metadata/propertie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5B1DA737-7AA7-4955-90EC-879D1D433CE8}">
  <ds:schemaRefs>
    <ds:schemaRef ds:uri="Microsoft.SharePoint.Taxonomy.ContentTypeSync"/>
  </ds:schemaRefs>
</ds:datastoreItem>
</file>

<file path=customXml/itemProps3.xml><?xml version="1.0" encoding="utf-8"?>
<ds:datastoreItem xmlns:ds="http://schemas.openxmlformats.org/officeDocument/2006/customXml" ds:itemID="{AE9DEBCD-E353-43B2-8EB7-676F640780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4.xml><?xml version="1.0" encoding="utf-8"?>
<ds:datastoreItem xmlns:ds="http://schemas.openxmlformats.org/officeDocument/2006/customXml" ds:itemID="{ED3CCE91-B3DC-46B5-97D3-69B6B62075E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4</vt:i4>
      </vt:variant>
    </vt:vector>
  </HeadingPairs>
  <TitlesOfParts>
    <vt:vector size="15" baseType="lpstr">
      <vt:lpstr>Instructions for Completion</vt:lpstr>
      <vt:lpstr>Guidance</vt:lpstr>
      <vt:lpstr>Inflation Factors</vt:lpstr>
      <vt:lpstr>3YP</vt:lpstr>
      <vt:lpstr>Add'l Data</vt:lpstr>
      <vt:lpstr>KPI's</vt:lpstr>
      <vt:lpstr>Graphs</vt:lpstr>
      <vt:lpstr>School Data</vt:lpstr>
      <vt:lpstr>Opening balances</vt:lpstr>
      <vt:lpstr>Sheet1</vt:lpstr>
      <vt:lpstr>Deployment Projection Year</vt:lpstr>
      <vt:lpstr>'Add''l Data'!Print_Area</vt:lpstr>
      <vt:lpstr>Graphs!Print_Area</vt:lpstr>
      <vt:lpstr>'Instructions for Completion'!Print_Area</vt:lpstr>
      <vt:lpstr>'3YP'!Print_Titles</vt:lpstr>
    </vt:vector>
  </TitlesOfParts>
  <Manager/>
  <Company>Milton Keynes Council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Francis, Karen</dc:creator>
  <cp:keywords/>
  <dc:description/>
  <cp:lastModifiedBy>Michelle Hibbert</cp:lastModifiedBy>
  <cp:revision/>
  <dcterms:created xsi:type="dcterms:W3CDTF">2018-11-12T13:26:16Z</dcterms:created>
  <dcterms:modified xsi:type="dcterms:W3CDTF">2026-04-27T14:50:33Z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0x01010054A39C6B0182D84CB6645B035BA02E08004D5776253E965C418A13D9DE6F8B1B07</vt:lpwstr>
  </property>
  <property fmtid="{D5CDD505-2E9C-101B-9397-08002B2CF9AE}" pid="3" name="Order">
    <vt:r8>7200</vt:r8>
  </property>
  <property fmtid="{D5CDD505-2E9C-101B-9397-08002B2CF9AE}" pid="4" name="SharedWithUsers">
    <vt:lpwstr>24;#Kayleigh Day;#20;#Michelle Hibbert</vt:lpwstr>
  </property>
</Properties>
</file>